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tables/table10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omments3.xml" ContentType="application/vnd.openxmlformats-officedocument.spreadsheetml.comments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omments4.xml" ContentType="application/vnd.openxmlformats-officedocument.spreadsheetml.comment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omments5.xml" ContentType="application/vnd.openxmlformats-officedocument.spreadsheetml.comments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updateLinks="never"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726b456f50547b4d/Desktop/"/>
    </mc:Choice>
  </mc:AlternateContent>
  <xr:revisionPtr revIDLastSave="18" documentId="8_{F6ABB21D-BAF1-48D9-A53E-70EA7A859738}" xr6:coauthVersionLast="47" xr6:coauthVersionMax="47" xr10:uidLastSave="{5D6DF1EB-E9DB-4E02-8D15-B948BDB81ED4}"/>
  <bookViews>
    <workbookView xWindow="-120" yWindow="-120" windowWidth="29040" windowHeight="15720" tabRatio="837" xr2:uid="{00000000-000D-0000-FFFF-FFFF00000000}"/>
  </bookViews>
  <sheets>
    <sheet name="GERAL" sheetId="10" r:id="rId1"/>
    <sheet name="BANCO DE DADOS" sheetId="16" r:id="rId2"/>
    <sheet name="BANCO DE DADOS 05JUN24" sheetId="29" state="hidden" r:id="rId3"/>
    <sheet name="INPUT DADOS" sheetId="1" r:id="rId4"/>
    <sheet name="LALLEMAND" sheetId="24" state="hidden" r:id="rId5"/>
    <sheet name="PEDIDO VIA CLIENTE" sheetId="3" r:id="rId6"/>
    <sheet name="PEDIDO VIA EMPRESA" sheetId="2" r:id="rId7"/>
    <sheet name="INPUT CONFERENCIA" sheetId="15" r:id="rId8"/>
    <sheet name="PEDIDO CONFERENCIA" sheetId="5" r:id="rId9"/>
    <sheet name="PEDIDO DRONE" sheetId="22" r:id="rId10"/>
    <sheet name="PEDIDO COMPACTA" sheetId="18" r:id="rId11"/>
    <sheet name="INPUT FOLHA " sheetId="6" r:id="rId12"/>
    <sheet name="PEDIDO FOLHA CLIENTE" sheetId="8" r:id="rId13"/>
    <sheet name="PEDIDO FOLHA EMPRESA" sheetId="9" r:id="rId14"/>
    <sheet name="INPUT ATV" sheetId="12" r:id="rId15"/>
    <sheet name="PEDIDO ATV" sheetId="14" r:id="rId16"/>
    <sheet name="PEDIDO ATV CLIENTE" sheetId="23" r:id="rId17"/>
    <sheet name="EQUALIZA" sheetId="19" r:id="rId18"/>
    <sheet name="PEDIDO LALLEMAND" sheetId="26" state="hidden" r:id="rId19"/>
    <sheet name="INPUT PULVE_DRONE" sheetId="27" state="hidden" r:id="rId20"/>
    <sheet name="PEDIDO PULVE" sheetId="28" state="hidden" r:id="rId21"/>
    <sheet name="PEDIDO DESBLOQ" sheetId="11" r:id="rId22"/>
  </sheets>
  <externalReferences>
    <externalReference r:id="rId23"/>
  </externalReferences>
  <definedNames>
    <definedName name="_xleta.AND" hidden="1" xlm="1">#NAME?</definedName>
    <definedName name="_xlnm.Print_Area" localSheetId="17">EQUALIZA!$A$1:$J$62</definedName>
    <definedName name="_xlnm.Print_Area" localSheetId="0">GERAL!$A$1:$W$26</definedName>
    <definedName name="_xlnm.Print_Area" localSheetId="7">'INPUT CONFERENCIA'!$A$1:$I$32</definedName>
    <definedName name="_xlnm.Print_Area" localSheetId="3">'INPUT DADOS'!$A$1:$H$26</definedName>
    <definedName name="_xlnm.Print_Area" localSheetId="11">'INPUT FOLHA '!$A$1:$K$30</definedName>
    <definedName name="_xlnm.Print_Area" localSheetId="4">LALLEMAND!$C$1:$I$18</definedName>
    <definedName name="_xlnm.Print_Area" localSheetId="15">'PEDIDO ATV'!$A$1:$K$62</definedName>
    <definedName name="_xlnm.Print_Area" localSheetId="16">'PEDIDO ATV CLIENTE'!$A$1:$J$61</definedName>
    <definedName name="_xlnm.Print_Area" localSheetId="10">'PEDIDO COMPACTA'!$A$1:$J$59</definedName>
    <definedName name="_xlnm.Print_Area" localSheetId="8">'PEDIDO CONFERENCIA'!$A$1:$K$59</definedName>
    <definedName name="_xlnm.Print_Area" localSheetId="21">'PEDIDO DESBLOQ'!$A$1:$K$59</definedName>
    <definedName name="_xlnm.Print_Area" localSheetId="9">'PEDIDO DRONE'!$A$1:$K$59</definedName>
    <definedName name="_xlnm.Print_Area" localSheetId="12">'PEDIDO FOLHA CLIENTE'!$A$1:$J$57</definedName>
    <definedName name="_xlnm.Print_Area" localSheetId="13">'PEDIDO FOLHA EMPRESA'!$A$1:$J$57</definedName>
    <definedName name="_xlnm.Print_Area" localSheetId="18">'PEDIDO LALLEMAND'!$B$1:$J$57</definedName>
    <definedName name="_xlnm.Print_Area" localSheetId="20">'PEDIDO PULVE'!$A$1:$K$66</definedName>
    <definedName name="_xlnm.Print_Area" localSheetId="5">'PEDIDO VIA CLIENTE'!$A$1:$K$59</definedName>
    <definedName name="_xlnm.Print_Area" localSheetId="6">'PEDIDO VIA EMPRESA'!$A$1:$K$60</definedName>
    <definedName name="solver_adj" localSheetId="1" hidden="1">'BANCO DE DADOS'!$B$3:$C$5</definedName>
    <definedName name="solver_adj" localSheetId="2" hidden="1">'BANCO DE DADOS 05JUN24'!$B$3:$C$5</definedName>
    <definedName name="solver_cvg" localSheetId="1" hidden="1">0.0001</definedName>
    <definedName name="solver_cvg" localSheetId="2" hidden="1">0.0001</definedName>
    <definedName name="solver_drv" localSheetId="1" hidden="1">1</definedName>
    <definedName name="solver_drv" localSheetId="2" hidden="1">1</definedName>
    <definedName name="solver_eng" localSheetId="1" hidden="1">1</definedName>
    <definedName name="solver_eng" localSheetId="2" hidden="1">1</definedName>
    <definedName name="solver_est" localSheetId="1" hidden="1">1</definedName>
    <definedName name="solver_est" localSheetId="2" hidden="1">1</definedName>
    <definedName name="solver_itr" localSheetId="1" hidden="1">2147483647</definedName>
    <definedName name="solver_itr" localSheetId="2" hidden="1">2147483647</definedName>
    <definedName name="solver_lhs0" localSheetId="1" hidden="1">'BANCO DE DADOS'!$C$3</definedName>
    <definedName name="solver_lhs0" localSheetId="2" hidden="1">'BANCO DE DADOS 05JUN24'!$C$3</definedName>
    <definedName name="solver_lhs1" localSheetId="1" hidden="1">'BANCO DE DADOS'!$B$3</definedName>
    <definedName name="solver_lhs1" localSheetId="2" hidden="1">'BANCO DE DADOS 05JUN24'!$B$3</definedName>
    <definedName name="solver_lhs10" localSheetId="1" hidden="1">'BANCO DE DADOS'!$C$5</definedName>
    <definedName name="solver_lhs10" localSheetId="2" hidden="1">'BANCO DE DADOS 05JUN24'!$C$5</definedName>
    <definedName name="solver_lhs11" localSheetId="1" hidden="1">'BANCO DE DADOS'!$C$5</definedName>
    <definedName name="solver_lhs11" localSheetId="2" hidden="1">'BANCO DE DADOS 05JUN24'!$C$5</definedName>
    <definedName name="solver_lhs2" localSheetId="1" hidden="1">'BANCO DE DADOS'!$B$3</definedName>
    <definedName name="solver_lhs2" localSheetId="2" hidden="1">'BANCO DE DADOS 05JUN24'!$B$3</definedName>
    <definedName name="solver_lhs3" localSheetId="1" hidden="1">'BANCO DE DADOS'!$B$3</definedName>
    <definedName name="solver_lhs3" localSheetId="2" hidden="1">'BANCO DE DADOS 05JUN24'!$B$3</definedName>
    <definedName name="solver_lhs4" localSheetId="1" hidden="1">'BANCO DE DADOS'!$B$4</definedName>
    <definedName name="solver_lhs4" localSheetId="2" hidden="1">'BANCO DE DADOS 05JUN24'!$B$4</definedName>
    <definedName name="solver_lhs5" localSheetId="1" hidden="1">'BANCO DE DADOS'!$B$4</definedName>
    <definedName name="solver_lhs5" localSheetId="2" hidden="1">'BANCO DE DADOS 05JUN24'!$B$4</definedName>
    <definedName name="solver_lhs6" localSheetId="1" hidden="1">'BANCO DE DADOS'!$B$5</definedName>
    <definedName name="solver_lhs6" localSheetId="2" hidden="1">'BANCO DE DADOS 05JUN24'!$B$5</definedName>
    <definedName name="solver_lhs7" localSheetId="1" hidden="1">'BANCO DE DADOS'!$C$3</definedName>
    <definedName name="solver_lhs7" localSheetId="2" hidden="1">'BANCO DE DADOS 05JUN24'!$C$3</definedName>
    <definedName name="solver_lhs8" localSheetId="1" hidden="1">'BANCO DE DADOS'!$C$3</definedName>
    <definedName name="solver_lhs8" localSheetId="2" hidden="1">'BANCO DE DADOS 05JUN24'!$C$3</definedName>
    <definedName name="solver_lhs9" localSheetId="1" hidden="1">'BANCO DE DADOS'!$C$4</definedName>
    <definedName name="solver_lhs9" localSheetId="2" hidden="1">'BANCO DE DADOS 05JUN24'!$C$4</definedName>
    <definedName name="solver_mip" localSheetId="1" hidden="1">2147483647</definedName>
    <definedName name="solver_mip" localSheetId="2" hidden="1">2147483647</definedName>
    <definedName name="solver_mni" localSheetId="1" hidden="1">30</definedName>
    <definedName name="solver_mni" localSheetId="2" hidden="1">30</definedName>
    <definedName name="solver_mrt" localSheetId="1" hidden="1">0.075</definedName>
    <definedName name="solver_mrt" localSheetId="2" hidden="1">0.075</definedName>
    <definedName name="solver_msl" localSheetId="1" hidden="1">2</definedName>
    <definedName name="solver_msl" localSheetId="2" hidden="1">2</definedName>
    <definedName name="solver_neg" localSheetId="1" hidden="1">1</definedName>
    <definedName name="solver_neg" localSheetId="2" hidden="1">1</definedName>
    <definedName name="solver_nod" localSheetId="1" hidden="1">2147483647</definedName>
    <definedName name="solver_nod" localSheetId="2" hidden="1">2147483647</definedName>
    <definedName name="solver_num" localSheetId="1" hidden="1">11</definedName>
    <definedName name="solver_num" localSheetId="2" hidden="1">11</definedName>
    <definedName name="solver_nwt" localSheetId="1" hidden="1">1</definedName>
    <definedName name="solver_nwt" localSheetId="2" hidden="1">1</definedName>
    <definedName name="solver_opt" localSheetId="1" hidden="1">'BANCO DE DADOS'!$H$20</definedName>
    <definedName name="solver_opt" localSheetId="2" hidden="1">'BANCO DE DADOS 05JUN24'!$H$20</definedName>
    <definedName name="solver_pre" localSheetId="1" hidden="1">0.000001</definedName>
    <definedName name="solver_pre" localSheetId="2" hidden="1">0.000001</definedName>
    <definedName name="solver_rbv" localSheetId="1" hidden="1">1</definedName>
    <definedName name="solver_rbv" localSheetId="2" hidden="1">1</definedName>
    <definedName name="solver_rel0" localSheetId="1" hidden="1">2</definedName>
    <definedName name="solver_rel0" localSheetId="2" hidden="1">2</definedName>
    <definedName name="solver_rel1" localSheetId="1" hidden="1">2</definedName>
    <definedName name="solver_rel1" localSheetId="2" hidden="1">2</definedName>
    <definedName name="solver_rel10" localSheetId="1" hidden="1">1</definedName>
    <definedName name="solver_rel10" localSheetId="2" hidden="1">1</definedName>
    <definedName name="solver_rel11" localSheetId="1" hidden="1">3</definedName>
    <definedName name="solver_rel11" localSheetId="2" hidden="1">3</definedName>
    <definedName name="solver_rel2" localSheetId="1" hidden="1">3</definedName>
    <definedName name="solver_rel2" localSheetId="2" hidden="1">3</definedName>
    <definedName name="solver_rel3" localSheetId="1" hidden="1">3</definedName>
    <definedName name="solver_rel3" localSheetId="2" hidden="1">3</definedName>
    <definedName name="solver_rel4" localSheetId="1" hidden="1">3</definedName>
    <definedName name="solver_rel4" localSheetId="2" hidden="1">3</definedName>
    <definedName name="solver_rel5" localSheetId="1" hidden="1">3</definedName>
    <definedName name="solver_rel5" localSheetId="2" hidden="1">3</definedName>
    <definedName name="solver_rel6" localSheetId="1" hidden="1">3</definedName>
    <definedName name="solver_rel6" localSheetId="2" hidden="1">3</definedName>
    <definedName name="solver_rel7" localSheetId="1" hidden="1">3</definedName>
    <definedName name="solver_rel7" localSheetId="2" hidden="1">3</definedName>
    <definedName name="solver_rel8" localSheetId="1" hidden="1">3</definedName>
    <definedName name="solver_rel8" localSheetId="2" hidden="1">3</definedName>
    <definedName name="solver_rel9" localSheetId="1" hidden="1">3</definedName>
    <definedName name="solver_rel9" localSheetId="2" hidden="1">3</definedName>
    <definedName name="solver_rhs1" localSheetId="1" hidden="1">170</definedName>
    <definedName name="solver_rhs1" localSheetId="2" hidden="1">170</definedName>
    <definedName name="solver_rhs10" localSheetId="1" hidden="1">'BANCO DE DADOS'!$C$4</definedName>
    <definedName name="solver_rhs10" localSheetId="2" hidden="1">'BANCO DE DADOS 05JUN24'!$C$4</definedName>
    <definedName name="solver_rhs11" localSheetId="1" hidden="1">100</definedName>
    <definedName name="solver_rhs11" localSheetId="2" hidden="1">100</definedName>
    <definedName name="solver_rhs2" localSheetId="1" hidden="1">'BANCO DE DADOS'!$B$4</definedName>
    <definedName name="solver_rhs2" localSheetId="2" hidden="1">'BANCO DE DADOS 05JUN24'!$B$4</definedName>
    <definedName name="solver_rhs3" localSheetId="1" hidden="1">'BANCO DE DADOS'!$C$3</definedName>
    <definedName name="solver_rhs3" localSheetId="2" hidden="1">'BANCO DE DADOS 05JUN24'!$C$3</definedName>
    <definedName name="solver_rhs4" localSheetId="1" hidden="1">'BANCO DE DADOS'!$B$5</definedName>
    <definedName name="solver_rhs4" localSheetId="2" hidden="1">'BANCO DE DADOS 05JUN24'!$B$5</definedName>
    <definedName name="solver_rhs5" localSheetId="1" hidden="1">'BANCO DE DADOS'!$C$4</definedName>
    <definedName name="solver_rhs5" localSheetId="2" hidden="1">'BANCO DE DADOS 05JUN24'!$C$4</definedName>
    <definedName name="solver_rhs6" localSheetId="1" hidden="1">'BANCO DE DADOS'!$C$5</definedName>
    <definedName name="solver_rhs6" localSheetId="2" hidden="1">'BANCO DE DADOS 05JUN24'!$C$5</definedName>
    <definedName name="solver_rhs7" localSheetId="1" hidden="1">'BANCO DE DADOS'!$C$4</definedName>
    <definedName name="solver_rhs7" localSheetId="2" hidden="1">'BANCO DE DADOS 05JUN24'!$C$4</definedName>
    <definedName name="solver_rhs8" localSheetId="1" hidden="1">100</definedName>
    <definedName name="solver_rhs8" localSheetId="2" hidden="1">100</definedName>
    <definedName name="solver_rhs9" localSheetId="1" hidden="1">100</definedName>
    <definedName name="solver_rhs9" localSheetId="2" hidden="1">100</definedName>
    <definedName name="solver_rlx" localSheetId="1" hidden="1">2</definedName>
    <definedName name="solver_rlx" localSheetId="2" hidden="1">2</definedName>
    <definedName name="solver_rsd" localSheetId="1" hidden="1">0</definedName>
    <definedName name="solver_rsd" localSheetId="2" hidden="1">0</definedName>
    <definedName name="solver_scl" localSheetId="1" hidden="1">1</definedName>
    <definedName name="solver_scl" localSheetId="2" hidden="1">1</definedName>
    <definedName name="solver_sho" localSheetId="1" hidden="1">2</definedName>
    <definedName name="solver_sho" localSheetId="2" hidden="1">2</definedName>
    <definedName name="solver_ssz" localSheetId="1" hidden="1">100</definedName>
    <definedName name="solver_ssz" localSheetId="2" hidden="1">100</definedName>
    <definedName name="solver_tim" localSheetId="1" hidden="1">2147483647</definedName>
    <definedName name="solver_tim" localSheetId="2" hidden="1">2147483647</definedName>
    <definedName name="solver_tol" localSheetId="1" hidden="1">0.01</definedName>
    <definedName name="solver_tol" localSheetId="2" hidden="1">0.01</definedName>
    <definedName name="solver_typ" localSheetId="1" hidden="1">3</definedName>
    <definedName name="solver_typ" localSheetId="2" hidden="1">3</definedName>
    <definedName name="solver_val" localSheetId="1" hidden="1">155</definedName>
    <definedName name="solver_val" localSheetId="2" hidden="1">155</definedName>
    <definedName name="solver_ver" localSheetId="1" hidden="1">3</definedName>
    <definedName name="solver_ver" localSheetId="2" hidden="1">3</definedName>
  </definedNames>
  <calcPr calcId="191029"/>
  <customWorkbookViews>
    <customWorkbookView name="exibir1" guid="{4DF33EC8-0990-451E-AB44-57256A4B0BF8}" maximized="1" xWindow="-9" yWindow="-9" windowWidth="1938" windowHeight="105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16" l="1"/>
  <c r="C5" i="12"/>
  <c r="H10" i="12"/>
  <c r="B22" i="16"/>
  <c r="B21" i="16"/>
  <c r="E41" i="5" l="1"/>
  <c r="B56" i="14"/>
  <c r="I48" i="18"/>
  <c r="L42" i="18"/>
  <c r="M40" i="18"/>
  <c r="B25" i="16"/>
  <c r="C21" i="16" s="1"/>
  <c r="B19" i="16"/>
  <c r="G2" i="12"/>
  <c r="D10" i="1"/>
  <c r="C10" i="1"/>
  <c r="B12" i="1"/>
  <c r="P14" i="12"/>
  <c r="P15" i="12"/>
  <c r="P16" i="12"/>
  <c r="Q34" i="19"/>
  <c r="P34" i="19"/>
  <c r="P32" i="19"/>
  <c r="B15" i="1"/>
  <c r="B23" i="1" s="1"/>
  <c r="I43" i="5"/>
  <c r="C23" i="1"/>
  <c r="I40" i="18" l="1"/>
  <c r="C12" i="1"/>
  <c r="C29" i="15"/>
  <c r="B29" i="15"/>
  <c r="F5" i="15"/>
  <c r="D32" i="5"/>
  <c r="K34" i="19" l="1"/>
  <c r="F30" i="15"/>
  <c r="B43" i="5"/>
  <c r="J43" i="5" s="1"/>
  <c r="E28" i="15"/>
  <c r="E27" i="15"/>
  <c r="E26" i="15"/>
  <c r="E25" i="15"/>
  <c r="E9" i="15"/>
  <c r="E32" i="19"/>
  <c r="P31" i="19" s="1"/>
  <c r="D31" i="8" l="1"/>
  <c r="F10" i="12"/>
  <c r="J3" i="16"/>
  <c r="C21" i="1"/>
  <c r="C24" i="1"/>
  <c r="D3" i="1"/>
  <c r="C22" i="1"/>
  <c r="D6" i="1"/>
  <c r="D5" i="1"/>
  <c r="D4" i="1"/>
  <c r="B4" i="16" l="1"/>
  <c r="J4" i="16" s="1"/>
  <c r="B5" i="16" l="1"/>
  <c r="J5" i="16" s="1"/>
  <c r="J6" i="16" s="1"/>
  <c r="H19" i="16" l="1"/>
  <c r="H18" i="16"/>
  <c r="H17" i="16"/>
  <c r="H14" i="16"/>
  <c r="H13" i="16"/>
  <c r="H12" i="16"/>
  <c r="H11" i="16"/>
  <c r="F3" i="12"/>
  <c r="G4" i="15"/>
  <c r="T38" i="19"/>
  <c r="T39" i="19" s="1"/>
  <c r="Q33" i="19"/>
  <c r="Q32" i="19"/>
  <c r="P33" i="19" l="1"/>
  <c r="G16" i="23"/>
  <c r="E16" i="23"/>
  <c r="E15" i="23"/>
  <c r="G16" i="9"/>
  <c r="E16" i="9"/>
  <c r="G16" i="2"/>
  <c r="E17" i="2"/>
  <c r="E16" i="2"/>
  <c r="B59" i="14" l="1"/>
  <c r="C11" i="14"/>
  <c r="C3" i="16" l="1"/>
  <c r="N44" i="29"/>
  <c r="N45" i="29" s="1"/>
  <c r="B43" i="29"/>
  <c r="H36" i="29"/>
  <c r="H35" i="29"/>
  <c r="H34" i="29"/>
  <c r="H33" i="29"/>
  <c r="H32" i="29"/>
  <c r="H31" i="29"/>
  <c r="E31" i="29"/>
  <c r="D31" i="29" s="1"/>
  <c r="D39" i="29" s="1"/>
  <c r="B25" i="29"/>
  <c r="B22" i="29" s="1"/>
  <c r="B21" i="29"/>
  <c r="C21" i="29" s="1"/>
  <c r="B19" i="29"/>
  <c r="I13" i="29"/>
  <c r="H13" i="29"/>
  <c r="N12" i="29"/>
  <c r="N13" i="29" s="1"/>
  <c r="H12" i="29"/>
  <c r="H18" i="29" s="1"/>
  <c r="G12" i="29"/>
  <c r="G18" i="29" s="1"/>
  <c r="B12" i="29"/>
  <c r="H11" i="29"/>
  <c r="H17" i="29" s="1"/>
  <c r="I10" i="29"/>
  <c r="I11" i="29" s="1"/>
  <c r="I6" i="29"/>
  <c r="H6" i="29"/>
  <c r="G5" i="29"/>
  <c r="G13" i="29" s="1"/>
  <c r="G19" i="29" s="1"/>
  <c r="B5" i="29"/>
  <c r="G4" i="29"/>
  <c r="B4" i="29"/>
  <c r="J4" i="29" s="1"/>
  <c r="K3" i="29"/>
  <c r="J3" i="29"/>
  <c r="G3" i="29"/>
  <c r="G11" i="29" s="1"/>
  <c r="G17" i="29" s="1"/>
  <c r="C3" i="29"/>
  <c r="D3" i="29" s="1"/>
  <c r="G2" i="29"/>
  <c r="G9" i="29" s="1"/>
  <c r="G16" i="29" s="1"/>
  <c r="C4" i="16" l="1"/>
  <c r="I17" i="16"/>
  <c r="K3" i="16"/>
  <c r="H19" i="29"/>
  <c r="C4" i="29"/>
  <c r="E32" i="29"/>
  <c r="D32" i="29" s="1"/>
  <c r="I17" i="29"/>
  <c r="J11" i="29"/>
  <c r="I12" i="29"/>
  <c r="H14" i="29"/>
  <c r="E33" i="29"/>
  <c r="D4" i="29"/>
  <c r="J5" i="29"/>
  <c r="J6" i="29" s="1"/>
  <c r="J13" i="29"/>
  <c r="B43" i="16"/>
  <c r="C5" i="16" l="1"/>
  <c r="I18" i="16"/>
  <c r="K4" i="16"/>
  <c r="K4" i="29"/>
  <c r="C5" i="29"/>
  <c r="D33" i="29"/>
  <c r="E34" i="29"/>
  <c r="J12" i="29"/>
  <c r="I18" i="29"/>
  <c r="E29" i="10"/>
  <c r="I19" i="16" l="1"/>
  <c r="K5" i="16"/>
  <c r="K6" i="16" s="1"/>
  <c r="K5" i="29"/>
  <c r="I19" i="29"/>
  <c r="H20" i="29" s="1"/>
  <c r="D5" i="29"/>
  <c r="K6" i="29"/>
  <c r="D34" i="29"/>
  <c r="E35" i="29"/>
  <c r="D35" i="29" l="1"/>
  <c r="E36" i="29"/>
  <c r="D36" i="29" s="1"/>
  <c r="D40" i="29" s="1"/>
  <c r="B25" i="27"/>
  <c r="B28" i="27"/>
  <c r="B27" i="27"/>
  <c r="B26" i="27"/>
  <c r="B19" i="27"/>
  <c r="B18" i="27"/>
  <c r="B17" i="27"/>
  <c r="B15" i="27"/>
  <c r="C15" i="27" l="1"/>
  <c r="E41" i="28"/>
  <c r="H2" i="6"/>
  <c r="F2" i="6" s="1"/>
  <c r="B10" i="1"/>
  <c r="G33" i="28"/>
  <c r="E38" i="28" l="1"/>
  <c r="E31" i="16" l="1"/>
  <c r="D31" i="16" s="1"/>
  <c r="D39" i="16" s="1"/>
  <c r="H31" i="16"/>
  <c r="H32" i="16"/>
  <c r="J52" i="14"/>
  <c r="E32" i="16" l="1"/>
  <c r="D32" i="16" s="1"/>
  <c r="H36" i="16"/>
  <c r="H35" i="16"/>
  <c r="H34" i="16"/>
  <c r="E42" i="28"/>
  <c r="H33" i="16"/>
  <c r="E33" i="16" l="1"/>
  <c r="D33" i="16"/>
  <c r="E34" i="16"/>
  <c r="I12" i="12"/>
  <c r="I13" i="12"/>
  <c r="I14" i="12"/>
  <c r="I15" i="12"/>
  <c r="I16" i="12"/>
  <c r="I11" i="12"/>
  <c r="E39" i="28"/>
  <c r="B38" i="28"/>
  <c r="E40" i="28"/>
  <c r="D34" i="28"/>
  <c r="J44" i="28"/>
  <c r="J45" i="28"/>
  <c r="J46" i="28"/>
  <c r="D30" i="28"/>
  <c r="G66" i="28"/>
  <c r="I11" i="28"/>
  <c r="C29" i="27"/>
  <c r="C30" i="27"/>
  <c r="B21" i="27"/>
  <c r="B20" i="27"/>
  <c r="B16" i="27" l="1"/>
  <c r="E43" i="28" s="1"/>
  <c r="B22" i="27"/>
  <c r="B23" i="27" s="1"/>
  <c r="D34" i="16"/>
  <c r="E35" i="16"/>
  <c r="C3" i="27"/>
  <c r="C16" i="27" l="1"/>
  <c r="B24" i="27"/>
  <c r="B30" i="27" s="1"/>
  <c r="B29" i="27" s="1"/>
  <c r="E36" i="16"/>
  <c r="D36" i="16" s="1"/>
  <c r="D40" i="16" s="1"/>
  <c r="D35" i="16"/>
  <c r="E7" i="12"/>
  <c r="I2" i="24"/>
  <c r="F8" i="24"/>
  <c r="F2" i="24"/>
  <c r="E2" i="24"/>
  <c r="K35" i="19" l="1"/>
  <c r="C26" i="10" l="1"/>
  <c r="G9" i="28" s="1"/>
  <c r="G34" i="26"/>
  <c r="D35" i="19"/>
  <c r="K32" i="19"/>
  <c r="H34" i="19"/>
  <c r="N32" i="26"/>
  <c r="N31" i="26"/>
  <c r="F3" i="24"/>
  <c r="F4" i="24"/>
  <c r="F5" i="24"/>
  <c r="F6" i="24"/>
  <c r="F7" i="24"/>
  <c r="F9" i="24"/>
  <c r="F10" i="24"/>
  <c r="F11" i="24"/>
  <c r="F12" i="24"/>
  <c r="F13" i="24"/>
  <c r="F14" i="24"/>
  <c r="F15" i="24"/>
  <c r="G2" i="24"/>
  <c r="G3" i="24"/>
  <c r="G4" i="24"/>
  <c r="G5" i="24"/>
  <c r="G6" i="24"/>
  <c r="G7" i="24"/>
  <c r="G8" i="24"/>
  <c r="G9" i="24"/>
  <c r="G10" i="24"/>
  <c r="G11" i="24"/>
  <c r="G12" i="24"/>
  <c r="G13" i="24"/>
  <c r="G14" i="24"/>
  <c r="G15" i="24"/>
  <c r="H2" i="24"/>
  <c r="H3" i="24"/>
  <c r="H4" i="24"/>
  <c r="H5" i="24"/>
  <c r="H6" i="24"/>
  <c r="H7" i="24"/>
  <c r="H8" i="24"/>
  <c r="H9" i="24"/>
  <c r="H10" i="24"/>
  <c r="H11" i="24"/>
  <c r="H12" i="24"/>
  <c r="H13" i="24"/>
  <c r="H14" i="24"/>
  <c r="H15" i="24"/>
  <c r="I3" i="24"/>
  <c r="I4" i="24"/>
  <c r="I5" i="24"/>
  <c r="I6" i="24"/>
  <c r="I7" i="24"/>
  <c r="I8" i="24"/>
  <c r="I9" i="24"/>
  <c r="I10" i="24"/>
  <c r="I11" i="24"/>
  <c r="I12" i="24"/>
  <c r="I13" i="24"/>
  <c r="I14" i="24"/>
  <c r="I15" i="24"/>
  <c r="H26" i="16" l="1"/>
  <c r="H27" i="16"/>
  <c r="H27" i="29"/>
  <c r="H26" i="29"/>
  <c r="H24" i="29"/>
  <c r="H25" i="29"/>
  <c r="N34" i="26"/>
  <c r="J45" i="26" l="1"/>
  <c r="E3" i="24"/>
  <c r="E4" i="24"/>
  <c r="E5" i="24"/>
  <c r="E6" i="24"/>
  <c r="E7" i="24"/>
  <c r="E8" i="24"/>
  <c r="E9" i="24"/>
  <c r="E10" i="24"/>
  <c r="E11" i="24"/>
  <c r="E12" i="24"/>
  <c r="E13" i="24"/>
  <c r="E14" i="24"/>
  <c r="E15" i="24"/>
  <c r="D33" i="26"/>
  <c r="F3" i="6"/>
  <c r="I41" i="18"/>
  <c r="M41" i="18"/>
  <c r="E8" i="6"/>
  <c r="I11" i="26"/>
  <c r="G32" i="26"/>
  <c r="H33" i="26"/>
  <c r="G56" i="26"/>
  <c r="C15" i="24"/>
  <c r="C14" i="24"/>
  <c r="C13" i="24"/>
  <c r="C12" i="24"/>
  <c r="C11" i="24"/>
  <c r="C10" i="24"/>
  <c r="C9" i="24"/>
  <c r="C8" i="24"/>
  <c r="C7" i="24"/>
  <c r="C6" i="24"/>
  <c r="C5" i="24"/>
  <c r="C4" i="24"/>
  <c r="C3" i="24"/>
  <c r="C2" i="24"/>
  <c r="I39" i="26" s="1"/>
  <c r="I40" i="26" l="1"/>
  <c r="J40" i="26" s="1"/>
  <c r="I37" i="26"/>
  <c r="I43" i="26"/>
  <c r="J43" i="26" s="1"/>
  <c r="I38" i="26"/>
  <c r="J38" i="26" s="1"/>
  <c r="I42" i="26"/>
  <c r="J42" i="26" s="1"/>
  <c r="I41" i="26"/>
  <c r="J41" i="26" s="1"/>
  <c r="I44" i="26"/>
  <c r="J44" i="26" s="1"/>
  <c r="C43" i="26"/>
  <c r="C37" i="26"/>
  <c r="C42" i="26"/>
  <c r="C41" i="26"/>
  <c r="C39" i="26"/>
  <c r="C38" i="26"/>
  <c r="C40" i="26"/>
  <c r="C44" i="26"/>
  <c r="E14" i="6"/>
  <c r="E20" i="6"/>
  <c r="E12" i="6"/>
  <c r="E21" i="6"/>
  <c r="E23" i="6"/>
  <c r="E15" i="6"/>
  <c r="E22" i="6"/>
  <c r="E13" i="6"/>
  <c r="E10" i="6"/>
  <c r="E19" i="6"/>
  <c r="E11" i="6"/>
  <c r="E26" i="6"/>
  <c r="E18" i="6"/>
  <c r="E25" i="6"/>
  <c r="E17" i="6"/>
  <c r="E9" i="6"/>
  <c r="E24" i="6"/>
  <c r="E16" i="6"/>
  <c r="J39" i="26"/>
  <c r="N35" i="26"/>
  <c r="J37" i="26" l="1"/>
  <c r="I46" i="26" s="1"/>
  <c r="B46" i="26"/>
  <c r="M36" i="19"/>
  <c r="M32" i="22"/>
  <c r="M33" i="22" s="1"/>
  <c r="M34" i="22" s="1"/>
  <c r="I50" i="23"/>
  <c r="E50" i="23"/>
  <c r="D50" i="23"/>
  <c r="B50" i="23"/>
  <c r="B49" i="23"/>
  <c r="I49" i="23"/>
  <c r="E49" i="23"/>
  <c r="D49" i="23"/>
  <c r="D35" i="23"/>
  <c r="D34" i="23"/>
  <c r="D33" i="23"/>
  <c r="H33" i="23"/>
  <c r="H34" i="23"/>
  <c r="H32" i="23"/>
  <c r="B55" i="23"/>
  <c r="B56" i="23"/>
  <c r="B54" i="23"/>
  <c r="E28" i="23"/>
  <c r="E27" i="23"/>
  <c r="E26" i="23"/>
  <c r="E25" i="23"/>
  <c r="E24" i="23"/>
  <c r="I17" i="23"/>
  <c r="E19" i="23"/>
  <c r="E18" i="23"/>
  <c r="E17" i="23"/>
  <c r="E14" i="23"/>
  <c r="E13" i="23"/>
  <c r="G60" i="23" s="1"/>
  <c r="C11" i="23"/>
  <c r="B57" i="23" s="1"/>
  <c r="E48" i="23"/>
  <c r="D47" i="23"/>
  <c r="E47" i="23" s="1"/>
  <c r="D46" i="23"/>
  <c r="D45" i="23"/>
  <c r="E45" i="23" s="1"/>
  <c r="D44" i="23"/>
  <c r="D43" i="23"/>
  <c r="D42" i="23"/>
  <c r="D36" i="23"/>
  <c r="G35" i="23"/>
  <c r="I11" i="23"/>
  <c r="E46" i="23" l="1"/>
  <c r="J50" i="23"/>
  <c r="I37" i="19"/>
  <c r="I36" i="19"/>
  <c r="J49" i="23"/>
  <c r="I41" i="22"/>
  <c r="J41" i="22" s="1"/>
  <c r="I40" i="22"/>
  <c r="J40" i="22" s="1"/>
  <c r="B40" i="3"/>
  <c r="D43" i="14"/>
  <c r="J48" i="11"/>
  <c r="E13" i="12"/>
  <c r="D32" i="14"/>
  <c r="D32" i="23" s="1"/>
  <c r="D32" i="3"/>
  <c r="D32" i="2" s="1"/>
  <c r="G59" i="11"/>
  <c r="B49" i="11"/>
  <c r="J47" i="11"/>
  <c r="J46" i="11"/>
  <c r="J45" i="11"/>
  <c r="J44" i="11"/>
  <c r="J43" i="11"/>
  <c r="J42" i="11"/>
  <c r="J41" i="11"/>
  <c r="J40" i="11"/>
  <c r="I11" i="11"/>
  <c r="G62" i="19"/>
  <c r="J52" i="19"/>
  <c r="E46" i="19"/>
  <c r="J44" i="19"/>
  <c r="E43" i="19"/>
  <c r="E42" i="19"/>
  <c r="K37" i="19"/>
  <c r="I11" i="19"/>
  <c r="G62" i="14"/>
  <c r="J51" i="14"/>
  <c r="J50" i="14"/>
  <c r="E49" i="14"/>
  <c r="D48" i="14"/>
  <c r="E48" i="14" s="1"/>
  <c r="D47" i="14"/>
  <c r="E47" i="14" s="1"/>
  <c r="D46" i="14"/>
  <c r="E46" i="14" s="1"/>
  <c r="D45" i="14"/>
  <c r="D44" i="14"/>
  <c r="E44" i="14" s="1"/>
  <c r="D36" i="14"/>
  <c r="G35" i="14"/>
  <c r="I11" i="14"/>
  <c r="N16" i="12"/>
  <c r="K16" i="12"/>
  <c r="D16" i="12"/>
  <c r="R16" i="12" s="1"/>
  <c r="N15" i="12"/>
  <c r="K15" i="12"/>
  <c r="D15" i="12"/>
  <c r="R15" i="12" s="1"/>
  <c r="N14" i="12"/>
  <c r="K14" i="12"/>
  <c r="D14" i="12"/>
  <c r="R14" i="12" s="1"/>
  <c r="N13" i="12"/>
  <c r="K13" i="12"/>
  <c r="D13" i="12"/>
  <c r="R13" i="12" s="1"/>
  <c r="N12" i="12"/>
  <c r="K12" i="12"/>
  <c r="D12" i="12"/>
  <c r="R12" i="12" s="1"/>
  <c r="N11" i="12"/>
  <c r="K11" i="12"/>
  <c r="D10" i="12"/>
  <c r="R10" i="12" s="1"/>
  <c r="C9" i="12"/>
  <c r="D8" i="12"/>
  <c r="D6" i="12"/>
  <c r="B52" i="9"/>
  <c r="B51" i="9"/>
  <c r="B50" i="9"/>
  <c r="I46" i="9"/>
  <c r="E46" i="9"/>
  <c r="D46" i="9"/>
  <c r="B46" i="9"/>
  <c r="I45" i="9"/>
  <c r="E45" i="9"/>
  <c r="D45" i="9"/>
  <c r="B45" i="9"/>
  <c r="I44" i="9"/>
  <c r="E44" i="9"/>
  <c r="D44" i="9"/>
  <c r="B44" i="9"/>
  <c r="I43" i="9"/>
  <c r="E43" i="9"/>
  <c r="D43" i="9"/>
  <c r="B43" i="9"/>
  <c r="I42" i="9"/>
  <c r="E42" i="9"/>
  <c r="D42" i="9"/>
  <c r="B42" i="9"/>
  <c r="I41" i="9"/>
  <c r="E41" i="9"/>
  <c r="D41" i="9"/>
  <c r="B41" i="9"/>
  <c r="G34" i="9"/>
  <c r="D34" i="9"/>
  <c r="H33" i="9"/>
  <c r="D33" i="9"/>
  <c r="H32" i="9"/>
  <c r="D32" i="9"/>
  <c r="H31" i="9"/>
  <c r="D31" i="9"/>
  <c r="E27" i="9"/>
  <c r="I25" i="9"/>
  <c r="H25" i="9"/>
  <c r="G25" i="9"/>
  <c r="F25" i="9"/>
  <c r="E25" i="9"/>
  <c r="I24" i="9"/>
  <c r="H24" i="9"/>
  <c r="G24" i="9"/>
  <c r="F24" i="9"/>
  <c r="E24" i="9"/>
  <c r="E19" i="9"/>
  <c r="E18" i="9"/>
  <c r="I17" i="9"/>
  <c r="H17" i="9"/>
  <c r="E17" i="9"/>
  <c r="E15" i="9"/>
  <c r="E14" i="9"/>
  <c r="E13" i="9"/>
  <c r="G57" i="9" s="1"/>
  <c r="I11" i="9"/>
  <c r="G57" i="8"/>
  <c r="J46" i="8"/>
  <c r="J45" i="8"/>
  <c r="J44" i="8"/>
  <c r="J43" i="8"/>
  <c r="J42" i="8"/>
  <c r="J41" i="8"/>
  <c r="D35" i="8"/>
  <c r="D35" i="9" s="1"/>
  <c r="G34" i="8"/>
  <c r="I25" i="8"/>
  <c r="H25" i="8"/>
  <c r="G25" i="8"/>
  <c r="F25" i="8"/>
  <c r="E25" i="8"/>
  <c r="I24" i="8"/>
  <c r="H24" i="8"/>
  <c r="G24" i="8"/>
  <c r="F24" i="8"/>
  <c r="E24" i="8"/>
  <c r="I11" i="8"/>
  <c r="B27" i="6"/>
  <c r="E7" i="6" s="1"/>
  <c r="E28" i="6" s="1"/>
  <c r="J26" i="6"/>
  <c r="G26" i="6"/>
  <c r="F26" i="6"/>
  <c r="J25" i="6"/>
  <c r="G25" i="6"/>
  <c r="F25" i="6"/>
  <c r="J24" i="6"/>
  <c r="G24" i="6"/>
  <c r="F24" i="6"/>
  <c r="J23" i="6"/>
  <c r="G23" i="6"/>
  <c r="F23" i="6"/>
  <c r="J22" i="6"/>
  <c r="G22" i="6"/>
  <c r="F22" i="6"/>
  <c r="J21" i="6"/>
  <c r="G21" i="6"/>
  <c r="F21" i="6"/>
  <c r="J20" i="6"/>
  <c r="G20" i="6"/>
  <c r="F20" i="6"/>
  <c r="J19" i="6"/>
  <c r="G19" i="6"/>
  <c r="F19" i="6"/>
  <c r="J18" i="6"/>
  <c r="G18" i="6"/>
  <c r="F18" i="6"/>
  <c r="J17" i="6"/>
  <c r="G17" i="6"/>
  <c r="F17" i="6"/>
  <c r="J16" i="6"/>
  <c r="G16" i="6"/>
  <c r="F16" i="6"/>
  <c r="J15" i="6"/>
  <c r="G15" i="6"/>
  <c r="F15" i="6"/>
  <c r="J14" i="6"/>
  <c r="G14" i="6"/>
  <c r="F14" i="6"/>
  <c r="J13" i="6"/>
  <c r="G13" i="6"/>
  <c r="F13" i="6"/>
  <c r="J12" i="6"/>
  <c r="G12" i="6"/>
  <c r="F12" i="6"/>
  <c r="J11" i="6"/>
  <c r="I26" i="9" s="1"/>
  <c r="G11" i="6"/>
  <c r="F11" i="6"/>
  <c r="J10" i="6"/>
  <c r="H26" i="8" s="1"/>
  <c r="G10" i="6"/>
  <c r="F10" i="6"/>
  <c r="J9" i="6"/>
  <c r="G26" i="8" s="1"/>
  <c r="G9" i="6"/>
  <c r="F9" i="6"/>
  <c r="J8" i="6"/>
  <c r="F26" i="9" s="1"/>
  <c r="G8" i="6"/>
  <c r="F8" i="6"/>
  <c r="J7" i="6"/>
  <c r="E26" i="9" s="1"/>
  <c r="F4" i="6"/>
  <c r="G59" i="18"/>
  <c r="J48" i="18"/>
  <c r="J47" i="18"/>
  <c r="J46" i="18"/>
  <c r="J45" i="18"/>
  <c r="J44" i="18"/>
  <c r="J43" i="18"/>
  <c r="J42" i="18"/>
  <c r="J41" i="18"/>
  <c r="J40" i="18"/>
  <c r="D36" i="18"/>
  <c r="G35" i="18"/>
  <c r="I11" i="18"/>
  <c r="G59" i="22"/>
  <c r="J48" i="22"/>
  <c r="J47" i="22"/>
  <c r="J46" i="22"/>
  <c r="J45" i="22"/>
  <c r="J44" i="22"/>
  <c r="J43" i="22"/>
  <c r="J42" i="22"/>
  <c r="D36" i="22"/>
  <c r="G35" i="22"/>
  <c r="I11" i="22"/>
  <c r="G59" i="5"/>
  <c r="J48" i="5"/>
  <c r="J47" i="5"/>
  <c r="J46" i="5"/>
  <c r="J45" i="5"/>
  <c r="J44" i="5"/>
  <c r="E42" i="5"/>
  <c r="J41" i="5"/>
  <c r="D36" i="5"/>
  <c r="G35" i="5"/>
  <c r="I11" i="5"/>
  <c r="G28" i="15"/>
  <c r="F28" i="15"/>
  <c r="G27" i="15"/>
  <c r="F27" i="15"/>
  <c r="G26" i="15"/>
  <c r="F26" i="15"/>
  <c r="G25" i="15"/>
  <c r="F25" i="15"/>
  <c r="G24" i="15"/>
  <c r="F24" i="15"/>
  <c r="G23" i="15"/>
  <c r="F23" i="15"/>
  <c r="G22" i="15"/>
  <c r="F22" i="15"/>
  <c r="G21" i="15"/>
  <c r="F21" i="15"/>
  <c r="G20" i="15"/>
  <c r="F20" i="15"/>
  <c r="G19" i="15"/>
  <c r="F19" i="15"/>
  <c r="G18" i="15"/>
  <c r="F18" i="15"/>
  <c r="G17" i="15"/>
  <c r="F17" i="15"/>
  <c r="G16" i="15"/>
  <c r="F16" i="15"/>
  <c r="G15" i="15"/>
  <c r="F15" i="15"/>
  <c r="G14" i="15"/>
  <c r="F14" i="15"/>
  <c r="G13" i="15"/>
  <c r="F13" i="15"/>
  <c r="A10" i="15"/>
  <c r="A11" i="15" s="1"/>
  <c r="F3" i="15"/>
  <c r="I1" i="15"/>
  <c r="B56" i="2"/>
  <c r="B55" i="2"/>
  <c r="B54" i="2"/>
  <c r="B53" i="2"/>
  <c r="I49" i="2"/>
  <c r="E49" i="2"/>
  <c r="D49" i="2"/>
  <c r="B49" i="2"/>
  <c r="I48" i="2"/>
  <c r="E48" i="2"/>
  <c r="D48" i="2"/>
  <c r="B48" i="2"/>
  <c r="I47" i="2"/>
  <c r="E47" i="2"/>
  <c r="D47" i="2"/>
  <c r="B47" i="2"/>
  <c r="I46" i="2"/>
  <c r="E46" i="2"/>
  <c r="D46" i="2"/>
  <c r="B46" i="2"/>
  <c r="E42" i="2"/>
  <c r="E41" i="2"/>
  <c r="E40" i="2"/>
  <c r="D36" i="2"/>
  <c r="G35" i="2"/>
  <c r="D35" i="2"/>
  <c r="H34" i="2"/>
  <c r="D34" i="2"/>
  <c r="H33" i="2"/>
  <c r="D33" i="2"/>
  <c r="H32" i="2"/>
  <c r="C29" i="2"/>
  <c r="E28" i="2"/>
  <c r="E27" i="2"/>
  <c r="E26" i="2"/>
  <c r="E25" i="2"/>
  <c r="C25" i="2"/>
  <c r="E24" i="2"/>
  <c r="E19" i="2"/>
  <c r="E18" i="2"/>
  <c r="I17" i="2"/>
  <c r="H17" i="2"/>
  <c r="E15" i="2"/>
  <c r="E14" i="2"/>
  <c r="E13" i="2"/>
  <c r="G60" i="2" s="1"/>
  <c r="I11" i="2"/>
  <c r="G59" i="3"/>
  <c r="J48" i="3"/>
  <c r="J47" i="3"/>
  <c r="J46" i="3"/>
  <c r="J45" i="3"/>
  <c r="J43" i="3"/>
  <c r="E43" i="3"/>
  <c r="J42" i="3"/>
  <c r="E42" i="3"/>
  <c r="E40" i="3"/>
  <c r="G35" i="3"/>
  <c r="I11" i="3"/>
  <c r="I42" i="2"/>
  <c r="A21" i="1"/>
  <c r="C5" i="1"/>
  <c r="F6" i="15"/>
  <c r="I42" i="5" s="1"/>
  <c r="C3" i="1"/>
  <c r="A18" i="12"/>
  <c r="I40" i="9"/>
  <c r="I10" i="16"/>
  <c r="I6" i="16"/>
  <c r="H6" i="16"/>
  <c r="G5" i="16"/>
  <c r="G13" i="16" s="1"/>
  <c r="G19" i="16" s="1"/>
  <c r="G4" i="16"/>
  <c r="G12" i="16" s="1"/>
  <c r="G18" i="16" s="1"/>
  <c r="G3" i="16"/>
  <c r="G11" i="16" s="1"/>
  <c r="G17" i="16" s="1"/>
  <c r="G2" i="16"/>
  <c r="G9" i="16" s="1"/>
  <c r="G16" i="16" s="1"/>
  <c r="G9" i="26"/>
  <c r="P10" i="12" l="1"/>
  <c r="J42" i="14" s="1"/>
  <c r="E43" i="23"/>
  <c r="E44" i="23"/>
  <c r="E43" i="14"/>
  <c r="K33" i="19"/>
  <c r="B55" i="19" s="1"/>
  <c r="B44" i="2"/>
  <c r="I11" i="16"/>
  <c r="I13" i="16"/>
  <c r="J13" i="16" s="1"/>
  <c r="I12" i="16"/>
  <c r="J12" i="16" s="1"/>
  <c r="E45" i="14"/>
  <c r="N24" i="29"/>
  <c r="N25" i="29" s="1"/>
  <c r="H23" i="29" s="1"/>
  <c r="B23" i="29" s="1"/>
  <c r="E29" i="6"/>
  <c r="N10" i="16" s="1"/>
  <c r="I41" i="2"/>
  <c r="J46" i="9"/>
  <c r="H26" i="9"/>
  <c r="B39" i="9"/>
  <c r="D3" i="16"/>
  <c r="G9" i="14"/>
  <c r="G9" i="23"/>
  <c r="J41" i="9"/>
  <c r="J42" i="9"/>
  <c r="B24" i="1"/>
  <c r="B43" i="2" s="1"/>
  <c r="B40" i="2"/>
  <c r="F8" i="1"/>
  <c r="F11" i="12"/>
  <c r="D11" i="12"/>
  <c r="R11" i="12" s="1"/>
  <c r="C17" i="12"/>
  <c r="E10" i="12"/>
  <c r="N10" i="12" s="1"/>
  <c r="N17" i="12" s="1"/>
  <c r="E15" i="12"/>
  <c r="E12" i="12"/>
  <c r="E14" i="12"/>
  <c r="E11" i="12"/>
  <c r="E16" i="12"/>
  <c r="F4" i="12"/>
  <c r="J47" i="2"/>
  <c r="J49" i="2"/>
  <c r="J46" i="2"/>
  <c r="J48" i="2"/>
  <c r="O15" i="12"/>
  <c r="O13" i="12"/>
  <c r="O12" i="12"/>
  <c r="O11" i="12"/>
  <c r="O16" i="12"/>
  <c r="O14" i="12"/>
  <c r="G9" i="5"/>
  <c r="G9" i="3"/>
  <c r="G9" i="8"/>
  <c r="I49" i="11"/>
  <c r="F16" i="12"/>
  <c r="J48" i="14" s="1"/>
  <c r="F15" i="12"/>
  <c r="J47" i="14" s="1"/>
  <c r="B47" i="14" s="1"/>
  <c r="I47" i="14" s="1"/>
  <c r="F14" i="12"/>
  <c r="J46" i="14" s="1"/>
  <c r="B46" i="14" s="1"/>
  <c r="F13" i="12"/>
  <c r="F12" i="12"/>
  <c r="J44" i="9"/>
  <c r="J43" i="9"/>
  <c r="J45" i="9"/>
  <c r="I26" i="8"/>
  <c r="E26" i="8"/>
  <c r="G26" i="9"/>
  <c r="C27" i="6"/>
  <c r="B40" i="8" s="1"/>
  <c r="J40" i="8" s="1"/>
  <c r="I49" i="22"/>
  <c r="B49" i="22" s="1"/>
  <c r="E23" i="15"/>
  <c r="E19" i="15"/>
  <c r="E22" i="15"/>
  <c r="E18" i="15"/>
  <c r="E15" i="15"/>
  <c r="E14" i="15"/>
  <c r="E24" i="15"/>
  <c r="E16" i="15"/>
  <c r="E21" i="15"/>
  <c r="E13" i="15"/>
  <c r="E20" i="15"/>
  <c r="E12" i="15"/>
  <c r="E17" i="15"/>
  <c r="C6" i="1"/>
  <c r="E41" i="3" s="1"/>
  <c r="B41" i="3"/>
  <c r="J41" i="3" s="1"/>
  <c r="A12" i="15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I49" i="18"/>
  <c r="B49" i="18" s="1"/>
  <c r="G9" i="22"/>
  <c r="G9" i="9"/>
  <c r="G9" i="18"/>
  <c r="B39" i="8"/>
  <c r="G9" i="11"/>
  <c r="G9" i="2"/>
  <c r="I43" i="2"/>
  <c r="F26" i="8"/>
  <c r="G9" i="19"/>
  <c r="F7" i="1"/>
  <c r="P13" i="12" l="1"/>
  <c r="J45" i="14" s="1"/>
  <c r="B45" i="14" s="1"/>
  <c r="I45" i="14" s="1"/>
  <c r="P12" i="12"/>
  <c r="J44" i="14" s="1"/>
  <c r="B44" i="14" s="1"/>
  <c r="I44" i="14" s="1"/>
  <c r="P11" i="12"/>
  <c r="J43" i="14" s="1"/>
  <c r="B43" i="14" s="1"/>
  <c r="I43" i="14" s="1"/>
  <c r="G12" i="15"/>
  <c r="F12" i="15"/>
  <c r="R17" i="12"/>
  <c r="D18" i="12" s="1"/>
  <c r="Q21" i="12" s="1"/>
  <c r="H25" i="16"/>
  <c r="I35" i="19" s="1"/>
  <c r="B42" i="5"/>
  <c r="J42" i="5" s="1"/>
  <c r="J11" i="16"/>
  <c r="B48" i="14"/>
  <c r="I48" i="14" s="1"/>
  <c r="I10" i="12"/>
  <c r="O10" i="12" s="1"/>
  <c r="D41" i="23"/>
  <c r="E41" i="23" s="1"/>
  <c r="D42" i="14"/>
  <c r="E42" i="14" s="1"/>
  <c r="H17" i="12"/>
  <c r="E41" i="14" s="1"/>
  <c r="B40" i="14"/>
  <c r="E30" i="6"/>
  <c r="I46" i="14"/>
  <c r="D4" i="16"/>
  <c r="G7" i="6"/>
  <c r="F7" i="6"/>
  <c r="E42" i="23"/>
  <c r="Q15" i="12"/>
  <c r="Q16" i="12"/>
  <c r="Q14" i="12"/>
  <c r="J43" i="2"/>
  <c r="D24" i="1"/>
  <c r="D8" i="1" s="1"/>
  <c r="D17" i="12"/>
  <c r="E17" i="12"/>
  <c r="B40" i="9"/>
  <c r="J40" i="9" s="1"/>
  <c r="D23" i="1"/>
  <c r="D7" i="1" s="1"/>
  <c r="I44" i="2"/>
  <c r="J44" i="2" s="1"/>
  <c r="Q13" i="12" l="1"/>
  <c r="Q12" i="12"/>
  <c r="Q28" i="12"/>
  <c r="B7" i="1"/>
  <c r="B8" i="1" s="1"/>
  <c r="E11" i="15"/>
  <c r="G11" i="15" s="1"/>
  <c r="E10" i="15"/>
  <c r="B40" i="5"/>
  <c r="B42" i="14"/>
  <c r="I42" i="14" s="1"/>
  <c r="E40" i="23"/>
  <c r="I17" i="12"/>
  <c r="K10" i="12"/>
  <c r="K17" i="12" s="1"/>
  <c r="H20" i="16"/>
  <c r="D5" i="16"/>
  <c r="J39" i="8"/>
  <c r="I39" i="8" s="1"/>
  <c r="Q11" i="12"/>
  <c r="P17" i="12"/>
  <c r="G9" i="15"/>
  <c r="F9" i="15"/>
  <c r="E30" i="15" l="1"/>
  <c r="E31" i="15" s="1"/>
  <c r="G10" i="15"/>
  <c r="F10" i="15"/>
  <c r="F11" i="15"/>
  <c r="J40" i="23"/>
  <c r="B40" i="23" s="1"/>
  <c r="I40" i="23" s="1"/>
  <c r="Q10" i="12"/>
  <c r="Q17" i="12" s="1"/>
  <c r="O17" i="12"/>
  <c r="Q26" i="12" s="1"/>
  <c r="I47" i="8"/>
  <c r="B47" i="8" s="1"/>
  <c r="J39" i="9"/>
  <c r="I47" i="9" s="1"/>
  <c r="B47" i="9" s="1"/>
  <c r="Q20" i="12" l="1"/>
  <c r="J45" i="23" s="1"/>
  <c r="B45" i="23" s="1"/>
  <c r="I45" i="23" s="1"/>
  <c r="Q19" i="12"/>
  <c r="J48" i="23" s="1"/>
  <c r="E32" i="15"/>
  <c r="J40" i="5"/>
  <c r="I40" i="5" s="1"/>
  <c r="N4" i="16"/>
  <c r="J41" i="14"/>
  <c r="B41" i="14" s="1"/>
  <c r="I41" i="14" s="1"/>
  <c r="Q27" i="12"/>
  <c r="I39" i="9"/>
  <c r="I49" i="5" l="1"/>
  <c r="B49" i="5" s="1"/>
  <c r="J49" i="14"/>
  <c r="H24" i="16"/>
  <c r="I34" i="19" s="1"/>
  <c r="J46" i="23"/>
  <c r="B46" i="23" s="1"/>
  <c r="J47" i="23"/>
  <c r="J40" i="14"/>
  <c r="I40" i="14" s="1"/>
  <c r="Q22" i="12"/>
  <c r="Q25" i="12" s="1"/>
  <c r="J43" i="23"/>
  <c r="B43" i="23" s="1"/>
  <c r="J44" i="23"/>
  <c r="B44" i="23" s="1"/>
  <c r="J42" i="23"/>
  <c r="B42" i="23" s="1"/>
  <c r="I42" i="23" s="1"/>
  <c r="J41" i="23"/>
  <c r="B41" i="23" s="1"/>
  <c r="I41" i="23" s="1"/>
  <c r="E40" i="14"/>
  <c r="B47" i="23" l="1"/>
  <c r="I47" i="23" s="1"/>
  <c r="Q23" i="12"/>
  <c r="Q24" i="12"/>
  <c r="I46" i="23"/>
  <c r="I53" i="14"/>
  <c r="B53" i="14" s="1"/>
  <c r="I43" i="23"/>
  <c r="I44" i="23"/>
  <c r="I51" i="23"/>
  <c r="B54" i="14" l="1"/>
  <c r="I38" i="28" l="1"/>
  <c r="J38" i="28" s="1"/>
  <c r="J47" i="28" s="1"/>
  <c r="B47" i="28" s="1"/>
  <c r="B11" i="1"/>
  <c r="C11" i="1" s="1"/>
  <c r="B13" i="1"/>
  <c r="C13" i="1" s="1"/>
  <c r="N7" i="16" l="1"/>
  <c r="H23" i="16" s="1"/>
  <c r="B14" i="1"/>
  <c r="C14" i="1" s="1"/>
  <c r="B17" i="1" s="1"/>
  <c r="B21" i="1" s="1"/>
  <c r="B18" i="1" l="1"/>
  <c r="C17" i="1"/>
  <c r="Q31" i="19"/>
  <c r="I33" i="19"/>
  <c r="I41" i="19" s="1"/>
  <c r="J41" i="19" s="1"/>
  <c r="J45" i="19" s="1"/>
  <c r="B23" i="16"/>
  <c r="J46" i="19" l="1"/>
  <c r="K42" i="19" s="1"/>
  <c r="I42" i="19"/>
  <c r="J42" i="19" s="1"/>
  <c r="I43" i="19"/>
  <c r="J43" i="19" s="1"/>
  <c r="K45" i="19"/>
  <c r="B45" i="19"/>
  <c r="D21" i="1"/>
  <c r="B22" i="1"/>
  <c r="B41" i="2"/>
  <c r="J41" i="2" s="1"/>
  <c r="D22" i="1" l="1"/>
  <c r="D25" i="1" s="1"/>
  <c r="B42" i="2"/>
  <c r="J42" i="2" s="1"/>
  <c r="E21" i="1"/>
  <c r="B25" i="1"/>
  <c r="C9" i="1" l="1"/>
  <c r="E44" i="3" s="1"/>
  <c r="E45" i="2" s="1"/>
  <c r="J40" i="3"/>
  <c r="J44" i="3"/>
  <c r="I44" i="3" s="1"/>
  <c r="I45" i="2" s="1"/>
  <c r="J45" i="2" s="1"/>
  <c r="C25" i="1"/>
  <c r="D13" i="1"/>
  <c r="I49" i="3" l="1"/>
  <c r="I40" i="3"/>
  <c r="I50" i="2" l="1"/>
  <c r="B49" i="3"/>
  <c r="B50" i="2" l="1"/>
  <c r="J40" i="2"/>
  <c r="I40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CLÁUDIO __PRECIZA A.P.</author>
    <author>CLAUDIO</author>
    <author>CLAUDIO_PRECIZA AP</author>
  </authors>
  <commentList>
    <comment ref="C1" authorId="0" shapeId="0" xr:uid="{4AA751A6-5A6A-4C94-A151-61B3B8505DC2}">
      <text>
        <r>
          <rPr>
            <b/>
            <sz val="9"/>
            <color indexed="81"/>
            <rFont val="Segoe UI"/>
            <family val="2"/>
          </rPr>
          <t>Diferença entre classes de AP/RN</t>
        </r>
      </text>
    </comment>
    <comment ref="B3" authorId="1" shapeId="0" xr:uid="{00000000-0006-0000-0100-000001000000}">
      <text>
        <r>
          <rPr>
            <b/>
            <sz val="9"/>
            <color indexed="81"/>
            <rFont val="Segoe UI"/>
            <family val="2"/>
          </rPr>
          <t>ALTERAR SOMENTE ESSA CELULA, O RESTANTE ALTERA AUTOMATICO</t>
        </r>
      </text>
    </comment>
    <comment ref="B12" authorId="2" shapeId="0" xr:uid="{00000000-0006-0000-0100-000002000000}">
      <text>
        <r>
          <rPr>
            <b/>
            <sz val="9"/>
            <color indexed="81"/>
            <rFont val="Segoe UI"/>
            <family val="2"/>
          </rPr>
          <t>ALTERAR VALOR DA CELULA B-25
 x 3 por:
- combustivel;
- manutenção;
- motorista.</t>
        </r>
      </text>
    </comment>
    <comment ref="B19" authorId="0" shapeId="0" xr:uid="{5950726A-644E-432C-AC8B-9B5C727CB5BB}">
      <text>
        <r>
          <rPr>
            <b/>
            <sz val="9"/>
            <color indexed="81"/>
            <rFont val="Segoe UI"/>
            <family val="2"/>
          </rPr>
          <t>5 Km x 2 (ida e volta) x 3 (3x despesa km) x R$/Lt</t>
        </r>
      </text>
    </comment>
    <comment ref="B21" authorId="2" shapeId="0" xr:uid="{00000000-0006-0000-0100-000003000000}">
      <text>
        <r>
          <rPr>
            <b/>
            <sz val="9"/>
            <color indexed="81"/>
            <rFont val="Segoe UI"/>
            <family val="2"/>
          </rPr>
          <t>ALTERAR VALOR DA CELULA B-25
Em 2024 alterei pra Oleo Diesel x 2
GASTO EM OLEO DIESEL: 1 Km/Lt
FRETE = (COMBUSTIVEL X 3), SENDO:
1 - oleo diesel;
2 - manut caminhão + manut equipamento;
(3 - motorista)
Repassado 6% para motorista, para tirar despesas de alimentação</t>
        </r>
      </text>
    </comment>
    <comment ref="B22" authorId="2" shapeId="0" xr:uid="{00000000-0006-0000-0100-000004000000}">
      <text>
        <r>
          <rPr>
            <b/>
            <sz val="9"/>
            <color indexed="81"/>
            <rFont val="Segoe UI"/>
            <family val="2"/>
          </rPr>
          <t xml:space="preserve">ALTERAR VALOR DA CELULA B-25
CONSIDERADO KM/LT X 2
- COMBUSTIVEL
- PNEU/MANUTENÇÃO
</t>
        </r>
      </text>
    </comment>
    <comment ref="H23" authorId="0" shapeId="0" xr:uid="{4589BBA0-D286-4C97-9E54-B39C4EB2D34C}">
      <text>
        <r>
          <rPr>
            <b/>
            <sz val="9"/>
            <color indexed="81"/>
            <rFont val="Segoe UI"/>
            <family val="2"/>
          </rPr>
          <t xml:space="preserve">cobrado financeiro de 2% a.m. pelos anos sequentes ao atual, até termino do contrato (que é o reajuste sofrido no custo), então:
Se Equaliza de 3 anos:
2 anos X 12 meses X 2% = 48% ou 1,48 X R$médio
Se Equaliza de 4 anos:
3 anos X 12 meses X 2% = 72% ou 1,72 X R$médio
</t>
        </r>
      </text>
    </comment>
    <comment ref="B26" authorId="2" shapeId="0" xr:uid="{00000000-0006-0000-0100-000005000000}">
      <text>
        <r>
          <rPr>
            <b/>
            <sz val="9"/>
            <color indexed="81"/>
            <rFont val="Segoe UI"/>
            <family val="2"/>
          </rPr>
          <t>valor /alq/ortomosaico gerado.
Se projeto de curvas, duplicará esse valor.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CLÁUDIO __PRECIZA A.P.</author>
    <author>CLAUDIO</author>
    <author>CLAUDIO_PRECIZA AP</author>
  </authors>
  <commentList>
    <comment ref="C1" authorId="0" shapeId="0" xr:uid="{BDBA05D3-1CFF-4459-ABD8-A8C7CC1FC441}">
      <text>
        <r>
          <rPr>
            <b/>
            <sz val="9"/>
            <color indexed="81"/>
            <rFont val="Segoe UI"/>
            <family val="2"/>
          </rPr>
          <t>Diferença entre classes de AP/RN</t>
        </r>
      </text>
    </comment>
    <comment ref="B3" authorId="1" shapeId="0" xr:uid="{76D213E6-5FAE-44A9-AF9C-369E522437C0}">
      <text>
        <r>
          <rPr>
            <b/>
            <sz val="9"/>
            <color indexed="81"/>
            <rFont val="Segoe UI"/>
            <family val="2"/>
          </rPr>
          <t>ALTERAR SOMENTE ESSA CELULA, O RESTANTE ALTERA AUTOMATICO</t>
        </r>
      </text>
    </comment>
    <comment ref="B12" authorId="2" shapeId="0" xr:uid="{3DFA5CFD-640E-4EF7-B82B-C3E6BE35316E}">
      <text>
        <r>
          <rPr>
            <b/>
            <sz val="9"/>
            <color indexed="81"/>
            <rFont val="Segoe UI"/>
            <family val="2"/>
          </rPr>
          <t>ALTERAR VALOR DA CELULA B-25
 x 3 por:
- combustivel;
- manutenção;
- motorista.</t>
        </r>
      </text>
    </comment>
    <comment ref="B19" authorId="0" shapeId="0" xr:uid="{3400D46E-684A-4719-AE47-8A69ECC6A1BE}">
      <text>
        <r>
          <rPr>
            <b/>
            <sz val="9"/>
            <color indexed="81"/>
            <rFont val="Segoe UI"/>
            <family val="2"/>
          </rPr>
          <t>5 Km x 2 (ida e volta) x 2 (2x despesa km) x R$/Lt</t>
        </r>
      </text>
    </comment>
    <comment ref="B21" authorId="2" shapeId="0" xr:uid="{38FCFF24-800A-4B7D-BF40-FAD79DCD290D}">
      <text>
        <r>
          <rPr>
            <b/>
            <sz val="9"/>
            <color indexed="81"/>
            <rFont val="Segoe UI"/>
            <family val="2"/>
          </rPr>
          <t>ALTERAR VALOR DA CELULA B-25
Em 2024 alterei pra Oleo Diesel x 2
GASTO EM OLEO DIESEL: 1 Km/Lt
FRETE = (COMBUSTIVEL X 3), SENDO:
1 - oleo diesel;
2 - manut caminhão + manut equipamento;
(3 - motorista)
Repassado 6% para motorista, para tirar despesas de alimentação</t>
        </r>
      </text>
    </comment>
    <comment ref="B22" authorId="2" shapeId="0" xr:uid="{0E20DBED-68A5-459C-B04E-28C49278478E}">
      <text>
        <r>
          <rPr>
            <b/>
            <sz val="9"/>
            <color indexed="81"/>
            <rFont val="Segoe UI"/>
            <family val="2"/>
          </rPr>
          <t xml:space="preserve">ALTERAR VALOR DA CELULA B-25
CONSIDERADO KM/LT X 2
- COMBUSTIVEL
- PNEU/MANUTENÇÃO
</t>
        </r>
      </text>
    </comment>
    <comment ref="H23" authorId="0" shapeId="0" xr:uid="{04C6C4CA-A8D2-4CCC-96C3-5BE4D14A2F2B}">
      <text>
        <r>
          <rPr>
            <b/>
            <sz val="9"/>
            <color indexed="81"/>
            <rFont val="Segoe UI"/>
            <family val="2"/>
          </rPr>
          <t xml:space="preserve">cobrado financeiro de 2% a.m. pelos anos sequentes ao atual, até termino do contrato (que é o reajuste sofrido no custo), então:
Se Equaliza de 3 anos:
2 anos X 12 meses X 2% = 48% ou 1,48 X R$médio
Se Equaliza de 4 anos:
3 anos X 12 meses X 2% = 72% ou 1,72 X R$médio
</t>
        </r>
      </text>
    </comment>
    <comment ref="B26" authorId="2" shapeId="0" xr:uid="{73CDBE8A-ED3D-431C-94B5-425E0D4495A7}">
      <text>
        <r>
          <rPr>
            <b/>
            <sz val="9"/>
            <color indexed="81"/>
            <rFont val="Segoe UI"/>
            <family val="2"/>
          </rPr>
          <t>valor /alq/ortomosaico gerado.
Se projeto de curvas, duplicará esse valor.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CLAUDIOLH</author>
  </authors>
  <commentList>
    <comment ref="I9" authorId="0" shapeId="0" xr:uid="{742A577B-4BA1-4855-A3FF-60B755F9DF6D}">
      <text>
        <r>
          <rPr>
            <b/>
            <sz val="9"/>
            <color indexed="81"/>
            <rFont val="Segoe UI"/>
            <family val="2"/>
          </rPr>
          <t>13 ton/carga</t>
        </r>
      </text>
    </comment>
    <comment ref="J9" authorId="0" shapeId="0" xr:uid="{F54420A6-3CF2-4F30-88FF-C107D187AF59}">
      <text>
        <r>
          <rPr>
            <b/>
            <sz val="9"/>
            <color indexed="81"/>
            <rFont val="Segoe UI"/>
            <family val="2"/>
          </rPr>
          <t>Distância de Ida</t>
        </r>
      </text>
    </comment>
    <comment ref="D18" authorId="0" shapeId="0" xr:uid="{176DE244-97C3-4F45-BA31-22243618A652}">
      <text>
        <r>
          <rPr>
            <b/>
            <sz val="9"/>
            <color indexed="81"/>
            <rFont val="Segoe UI"/>
            <family val="2"/>
          </rPr>
          <t>Contabilizado:
Calcário e KCl: 28 alq/dia/caminhão
Esterco e Pó de Rocha: 200 ton/dia/caminhão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CLAUDIO</author>
    <author>CLÁUDIO __PRECIZA A.P.</author>
  </authors>
  <commentList>
    <comment ref="H32" authorId="0" shapeId="0" xr:uid="{00000000-0006-0000-1000-000001000000}">
      <text>
        <r>
          <rPr>
            <b/>
            <sz val="9"/>
            <color indexed="81"/>
            <rFont val="Segoe UI"/>
            <family val="2"/>
          </rPr>
          <t>PREENCHA AQUI A % DA ÁREA QUE SERÁ EXECUTADA DE CADA SERVIÇO, NO ANO.</t>
        </r>
      </text>
    </comment>
    <comment ref="I33" authorId="1" shapeId="0" xr:uid="{AAF5055E-055B-421D-96BA-A52FEEF8FCE5}">
      <text>
        <r>
          <rPr>
            <sz val="9"/>
            <color indexed="81"/>
            <rFont val="Segoe UI"/>
            <family val="2"/>
          </rPr>
          <t xml:space="preserve">Preencha, na planilha </t>
        </r>
        <r>
          <rPr>
            <b/>
            <sz val="9"/>
            <color indexed="81"/>
            <rFont val="Segoe UI"/>
            <family val="2"/>
          </rPr>
          <t>INPUT AP</t>
        </r>
        <r>
          <rPr>
            <sz val="9"/>
            <color indexed="81"/>
            <rFont val="Segoe UI"/>
            <family val="2"/>
          </rPr>
          <t xml:space="preserve">, os dados que devem ser considerados na execução da </t>
        </r>
        <r>
          <rPr>
            <b/>
            <sz val="9"/>
            <color indexed="81"/>
            <rFont val="Segoe UI"/>
            <family val="2"/>
          </rPr>
          <t xml:space="preserve">AP, </t>
        </r>
        <r>
          <rPr>
            <sz val="9"/>
            <color indexed="81"/>
            <rFont val="Segoe UI"/>
            <family val="2"/>
          </rPr>
          <t>como tamanho do grid desejado (Alq, número de Análises e Valor com 40% de análises completas)</t>
        </r>
      </text>
    </comment>
    <comment ref="I34" authorId="1" shapeId="0" xr:uid="{19F56FF8-F3D5-4216-A0D2-1ADB6B652208}">
      <text>
        <r>
          <rPr>
            <sz val="9"/>
            <color indexed="81"/>
            <rFont val="Segoe UI"/>
            <family val="2"/>
          </rPr>
          <t xml:space="preserve">Preencha na </t>
        </r>
        <r>
          <rPr>
            <b/>
            <sz val="9"/>
            <color indexed="81"/>
            <rFont val="Segoe UI"/>
            <family val="2"/>
          </rPr>
          <t>Planilha de Conferência</t>
        </r>
        <r>
          <rPr>
            <sz val="9"/>
            <color indexed="81"/>
            <rFont val="Segoe UI"/>
            <family val="2"/>
          </rPr>
          <t>, cada um dos talhões que farão parte do Equaliza, cada qual com a necessidade de pontos.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CLÁUDIO __PRECIZA A.P.</author>
  </authors>
  <commentList>
    <comment ref="B16" authorId="0" shapeId="0" xr:uid="{5048E5B5-E47B-4B03-8EDE-0A4C98E2BE46}">
      <text>
        <r>
          <rPr>
            <b/>
            <sz val="9"/>
            <color indexed="81"/>
            <rFont val="Segoe UI"/>
            <family val="2"/>
          </rPr>
          <t>DESLOCAMENTO +
5% R$/ALQ BASE +
10% DO VALOR OBSTÁCULO +
10% DO VALOR PTOS RTK</t>
        </r>
      </text>
    </comment>
  </commentList>
</comments>
</file>

<file path=xl/sharedStrings.xml><?xml version="1.0" encoding="utf-8"?>
<sst xmlns="http://schemas.openxmlformats.org/spreadsheetml/2006/main" count="1003" uniqueCount="406">
  <si>
    <t>Area (alq)</t>
  </si>
  <si>
    <t xml:space="preserve">Valor total fechado (R$): </t>
  </si>
  <si>
    <t>R$/alq total:</t>
  </si>
  <si>
    <t>COMPOSIÇÃO DE ANÁLISES DE SOLO</t>
  </si>
  <si>
    <t>RUA HORTENCIA, 112, SALA 02</t>
  </si>
  <si>
    <t>CEP: 85.420-000</t>
  </si>
  <si>
    <t>CORBÉLIA</t>
  </si>
  <si>
    <t>PARANÁ</t>
  </si>
  <si>
    <t>CNPJ: 06.697.836.0001/73</t>
  </si>
  <si>
    <t>HOJE:</t>
  </si>
  <si>
    <t>Nome da area…...:</t>
  </si>
  <si>
    <t>Lote......................:</t>
  </si>
  <si>
    <t>Gleba...................:</t>
  </si>
  <si>
    <t>Matricula..............:</t>
  </si>
  <si>
    <t>Município.............:</t>
  </si>
  <si>
    <t>Vencimento…….:</t>
  </si>
  <si>
    <t>BOLETO</t>
  </si>
  <si>
    <t>Juros até venc...:</t>
  </si>
  <si>
    <t>CHEQUE</t>
  </si>
  <si>
    <t>Juros após venc.:</t>
  </si>
  <si>
    <t>a.m.</t>
  </si>
  <si>
    <t>CARTEIRA</t>
  </si>
  <si>
    <t>X</t>
  </si>
  <si>
    <t>Equipamento.:</t>
  </si>
  <si>
    <t>Consultor.........</t>
  </si>
  <si>
    <t>Quantidade</t>
  </si>
  <si>
    <t>Unidade</t>
  </si>
  <si>
    <t>Discriminação</t>
  </si>
  <si>
    <t>R$/Unid</t>
  </si>
  <si>
    <t>R$TOTAL</t>
  </si>
  <si>
    <t>ALQ</t>
  </si>
  <si>
    <t>TOTAL</t>
  </si>
  <si>
    <t>___________________________________</t>
  </si>
  <si>
    <t>____________________________________</t>
  </si>
  <si>
    <t>PRECIZA AGRICULTURA DE PRECISÃO</t>
  </si>
  <si>
    <t>PTOS</t>
  </si>
  <si>
    <t>Valor Total Sugerido(R$)</t>
  </si>
  <si>
    <t>Cliente…………........:</t>
  </si>
  <si>
    <t>Endereço….…….....:</t>
  </si>
  <si>
    <t>Município………....:</t>
  </si>
  <si>
    <t>Estado….…..……....:</t>
  </si>
  <si>
    <t>CGC/CPF.……….....:</t>
  </si>
  <si>
    <t>Inscr. Estadual.....:</t>
  </si>
  <si>
    <t>Fone…….……….....:</t>
  </si>
  <si>
    <t>Juros até venc.:</t>
  </si>
  <si>
    <t>Juros pós venc:</t>
  </si>
  <si>
    <t>R$ TOTAL</t>
  </si>
  <si>
    <t>PLANILHA PARA CÁLCULO DE ANÁLISES DE CONFERÊNCIA</t>
  </si>
  <si>
    <t>SERVIÇO DE COLETA DE ANÁLISE DE CONFE-</t>
  </si>
  <si>
    <t>SERVIÇO DE COLETA DE ANÁLISE FOLIAR</t>
  </si>
  <si>
    <t>ANALISES FOLIARES</t>
  </si>
  <si>
    <t>ANALISE FOLIAR INCLUSA</t>
  </si>
  <si>
    <t>Data do Plantio..:</t>
  </si>
  <si>
    <t>Data Prov. Coleta:</t>
  </si>
  <si>
    <t>Talhão</t>
  </si>
  <si>
    <t>Pontos Sugeridos</t>
  </si>
  <si>
    <t>VALOR TOTAL DO TRABALHO (R$)..........:</t>
  </si>
  <si>
    <t>OBS</t>
  </si>
  <si>
    <t>TOTAIS</t>
  </si>
  <si>
    <t>Distância da Fazenda (ida Cbl --&gt; área) - Km:</t>
  </si>
  <si>
    <t>Data Plantio</t>
  </si>
  <si>
    <t>Variedade (P/M/T)</t>
  </si>
  <si>
    <t>Provável Coleta</t>
  </si>
  <si>
    <t>Cliente deseja Nota Fiscal (S/N)</t>
  </si>
  <si>
    <t>Calcular orçamento por Alqueire (A) ou Ponto(P)</t>
  </si>
  <si>
    <t>PEDIDO VIA CLIENTE - AP</t>
  </si>
  <si>
    <t>PEDIDO VIA EMPRESA - AP</t>
  </si>
  <si>
    <t>PEDIDO CONFERENCIA</t>
  </si>
  <si>
    <t>PEDIDO - ANALISE FOLIAR - VIA CLIENTE</t>
  </si>
  <si>
    <t>PEDIDO - ANALISE FOLIAR - VIA EMPRESA</t>
  </si>
  <si>
    <t>R$ / Talhão</t>
  </si>
  <si>
    <t>R$ / Alqueire</t>
  </si>
  <si>
    <t>R$ / Ponto</t>
  </si>
  <si>
    <t>Quantos produtos serão aplicados:</t>
  </si>
  <si>
    <t>Investimento/Alq</t>
  </si>
  <si>
    <t>Frete (S/N)</t>
  </si>
  <si>
    <t>Ton</t>
  </si>
  <si>
    <t>Aplic Curvas (S/N)</t>
  </si>
  <si>
    <t>Area Curva (Ha)</t>
  </si>
  <si>
    <t>Distância (Km)</t>
  </si>
  <si>
    <t>Qual a área total do talhão (ha):</t>
  </si>
  <si>
    <t>%</t>
  </si>
  <si>
    <t>Investimento Total</t>
  </si>
  <si>
    <t>Area a Aplicar em curvas (Alq)</t>
  </si>
  <si>
    <t>Area a Aplicar (Alq)</t>
  </si>
  <si>
    <t>Investimento em Frete</t>
  </si>
  <si>
    <t>Investimento em ATV</t>
  </si>
  <si>
    <t>Micronutrientes</t>
  </si>
  <si>
    <t>Enxofre</t>
  </si>
  <si>
    <t>Marque com "X" os resultados desejados no book:</t>
  </si>
  <si>
    <t>ANÁLISES FISICAS</t>
  </si>
  <si>
    <t>Valor / Análise</t>
  </si>
  <si>
    <t>Valor Total</t>
  </si>
  <si>
    <t>ANÁLISE FÍSICA (% ARGILA)</t>
  </si>
  <si>
    <t>Cargas</t>
  </si>
  <si>
    <t>Tamanho da Area</t>
  </si>
  <si>
    <t>Ate 50 alq</t>
  </si>
  <si>
    <t>50 a 100 alq</t>
  </si>
  <si>
    <t>Mais 100 alq</t>
  </si>
  <si>
    <t>R$/Alq AP</t>
  </si>
  <si>
    <t>R$/Alq Reanalise</t>
  </si>
  <si>
    <t>Valor dos serviços de Coleta de Folha e Conferência de solo:</t>
  </si>
  <si>
    <t>ATV</t>
  </si>
  <si>
    <t>1 produto</t>
  </si>
  <si>
    <t>2 produtos</t>
  </si>
  <si>
    <t>3 ou + produtos</t>
  </si>
  <si>
    <t>Despesa/viagem</t>
  </si>
  <si>
    <t>Serviço com Nota Fiscal? (S/N)</t>
  </si>
  <si>
    <t>% das Vendas AP</t>
  </si>
  <si>
    <t>% das Vendas Reanalise</t>
  </si>
  <si>
    <t>Valor médio proposto, seguindo tabela acima</t>
  </si>
  <si>
    <t>Relaçao AP/Rean</t>
  </si>
  <si>
    <t>Valor AP médio:</t>
  </si>
  <si>
    <t>Nascimento:</t>
  </si>
  <si>
    <t>Deseja análise física (fins bancários)(S/N):</t>
  </si>
  <si>
    <t>PEDIDO COMPACTAÇÃO</t>
  </si>
  <si>
    <t>AVALIAÇÃO DE COMPACTAÇÃO DO SOLO</t>
  </si>
  <si>
    <t>KM</t>
  </si>
  <si>
    <t>DESLOCAMENTO</t>
  </si>
  <si>
    <t>VALOR TOTAL POR ALQUEIRE (R$/ALQ):</t>
  </si>
  <si>
    <t>VALOR TOTAL POR PONTO (R$/PTO)...:</t>
  </si>
  <si>
    <t>PLANILHA PARA CÁLCULO DE ANÁLISES FOLIARES</t>
  </si>
  <si>
    <t>% de Analises Completa</t>
  </si>
  <si>
    <t xml:space="preserve">% de Analises Macro </t>
  </si>
  <si>
    <t>ANÁLISES MACRO</t>
  </si>
  <si>
    <t>R$/alq - Análises</t>
  </si>
  <si>
    <t>R$/ponto - Análise</t>
  </si>
  <si>
    <t>Número mínimo de análises</t>
  </si>
  <si>
    <t>A.M.</t>
  </si>
  <si>
    <t>ANALISE 20-40 CM (MACRO + S)</t>
  </si>
  <si>
    <t>QUADRO DE ANÁLISES:</t>
  </si>
  <si>
    <t>ANÁLISES 20-40 CM</t>
  </si>
  <si>
    <t>VALOR TOTAL POR ÁREA (R$/ALQ)............................:</t>
  </si>
  <si>
    <t>VALOR TOTAL DO TRABALHO (R$).................................:</t>
  </si>
  <si>
    <t>VALOR TOTAL POR PONTO (R$/PTO)............................:</t>
  </si>
  <si>
    <t>Data Prov. Coleta..:</t>
  </si>
  <si>
    <t>TOTAL R$/ALQ</t>
  </si>
  <si>
    <t>TOTAL R$/TON</t>
  </si>
  <si>
    <t>Valor /alq conferencia</t>
  </si>
  <si>
    <t>Valor/Alq folha</t>
  </si>
  <si>
    <t>TOTAL R$/CARGA</t>
  </si>
  <si>
    <t>Valor por Km (conferencia/folha):</t>
  </si>
  <si>
    <t>Valor por Viagem (conferencia/folha):</t>
  </si>
  <si>
    <t>PEDIDO EQUALIZA</t>
  </si>
  <si>
    <t xml:space="preserve">Data do Primeiro vencimento: </t>
  </si>
  <si>
    <t>ANO</t>
  </si>
  <si>
    <t>ÁREA (ALQ)</t>
  </si>
  <si>
    <t>VALOR ANUAL DO CONTRATO:</t>
  </si>
  <si>
    <t>OBSERVAÇÕES:</t>
  </si>
  <si>
    <t>S</t>
  </si>
  <si>
    <t>TON</t>
  </si>
  <si>
    <t>Aplicação Esterco (R$/ton)</t>
  </si>
  <si>
    <t>R$/Alq</t>
  </si>
  <si>
    <t>Data prov. Coleta.:</t>
  </si>
  <si>
    <t>PEDIDO MAPEAMENTO COM DRONE</t>
  </si>
  <si>
    <t>Serviços a executar (sinalize com "X"):</t>
  </si>
  <si>
    <t>Ortomosaico/Mapeamento de Fungo e Nematóide</t>
  </si>
  <si>
    <t>Ortomosaico/Projeto de Curvas de Nível</t>
  </si>
  <si>
    <t>ORTOMOSAICO</t>
  </si>
  <si>
    <t>Valor da Análise Foliar (laboratorio)</t>
  </si>
  <si>
    <t>Divisão por tamanho de área:</t>
  </si>
  <si>
    <t>Divisão por tipo de serviço:</t>
  </si>
  <si>
    <t>Total:</t>
  </si>
  <si>
    <t>Fator .....:</t>
  </si>
  <si>
    <t>ORDEM DOS TALHÕES ONDE SERÁ FEITO A.P.</t>
  </si>
  <si>
    <t>SISTEMA EQUALIZA (VALOR ANUAL)</t>
  </si>
  <si>
    <t>Deslocamento até a área (Km ida):</t>
  </si>
  <si>
    <t>DESCONTO N.F. (-)</t>
  </si>
  <si>
    <t>DESLOCAMENTO (R$) (+)</t>
  </si>
  <si>
    <t>Valor do Oleo Diesel (R$/Lt)</t>
  </si>
  <si>
    <t>Dist. Total</t>
  </si>
  <si>
    <t>R$/alq - Serviço</t>
  </si>
  <si>
    <t>oleo diesel (R$/lt) / Km/lt x 3 x 2</t>
  </si>
  <si>
    <t>Num. Análises</t>
  </si>
  <si>
    <t>SE(B9&gt;=B8;100;(B14-D3)/(B7-D3)*100)</t>
  </si>
  <si>
    <t>SE(INT((B17*B6/100))&gt;ARRED(B6*0,2;0);INT((B17*B6/100));ARRED(B6*0,2;0))</t>
  </si>
  <si>
    <t>Carregamento necessário? (S/N)</t>
  </si>
  <si>
    <t>Diária da Pá carregadeira</t>
  </si>
  <si>
    <t>Dias de serviço:</t>
  </si>
  <si>
    <t>Quantos caminhões pra aplicar?</t>
  </si>
  <si>
    <t>DIÁRIA</t>
  </si>
  <si>
    <t>Valor do Km Frete (caminhao carregado)</t>
  </si>
  <si>
    <t>Valor por ponto (Confere/Compactação):</t>
  </si>
  <si>
    <t>Equaliza Completo (R$/Alq)</t>
  </si>
  <si>
    <t>Serviço</t>
  </si>
  <si>
    <t>AP</t>
  </si>
  <si>
    <t>Conferencia</t>
  </si>
  <si>
    <t>Análise Folha</t>
  </si>
  <si>
    <t>Fungo/Nema</t>
  </si>
  <si>
    <t>Compactação</t>
  </si>
  <si>
    <t>Valor por área</t>
  </si>
  <si>
    <t>Compactacao</t>
  </si>
  <si>
    <t>Drone</t>
  </si>
  <si>
    <t>Folha</t>
  </si>
  <si>
    <t>Confere</t>
  </si>
  <si>
    <t>Equaliza Serviços</t>
  </si>
  <si>
    <t>OBS: Validade do orçamento: 60 dias</t>
  </si>
  <si>
    <t>1°</t>
  </si>
  <si>
    <t>2°</t>
  </si>
  <si>
    <t>3°</t>
  </si>
  <si>
    <t>Numero de parcelas</t>
  </si>
  <si>
    <t>Numero de anos</t>
  </si>
  <si>
    <t>Alterado:</t>
  </si>
  <si>
    <t>FRETE (R$/Km ida/Ton)</t>
  </si>
  <si>
    <t>Produtos a aplicar</t>
  </si>
  <si>
    <t>Calc. Calcítico</t>
  </si>
  <si>
    <t>Calc. Dolomítico</t>
  </si>
  <si>
    <t>Cama de Frango</t>
  </si>
  <si>
    <t>KCl</t>
  </si>
  <si>
    <t>Super Simples</t>
  </si>
  <si>
    <t>Super Triplo</t>
  </si>
  <si>
    <t>Pó de Rocha</t>
  </si>
  <si>
    <t>Outro</t>
  </si>
  <si>
    <t>Selecione o Produto</t>
  </si>
  <si>
    <t>Orçamento (O) ou Pedido (P):</t>
  </si>
  <si>
    <t>Reanalise (S/N)</t>
  </si>
  <si>
    <t>Nota Fiscal (S/N)</t>
  </si>
  <si>
    <t>Numero de Pontos</t>
  </si>
  <si>
    <t>Valor da Analise (R$)</t>
  </si>
  <si>
    <t>Id. Talhão</t>
  </si>
  <si>
    <t>Gesso</t>
  </si>
  <si>
    <t>% anual da área</t>
  </si>
  <si>
    <t>CORBELIA</t>
  </si>
  <si>
    <t>Clique para ajustar o zoom à tela</t>
  </si>
  <si>
    <t>Antecipação......:</t>
  </si>
  <si>
    <t>Valor do Km Deslocamento (caminhao vazio)</t>
  </si>
  <si>
    <t>Parcela Agosto (%).................:</t>
  </si>
  <si>
    <t>Adubação Corretiva (Determinações Corretivas)</t>
  </si>
  <si>
    <t>Adubo de Base (determ. Corretivas + Adubação)</t>
  </si>
  <si>
    <t>Voo de Drone/Alq/Ano:</t>
  </si>
  <si>
    <t>Defina Vcto:</t>
  </si>
  <si>
    <t>Data partida de cobrança de juro:</t>
  </si>
  <si>
    <t>Vencimento do Serviço (DD/MM/AA):</t>
  </si>
  <si>
    <t>Data limite p cobrar juro</t>
  </si>
  <si>
    <t>Vencimento do Pedido:</t>
  </si>
  <si>
    <t>Data partida de juro</t>
  </si>
  <si>
    <t>Inscr. Estadual....:</t>
  </si>
  <si>
    <t>Fone…….………......:</t>
  </si>
  <si>
    <t>Vencimento.:</t>
  </si>
  <si>
    <t>PRODUTO</t>
  </si>
  <si>
    <t>Tipo</t>
  </si>
  <si>
    <t>NOME</t>
  </si>
  <si>
    <t>Embalagem</t>
  </si>
  <si>
    <t>LAL STOP I32 (Ver disponibilidade)</t>
  </si>
  <si>
    <t>FUNGICIDA</t>
  </si>
  <si>
    <t>Lt</t>
  </si>
  <si>
    <t>LAL STOP ORGANIC</t>
  </si>
  <si>
    <t>Kg (vácuo)</t>
  </si>
  <si>
    <t>QUALITY</t>
  </si>
  <si>
    <t>LAL FIX NITRO - B. ELCANI</t>
  </si>
  <si>
    <t>INOCULANTE</t>
  </si>
  <si>
    <t>3 Lt (50doses x 60ml)</t>
  </si>
  <si>
    <t>LAL RISE AZOS</t>
  </si>
  <si>
    <t>3 Lt (30 doses x 100 ml)</t>
  </si>
  <si>
    <t>STARFIX FEIJÃO</t>
  </si>
  <si>
    <t>STARFIX SOJA - B. JAPONICUM</t>
  </si>
  <si>
    <t>CRYSTAL (BT)</t>
  </si>
  <si>
    <t>INSETICIDA</t>
  </si>
  <si>
    <t>5 Lt</t>
  </si>
  <si>
    <t>GRANADA</t>
  </si>
  <si>
    <t>LAL GUARD JAVA (Ver disponibilidade)</t>
  </si>
  <si>
    <t>LAL NIX RESIST (CISTO)</t>
  </si>
  <si>
    <t>NEMATICIDA</t>
  </si>
  <si>
    <t>ONIX</t>
  </si>
  <si>
    <t>RIZOS</t>
  </si>
  <si>
    <t>PEDIDO - LALLEMAND</t>
  </si>
  <si>
    <t>Vencimento...:</t>
  </si>
  <si>
    <t>Cálculo financeiro: DESCONTO:</t>
  </si>
  <si>
    <t>Juros até venc:</t>
  </si>
  <si>
    <t>Valor Inicial:</t>
  </si>
  <si>
    <t>Data Inicial:</t>
  </si>
  <si>
    <t>Data Final:</t>
  </si>
  <si>
    <t>Antecipação (%a.m.)</t>
  </si>
  <si>
    <t>Valor do desconto:</t>
  </si>
  <si>
    <t>Valor atualizado:</t>
  </si>
  <si>
    <t>Qual vencimento do serviço:</t>
  </si>
  <si>
    <t>Data inicial</t>
  </si>
  <si>
    <t>Data final</t>
  </si>
  <si>
    <t>Vencimento…:</t>
  </si>
  <si>
    <t>cobre despesa da viagem em 5 km</t>
  </si>
  <si>
    <t>Antecipação de 1,2% a.m.</t>
  </si>
  <si>
    <t>30/11/2023</t>
  </si>
  <si>
    <t>30/10/2023</t>
  </si>
  <si>
    <t>30/08/2023</t>
  </si>
  <si>
    <t>30/05/2023</t>
  </si>
  <si>
    <t>30/nov/23_</t>
  </si>
  <si>
    <t>30/03/2023</t>
  </si>
  <si>
    <t>Preços válidos até 30-11-23</t>
  </si>
  <si>
    <t>Relação AP/RN</t>
  </si>
  <si>
    <t>Conferência</t>
  </si>
  <si>
    <t>R$/alq</t>
  </si>
  <si>
    <t>Alq/analise</t>
  </si>
  <si>
    <t>Relação Alq/análise</t>
  </si>
  <si>
    <t>Tamanho Grid Ha/Analise</t>
  </si>
  <si>
    <t>Tamanho do Grid</t>
  </si>
  <si>
    <t>Valor Calculado</t>
  </si>
  <si>
    <t>anos</t>
  </si>
  <si>
    <t>Valor calculado</t>
  </si>
  <si>
    <t>Entrega (data).....:</t>
  </si>
  <si>
    <t>Vigente a partir de 22/02/2023</t>
  </si>
  <si>
    <t>NEMATICIDA (RECEITA)</t>
  </si>
  <si>
    <t>INSETICIDA (RECEITA)</t>
  </si>
  <si>
    <t>FUNGICIDA (RECEITA)</t>
  </si>
  <si>
    <t>CRITÉRIOS PARA DEFINIR PREÇO DO ORÇAMENTO</t>
  </si>
  <si>
    <t>Tamanho da área (Ha):</t>
  </si>
  <si>
    <t>Número de Obstáculos (Postes/Torres):</t>
  </si>
  <si>
    <t>Beira de Mato (metros):</t>
  </si>
  <si>
    <t>Fios de Luz (metros):</t>
  </si>
  <si>
    <t>Pontos de RTK  (distância maxima 1200m):</t>
  </si>
  <si>
    <t>Deslocamento (Km ida):</t>
  </si>
  <si>
    <t>Obstáculos:</t>
  </si>
  <si>
    <t>Criterios p pulverizar com drone</t>
  </si>
  <si>
    <t>R$/obstáculos</t>
  </si>
  <si>
    <t>R$/beira de mato</t>
  </si>
  <si>
    <t>R$/Fio de luz</t>
  </si>
  <si>
    <t>R$/Ponto RTK</t>
  </si>
  <si>
    <t>R$/Alq (base de cálculo)</t>
  </si>
  <si>
    <t>Beira de Mato:</t>
  </si>
  <si>
    <t xml:space="preserve">Fios de Luz: </t>
  </si>
  <si>
    <t>Pontos de RTK:</t>
  </si>
  <si>
    <t>R$/Alq Base:</t>
  </si>
  <si>
    <t>R$/Alq Final:</t>
  </si>
  <si>
    <t>R$ Totais:</t>
  </si>
  <si>
    <t>Preço minimo/alq</t>
  </si>
  <si>
    <t>Preço se área programada</t>
  </si>
  <si>
    <t>R$/alq corrigido:</t>
  </si>
  <si>
    <t>Prazo maximo data</t>
  </si>
  <si>
    <t>% do valor p aplicar solido</t>
  </si>
  <si>
    <t>% do valor p area já mapeada com RTK</t>
  </si>
  <si>
    <t>Aplicação de Sólido (S) ou Líquido (L):</t>
  </si>
  <si>
    <t>R$ totais:</t>
  </si>
  <si>
    <t>R$/Alq :</t>
  </si>
  <si>
    <t>OBS: Não esqueça de anexar ao email, o pedido e o arquivo KML da área.</t>
  </si>
  <si>
    <t>Vencimento:</t>
  </si>
  <si>
    <t>Juros a ser cobrados pra pgto a prazo (%)</t>
  </si>
  <si>
    <t>Data Prov. Aplicação:</t>
  </si>
  <si>
    <t xml:space="preserve">OBS: Os produtos a serem aplicados devem, obrigatoriamente, ter RECOMENDAÇÃO para a cultura a ser tratada, </t>
  </si>
  <si>
    <t>Kg/há</t>
  </si>
  <si>
    <t>Valor/alq</t>
  </si>
  <si>
    <t>Kg/alq</t>
  </si>
  <si>
    <t>Corrigindo valor pela dose de solido:</t>
  </si>
  <si>
    <t>Se Sólido, qual dose desejada (Kg/Alq):</t>
  </si>
  <si>
    <t>Kg/alq de sólido limite do reajuste</t>
  </si>
  <si>
    <t>Valor/hora</t>
  </si>
  <si>
    <t>PEDIDO VIA CLIENTE - DRONE</t>
  </si>
  <si>
    <t>bem como receituário agronômico para APLICAÇÃO AÉREA.</t>
  </si>
  <si>
    <t>NF (S/N)</t>
  </si>
  <si>
    <t>oleo diesel + imposto</t>
  </si>
  <si>
    <t>R$ TOTAL (R$/Km ida/Ton) (Frete+ATV)</t>
  </si>
  <si>
    <t>Data base pra cálculo de juro</t>
  </si>
  <si>
    <t>Área já Mapeada (S/N):</t>
  </si>
  <si>
    <t>$ em deslocamento serviço</t>
  </si>
  <si>
    <t>$ em deslocamento mapeamento + ortomosaico</t>
  </si>
  <si>
    <t>Aplicação Programada (+ de 3 no ciclo) (S/N):</t>
  </si>
  <si>
    <t xml:space="preserve">Juro do Financeiro: </t>
  </si>
  <si>
    <t>Fator de correção pra sólido:</t>
  </si>
  <si>
    <t>Correção imposto:</t>
  </si>
  <si>
    <t>/ALQ</t>
  </si>
  <si>
    <t>Valor da hora da pá carregadeira</t>
  </si>
  <si>
    <t>Mapa da Preciza (S/N)?</t>
  </si>
  <si>
    <t>alterado em 27mai</t>
  </si>
  <si>
    <t>alterado 5jun</t>
  </si>
  <si>
    <t>CARREGAMENTO+FRETE (PÁ):</t>
  </si>
  <si>
    <t>Resumo Equaliza</t>
  </si>
  <si>
    <t>Coluna1</t>
  </si>
  <si>
    <t>Coluna2</t>
  </si>
  <si>
    <t>E-mail:</t>
  </si>
  <si>
    <t>E-Mail:</t>
  </si>
  <si>
    <t>Mapemamento</t>
  </si>
  <si>
    <t>Financeiro (%a.a.)</t>
  </si>
  <si>
    <t>OBS: LAUDOS INCOMPLETOS OU INCORRETOS, SERÃO ALTERADOS A UM CUSTO DE R$25,00.</t>
  </si>
  <si>
    <t>RN</t>
  </si>
  <si>
    <t>Dias</t>
  </si>
  <si>
    <t>% das Análises de 20-40cm</t>
  </si>
  <si>
    <t>Alq</t>
  </si>
  <si>
    <t>Data Prov. Coleta</t>
  </si>
  <si>
    <t>ANALISE DE SOLO 20-40 CM (MACRO+S)</t>
  </si>
  <si>
    <t>Conferir: Vcto AP; % análies AP; Vcto Conferência</t>
  </si>
  <si>
    <t>Valor do Km deslocamento caminhao prancha</t>
  </si>
  <si>
    <t>(CARREGAMENTO+FRETE (PÁ))/Ton</t>
  </si>
  <si>
    <t>PR</t>
  </si>
  <si>
    <t>ALVARO BUSETTI</t>
  </si>
  <si>
    <t>CAFELANDIA</t>
  </si>
  <si>
    <t>5ALQ, FAZENDA, VISOTTO E GATO, CAFELANDIA</t>
  </si>
  <si>
    <t>DESCONTO</t>
  </si>
  <si>
    <t>Cliente providencia almoço motora (S/N)?</t>
  </si>
  <si>
    <t>APLICAÇÃO EM TAXA VARIÁVEL (pressione o botão "Limpar" e tecle a seta para direita para percorrer os campos editáveis)</t>
  </si>
  <si>
    <t>desconto</t>
  </si>
  <si>
    <t>MAIKN ANTONIO MEOTTI</t>
  </si>
  <si>
    <t>BOSQUE S. CRISTOVÃO</t>
  </si>
  <si>
    <t>CHÁCARA MEOTTI</t>
  </si>
  <si>
    <t>10779</t>
  </si>
  <si>
    <t>N</t>
  </si>
  <si>
    <t>ANALISE FÍSICA</t>
  </si>
  <si>
    <t>desconto serviço</t>
  </si>
  <si>
    <t>033.320.069-16</t>
  </si>
  <si>
    <t>s</t>
  </si>
  <si>
    <t>o</t>
  </si>
  <si>
    <t>n</t>
  </si>
  <si>
    <t>TL44</t>
  </si>
  <si>
    <t>TL45</t>
  </si>
  <si>
    <t>RENATA FESTUGATO</t>
  </si>
  <si>
    <t>CASCAVEL</t>
  </si>
  <si>
    <t>FAZ. DEDO DE MOÇA</t>
  </si>
  <si>
    <t>CVEL</t>
  </si>
  <si>
    <t>VICTOR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</si>
</sst>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4" formatCode="_-&quot;R$&quot;\ * #,##0.00_-;\-&quot;R$&quot;\ * #,##0.00_-;_-&quot;R$&quot;\ * &quot;-&quot;??_-;_-@_-"/>
    <numFmt numFmtId="164" formatCode="#,##0.0_ ;\-#,##0.0\ "/>
    <numFmt numFmtId="165" formatCode="d\ \ mmmm\,\ yyyy"/>
    <numFmt numFmtId="166" formatCode="0.0%"/>
    <numFmt numFmtId="167" formatCode="_(&quot;R$&quot;* #,##0.00_);_(&quot;R$&quot;* \(#,##0.00\);_(&quot;R$&quot;* &quot;-&quot;??_);_(@_)"/>
    <numFmt numFmtId="168" formatCode="0.0"/>
    <numFmt numFmtId="169" formatCode="[$-416]d\-mmm;@"/>
    <numFmt numFmtId="170" formatCode="dd/mm/yy"/>
    <numFmt numFmtId="171" formatCode="#,##0.00_ ;\-#,##0.00\ "/>
    <numFmt numFmtId="172" formatCode="00,000,000,0\-00"/>
    <numFmt numFmtId="173" formatCode="#,##0_ ;\-#,##0\ "/>
    <numFmt numFmtId="174" formatCode="0.000"/>
    <numFmt numFmtId="175" formatCode="&quot;R$&quot;\ #,##0.00"/>
    <numFmt numFmtId="176" formatCode="000&quot;.&quot;000&quot;.&quot;000&quot;-&quot;00"/>
    <numFmt numFmtId="177" formatCode="#,##0.0"/>
  </numFmts>
  <fonts count="68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indexed="8"/>
      <name val="Calibri"/>
      <family val="2"/>
    </font>
    <font>
      <b/>
      <sz val="12"/>
      <name val="Calibri"/>
      <family val="2"/>
    </font>
    <font>
      <sz val="12"/>
      <name val="Calibri"/>
      <family val="2"/>
    </font>
    <font>
      <sz val="11"/>
      <name val="Calibri"/>
      <family val="2"/>
    </font>
    <font>
      <b/>
      <sz val="12"/>
      <color rgb="FFFF0000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4"/>
      <name val="Calibri"/>
      <family val="2"/>
      <scheme val="minor"/>
    </font>
    <font>
      <sz val="14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3"/>
      <color rgb="FFFF0000"/>
      <name val="Calibri"/>
      <family val="2"/>
      <scheme val="minor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24"/>
      <color rgb="FFFF0000"/>
      <name val="Calibri"/>
      <family val="2"/>
      <scheme val="minor"/>
    </font>
    <font>
      <b/>
      <sz val="12"/>
      <color indexed="8"/>
      <name val="Calibri"/>
      <family val="2"/>
    </font>
    <font>
      <sz val="12"/>
      <color theme="0"/>
      <name val="Calibri"/>
      <family val="2"/>
      <scheme val="minor"/>
    </font>
    <font>
      <b/>
      <sz val="10"/>
      <color rgb="FFFF0000"/>
      <name val="Calibri"/>
      <family val="2"/>
    </font>
    <font>
      <b/>
      <sz val="9"/>
      <color indexed="81"/>
      <name val="Segoe UI"/>
      <family val="2"/>
    </font>
    <font>
      <b/>
      <i/>
      <sz val="12"/>
      <name val="Calibri"/>
      <family val="2"/>
    </font>
    <font>
      <b/>
      <i/>
      <sz val="12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rgb="FFFF0000"/>
      <name val="Calibri"/>
      <family val="2"/>
    </font>
    <font>
      <b/>
      <sz val="9"/>
      <color rgb="FFFF0000"/>
      <name val="Calibri"/>
      <family val="2"/>
    </font>
    <font>
      <sz val="12"/>
      <color theme="0"/>
      <name val="Calibri"/>
      <family val="2"/>
    </font>
    <font>
      <sz val="13"/>
      <color theme="0"/>
      <name val="Calibri"/>
      <family val="2"/>
      <scheme val="minor"/>
    </font>
    <font>
      <sz val="13"/>
      <color rgb="FFFF0000"/>
      <name val="Calibri"/>
      <family val="2"/>
      <scheme val="minor"/>
    </font>
    <font>
      <sz val="13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2"/>
      <color theme="0" tint="-0.34998626667073579"/>
      <name val="Calibri"/>
      <family val="2"/>
    </font>
    <font>
      <sz val="9"/>
      <color indexed="81"/>
      <name val="Segoe UI"/>
      <family val="2"/>
    </font>
    <font>
      <sz val="12"/>
      <color rgb="FF00B0F0"/>
      <name val="Calibri"/>
      <family val="2"/>
    </font>
    <font>
      <sz val="12"/>
      <color theme="4"/>
      <name val="Calibri"/>
      <family val="2"/>
    </font>
    <font>
      <sz val="12"/>
      <color theme="0" tint="-0.14999847407452621"/>
      <name val="Calibri"/>
      <family val="2"/>
    </font>
    <font>
      <sz val="11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0"/>
      <color rgb="FFFF0000"/>
      <name val="Calibri"/>
      <family val="2"/>
    </font>
    <font>
      <sz val="12"/>
      <color theme="2"/>
      <name val="Calibri"/>
      <family val="2"/>
      <scheme val="minor"/>
    </font>
    <font>
      <sz val="10"/>
      <name val="Calibri"/>
      <family val="2"/>
    </font>
    <font>
      <b/>
      <sz val="12"/>
      <color theme="0"/>
      <name val="Calibri"/>
      <family val="2"/>
    </font>
    <font>
      <sz val="13"/>
      <color theme="0" tint="-4.9989318521683403E-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767171"/>
        <bgColor indexed="64"/>
      </patternFill>
    </fill>
  </fills>
  <borders count="73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medium">
        <color auto="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FF0000"/>
      </left>
      <right style="thin">
        <color rgb="FFFF0000"/>
      </right>
      <top style="double">
        <color rgb="FFFF0000"/>
      </top>
      <bottom style="thin">
        <color rgb="FFFF0000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/>
    <xf numFmtId="44" fontId="12" fillId="0" borderId="0" applyFont="0" applyFill="0" applyBorder="0" applyAlignment="0" applyProtection="0"/>
    <xf numFmtId="9" fontId="12" fillId="0" borderId="0" applyFont="0" applyFill="0" applyBorder="0" applyAlignment="0" applyProtection="0"/>
  </cellStyleXfs>
  <cellXfs count="897">
    <xf numFmtId="0" fontId="0" fillId="0" borderId="0" xfId="0"/>
    <xf numFmtId="49" fontId="15" fillId="0" borderId="17" xfId="0" applyNumberFormat="1" applyFont="1" applyBorder="1" applyAlignment="1" applyProtection="1">
      <alignment horizontal="left"/>
      <protection locked="0"/>
    </xf>
    <xf numFmtId="0" fontId="13" fillId="0" borderId="11" xfId="0" applyFont="1" applyBorder="1" applyProtection="1">
      <protection hidden="1"/>
    </xf>
    <xf numFmtId="0" fontId="13" fillId="0" borderId="12" xfId="0" applyFont="1" applyBorder="1" applyProtection="1">
      <protection hidden="1"/>
    </xf>
    <xf numFmtId="0" fontId="13" fillId="2" borderId="3" xfId="0" applyFont="1" applyFill="1" applyBorder="1" applyProtection="1">
      <protection hidden="1"/>
    </xf>
    <xf numFmtId="0" fontId="13" fillId="2" borderId="5" xfId="0" applyFont="1" applyFill="1" applyBorder="1" applyProtection="1">
      <protection hidden="1"/>
    </xf>
    <xf numFmtId="0" fontId="13" fillId="0" borderId="13" xfId="0" applyFont="1" applyBorder="1" applyProtection="1">
      <protection hidden="1"/>
    </xf>
    <xf numFmtId="0" fontId="13" fillId="0" borderId="14" xfId="0" applyFont="1" applyBorder="1" applyProtection="1">
      <protection hidden="1"/>
    </xf>
    <xf numFmtId="0" fontId="15" fillId="0" borderId="0" xfId="0" applyFont="1" applyProtection="1">
      <protection locked="0"/>
    </xf>
    <xf numFmtId="14" fontId="15" fillId="0" borderId="0" xfId="0" applyNumberFormat="1" applyFont="1" applyAlignment="1" applyProtection="1">
      <alignment horizontal="left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166" fontId="15" fillId="0" borderId="0" xfId="2" applyNumberFormat="1" applyFont="1" applyBorder="1" applyAlignment="1" applyProtection="1">
      <alignment horizontal="center"/>
      <protection locked="0"/>
    </xf>
    <xf numFmtId="0" fontId="17" fillId="0" borderId="21" xfId="0" applyFont="1" applyBorder="1" applyAlignment="1" applyProtection="1">
      <alignment horizontal="center"/>
      <protection locked="0"/>
    </xf>
    <xf numFmtId="0" fontId="17" fillId="0" borderId="0" xfId="0" applyFont="1" applyProtection="1">
      <protection locked="0"/>
    </xf>
    <xf numFmtId="49" fontId="15" fillId="0" borderId="17" xfId="0" applyNumberFormat="1" applyFont="1" applyBorder="1" applyProtection="1">
      <protection locked="0"/>
    </xf>
    <xf numFmtId="49" fontId="15" fillId="0" borderId="18" xfId="0" applyNumberFormat="1" applyFont="1" applyBorder="1" applyProtection="1">
      <protection locked="0"/>
    </xf>
    <xf numFmtId="0" fontId="15" fillId="0" borderId="0" xfId="0" applyFont="1" applyProtection="1">
      <protection hidden="1"/>
    </xf>
    <xf numFmtId="0" fontId="15" fillId="0" borderId="14" xfId="0" applyFont="1" applyBorder="1" applyProtection="1">
      <protection hidden="1"/>
    </xf>
    <xf numFmtId="0" fontId="15" fillId="0" borderId="0" xfId="0" applyFont="1" applyAlignment="1" applyProtection="1">
      <alignment horizontal="right"/>
      <protection hidden="1"/>
    </xf>
    <xf numFmtId="165" fontId="15" fillId="0" borderId="0" xfId="0" applyNumberFormat="1" applyFont="1" applyProtection="1">
      <protection hidden="1"/>
    </xf>
    <xf numFmtId="0" fontId="15" fillId="0" borderId="8" xfId="0" applyFont="1" applyBorder="1" applyProtection="1">
      <protection hidden="1"/>
    </xf>
    <xf numFmtId="0" fontId="15" fillId="0" borderId="9" xfId="0" applyFont="1" applyBorder="1" applyProtection="1">
      <protection hidden="1"/>
    </xf>
    <xf numFmtId="0" fontId="15" fillId="0" borderId="9" xfId="0" applyFont="1" applyBorder="1" applyAlignment="1" applyProtection="1">
      <alignment horizontal="right"/>
      <protection hidden="1"/>
    </xf>
    <xf numFmtId="165" fontId="17" fillId="0" borderId="9" xfId="0" applyNumberFormat="1" applyFont="1" applyBorder="1" applyProtection="1">
      <protection hidden="1"/>
    </xf>
    <xf numFmtId="14" fontId="15" fillId="0" borderId="9" xfId="0" applyNumberFormat="1" applyFont="1" applyBorder="1" applyProtection="1">
      <protection hidden="1"/>
    </xf>
    <xf numFmtId="0" fontId="15" fillId="0" borderId="10" xfId="0" applyFont="1" applyBorder="1" applyProtection="1">
      <protection hidden="1"/>
    </xf>
    <xf numFmtId="0" fontId="15" fillId="0" borderId="11" xfId="0" applyFont="1" applyBorder="1" applyProtection="1">
      <protection hidden="1"/>
    </xf>
    <xf numFmtId="0" fontId="15" fillId="0" borderId="12" xfId="0" applyFont="1" applyBorder="1" applyProtection="1">
      <protection hidden="1"/>
    </xf>
    <xf numFmtId="0" fontId="16" fillId="0" borderId="16" xfId="0" applyFont="1" applyBorder="1" applyProtection="1">
      <protection hidden="1"/>
    </xf>
    <xf numFmtId="0" fontId="15" fillId="0" borderId="17" xfId="0" applyFont="1" applyBorder="1" applyProtection="1">
      <protection hidden="1"/>
    </xf>
    <xf numFmtId="0" fontId="15" fillId="0" borderId="19" xfId="0" applyFont="1" applyBorder="1" applyAlignment="1" applyProtection="1">
      <alignment horizontal="center"/>
      <protection hidden="1"/>
    </xf>
    <xf numFmtId="0" fontId="16" fillId="0" borderId="20" xfId="0" applyFont="1" applyBorder="1" applyProtection="1">
      <protection hidden="1"/>
    </xf>
    <xf numFmtId="0" fontId="15" fillId="0" borderId="0" xfId="0" applyFont="1" applyAlignment="1" applyProtection="1">
      <alignment horizontal="left"/>
      <protection hidden="1"/>
    </xf>
    <xf numFmtId="0" fontId="15" fillId="0" borderId="13" xfId="0" applyFont="1" applyBorder="1" applyProtection="1">
      <protection hidden="1"/>
    </xf>
    <xf numFmtId="0" fontId="15" fillId="0" borderId="15" xfId="0" applyFont="1" applyBorder="1" applyProtection="1">
      <protection hidden="1"/>
    </xf>
    <xf numFmtId="0" fontId="15" fillId="0" borderId="17" xfId="0" applyFont="1" applyBorder="1" applyAlignment="1" applyProtection="1">
      <alignment horizontal="left"/>
      <protection hidden="1"/>
    </xf>
    <xf numFmtId="16" fontId="15" fillId="0" borderId="9" xfId="0" applyNumberFormat="1" applyFont="1" applyBorder="1" applyProtection="1">
      <protection hidden="1"/>
    </xf>
    <xf numFmtId="0" fontId="16" fillId="0" borderId="11" xfId="0" applyFont="1" applyBorder="1" applyProtection="1">
      <protection hidden="1"/>
    </xf>
    <xf numFmtId="14" fontId="15" fillId="0" borderId="0" xfId="0" applyNumberFormat="1" applyFont="1" applyAlignment="1" applyProtection="1">
      <alignment horizontal="left"/>
      <protection hidden="1"/>
    </xf>
    <xf numFmtId="0" fontId="16" fillId="0" borderId="0" xfId="0" applyFont="1" applyProtection="1">
      <protection hidden="1"/>
    </xf>
    <xf numFmtId="0" fontId="15" fillId="0" borderId="21" xfId="0" applyFont="1" applyBorder="1" applyAlignment="1" applyProtection="1">
      <alignment horizontal="center"/>
      <protection hidden="1"/>
    </xf>
    <xf numFmtId="0" fontId="16" fillId="0" borderId="0" xfId="0" applyFont="1" applyAlignment="1" applyProtection="1">
      <alignment horizontal="left"/>
      <protection hidden="1"/>
    </xf>
    <xf numFmtId="0" fontId="16" fillId="0" borderId="0" xfId="0" applyFont="1" applyAlignment="1" applyProtection="1">
      <alignment horizontal="center"/>
      <protection hidden="1"/>
    </xf>
    <xf numFmtId="0" fontId="19" fillId="0" borderId="0" xfId="0" applyFont="1" applyProtection="1">
      <protection hidden="1"/>
    </xf>
    <xf numFmtId="0" fontId="17" fillId="0" borderId="0" xfId="0" applyFont="1" applyAlignment="1" applyProtection="1">
      <alignment horizontal="center"/>
      <protection hidden="1"/>
    </xf>
    <xf numFmtId="0" fontId="16" fillId="0" borderId="23" xfId="0" applyFont="1" applyBorder="1" applyAlignment="1" applyProtection="1">
      <alignment horizontal="center"/>
      <protection hidden="1"/>
    </xf>
    <xf numFmtId="0" fontId="16" fillId="0" borderId="24" xfId="0" applyFont="1" applyBorder="1" applyAlignment="1" applyProtection="1">
      <alignment horizontal="center"/>
      <protection hidden="1"/>
    </xf>
    <xf numFmtId="0" fontId="17" fillId="0" borderId="21" xfId="0" applyFont="1" applyBorder="1" applyAlignment="1" applyProtection="1">
      <alignment horizontal="center"/>
      <protection hidden="1"/>
    </xf>
    <xf numFmtId="167" fontId="15" fillId="0" borderId="21" xfId="1" applyNumberFormat="1" applyFont="1" applyBorder="1" applyProtection="1">
      <protection hidden="1"/>
    </xf>
    <xf numFmtId="167" fontId="15" fillId="0" borderId="4" xfId="1" applyNumberFormat="1" applyFont="1" applyBorder="1" applyProtection="1">
      <protection hidden="1"/>
    </xf>
    <xf numFmtId="167" fontId="15" fillId="0" borderId="26" xfId="1" applyNumberFormat="1" applyFont="1" applyBorder="1" applyProtection="1">
      <protection hidden="1"/>
    </xf>
    <xf numFmtId="44" fontId="15" fillId="0" borderId="0" xfId="1" applyFont="1" applyAlignment="1" applyProtection="1">
      <alignment horizontal="left"/>
      <protection hidden="1"/>
    </xf>
    <xf numFmtId="0" fontId="15" fillId="0" borderId="0" xfId="0" applyFont="1" applyAlignment="1" applyProtection="1">
      <alignment horizontal="center"/>
      <protection hidden="1"/>
    </xf>
    <xf numFmtId="49" fontId="15" fillId="0" borderId="0" xfId="0" applyNumberFormat="1" applyFont="1" applyAlignment="1" applyProtection="1">
      <alignment horizontal="left"/>
      <protection hidden="1"/>
    </xf>
    <xf numFmtId="49" fontId="15" fillId="0" borderId="0" xfId="0" applyNumberFormat="1" applyFont="1" applyProtection="1">
      <protection hidden="1"/>
    </xf>
    <xf numFmtId="0" fontId="17" fillId="0" borderId="0" xfId="0" applyFont="1" applyProtection="1">
      <protection hidden="1"/>
    </xf>
    <xf numFmtId="0" fontId="13" fillId="0" borderId="0" xfId="0" applyFont="1" applyProtection="1">
      <protection hidden="1"/>
    </xf>
    <xf numFmtId="44" fontId="13" fillId="0" borderId="0" xfId="1" applyFont="1" applyProtection="1">
      <protection hidden="1"/>
    </xf>
    <xf numFmtId="49" fontId="15" fillId="0" borderId="14" xfId="0" applyNumberFormat="1" applyFont="1" applyBorder="1" applyProtection="1">
      <protection hidden="1"/>
    </xf>
    <xf numFmtId="49" fontId="15" fillId="0" borderId="9" xfId="0" applyNumberFormat="1" applyFont="1" applyBorder="1" applyProtection="1">
      <protection hidden="1"/>
    </xf>
    <xf numFmtId="49" fontId="15" fillId="0" borderId="17" xfId="0" applyNumberFormat="1" applyFont="1" applyBorder="1" applyAlignment="1" applyProtection="1">
      <alignment horizontal="left"/>
      <protection hidden="1"/>
    </xf>
    <xf numFmtId="49" fontId="17" fillId="0" borderId="17" xfId="0" applyNumberFormat="1" applyFont="1" applyBorder="1" applyProtection="1">
      <protection hidden="1"/>
    </xf>
    <xf numFmtId="49" fontId="15" fillId="0" borderId="17" xfId="0" applyNumberFormat="1" applyFont="1" applyBorder="1" applyAlignment="1" applyProtection="1">
      <alignment horizontal="center"/>
      <protection hidden="1"/>
    </xf>
    <xf numFmtId="49" fontId="15" fillId="0" borderId="17" xfId="0" applyNumberFormat="1" applyFont="1" applyBorder="1" applyProtection="1">
      <protection hidden="1"/>
    </xf>
    <xf numFmtId="49" fontId="15" fillId="0" borderId="18" xfId="0" applyNumberFormat="1" applyFont="1" applyBorder="1" applyProtection="1">
      <protection hidden="1"/>
    </xf>
    <xf numFmtId="49" fontId="15" fillId="0" borderId="29" xfId="0" applyNumberFormat="1" applyFont="1" applyBorder="1" applyAlignment="1" applyProtection="1">
      <alignment horizontal="center"/>
      <protection hidden="1"/>
    </xf>
    <xf numFmtId="49" fontId="15" fillId="0" borderId="29" xfId="0" applyNumberFormat="1" applyFont="1" applyBorder="1" applyProtection="1">
      <protection hidden="1"/>
    </xf>
    <xf numFmtId="49" fontId="15" fillId="0" borderId="30" xfId="0" applyNumberFormat="1" applyFont="1" applyBorder="1" applyProtection="1">
      <protection hidden="1"/>
    </xf>
    <xf numFmtId="0" fontId="18" fillId="0" borderId="16" xfId="0" applyFont="1" applyBorder="1" applyAlignment="1" applyProtection="1">
      <alignment horizontal="left"/>
      <protection hidden="1"/>
    </xf>
    <xf numFmtId="0" fontId="0" fillId="0" borderId="0" xfId="0" applyProtection="1">
      <protection hidden="1"/>
    </xf>
    <xf numFmtId="167" fontId="15" fillId="0" borderId="21" xfId="1" applyNumberFormat="1" applyFont="1" applyBorder="1" applyProtection="1">
      <protection locked="0"/>
    </xf>
    <xf numFmtId="167" fontId="15" fillId="0" borderId="26" xfId="1" applyNumberFormat="1" applyFont="1" applyBorder="1" applyProtection="1">
      <protection locked="0"/>
    </xf>
    <xf numFmtId="0" fontId="17" fillId="3" borderId="21" xfId="0" applyFont="1" applyFill="1" applyBorder="1" applyAlignment="1" applyProtection="1">
      <alignment horizontal="center"/>
      <protection hidden="1"/>
    </xf>
    <xf numFmtId="167" fontId="15" fillId="3" borderId="21" xfId="1" applyNumberFormat="1" applyFont="1" applyFill="1" applyBorder="1" applyProtection="1">
      <protection hidden="1"/>
    </xf>
    <xf numFmtId="167" fontId="15" fillId="3" borderId="4" xfId="1" applyNumberFormat="1" applyFont="1" applyFill="1" applyBorder="1" applyProtection="1">
      <protection hidden="1"/>
    </xf>
    <xf numFmtId="167" fontId="15" fillId="3" borderId="26" xfId="1" applyNumberFormat="1" applyFont="1" applyFill="1" applyBorder="1" applyProtection="1">
      <protection hidden="1"/>
    </xf>
    <xf numFmtId="9" fontId="15" fillId="0" borderId="0" xfId="0" applyNumberFormat="1" applyFont="1" applyAlignment="1" applyProtection="1">
      <alignment horizontal="center"/>
      <protection locked="0"/>
    </xf>
    <xf numFmtId="0" fontId="17" fillId="0" borderId="0" xfId="0" applyFont="1" applyAlignment="1" applyProtection="1">
      <alignment horizontal="left"/>
      <protection locked="0"/>
    </xf>
    <xf numFmtId="0" fontId="17" fillId="0" borderId="17" xfId="0" applyFont="1" applyBorder="1" applyProtection="1">
      <protection hidden="1"/>
    </xf>
    <xf numFmtId="49" fontId="21" fillId="0" borderId="17" xfId="0" applyNumberFormat="1" applyFont="1" applyBorder="1" applyProtection="1">
      <protection hidden="1"/>
    </xf>
    <xf numFmtId="49" fontId="21" fillId="0" borderId="18" xfId="0" applyNumberFormat="1" applyFont="1" applyBorder="1" applyProtection="1">
      <protection hidden="1"/>
    </xf>
    <xf numFmtId="9" fontId="15" fillId="0" borderId="0" xfId="2" applyFont="1" applyBorder="1" applyAlignment="1" applyProtection="1">
      <alignment horizontal="left"/>
      <protection hidden="1"/>
    </xf>
    <xf numFmtId="0" fontId="21" fillId="0" borderId="0" xfId="0" applyFont="1" applyProtection="1">
      <protection hidden="1"/>
    </xf>
    <xf numFmtId="0" fontId="24" fillId="0" borderId="0" xfId="0" applyFont="1" applyProtection="1">
      <protection hidden="1"/>
    </xf>
    <xf numFmtId="0" fontId="24" fillId="0" borderId="36" xfId="0" applyFont="1" applyBorder="1" applyAlignment="1" applyProtection="1">
      <alignment horizontal="center"/>
      <protection hidden="1"/>
    </xf>
    <xf numFmtId="0" fontId="21" fillId="0" borderId="3" xfId="0" applyFont="1" applyBorder="1" applyAlignment="1" applyProtection="1">
      <alignment horizontal="center"/>
      <protection hidden="1"/>
    </xf>
    <xf numFmtId="0" fontId="21" fillId="0" borderId="5" xfId="0" applyFont="1" applyBorder="1" applyAlignment="1" applyProtection="1">
      <alignment horizontal="center"/>
      <protection hidden="1"/>
    </xf>
    <xf numFmtId="0" fontId="24" fillId="0" borderId="0" xfId="0" applyFont="1" applyAlignment="1" applyProtection="1">
      <alignment horizontal="center"/>
      <protection hidden="1"/>
    </xf>
    <xf numFmtId="44" fontId="23" fillId="0" borderId="0" xfId="1" applyFont="1" applyBorder="1" applyAlignment="1" applyProtection="1">
      <alignment horizontal="center"/>
      <protection hidden="1"/>
    </xf>
    <xf numFmtId="0" fontId="21" fillId="0" borderId="0" xfId="0" applyFont="1" applyAlignment="1" applyProtection="1">
      <alignment horizontal="center"/>
      <protection hidden="1"/>
    </xf>
    <xf numFmtId="0" fontId="24" fillId="0" borderId="41" xfId="0" applyFont="1" applyBorder="1" applyAlignment="1" applyProtection="1">
      <alignment horizontal="center"/>
      <protection hidden="1"/>
    </xf>
    <xf numFmtId="14" fontId="21" fillId="0" borderId="0" xfId="0" applyNumberFormat="1" applyFont="1" applyProtection="1">
      <protection hidden="1"/>
    </xf>
    <xf numFmtId="14" fontId="21" fillId="0" borderId="0" xfId="0" applyNumberFormat="1" applyFont="1" applyAlignment="1" applyProtection="1">
      <alignment horizontal="center"/>
      <protection hidden="1"/>
    </xf>
    <xf numFmtId="14" fontId="24" fillId="0" borderId="41" xfId="0" applyNumberFormat="1" applyFont="1" applyBorder="1" applyAlignment="1" applyProtection="1">
      <alignment horizontal="center"/>
      <protection hidden="1"/>
    </xf>
    <xf numFmtId="14" fontId="21" fillId="0" borderId="40" xfId="1" applyNumberFormat="1" applyFont="1" applyBorder="1" applyAlignment="1" applyProtection="1">
      <alignment horizontal="center"/>
      <protection hidden="1"/>
    </xf>
    <xf numFmtId="14" fontId="24" fillId="0" borderId="0" xfId="0" applyNumberFormat="1" applyFont="1" applyAlignment="1" applyProtection="1">
      <alignment horizontal="center"/>
      <protection hidden="1"/>
    </xf>
    <xf numFmtId="14" fontId="23" fillId="0" borderId="0" xfId="1" applyNumberFormat="1" applyFont="1" applyBorder="1" applyAlignment="1" applyProtection="1">
      <alignment horizontal="center"/>
      <protection hidden="1"/>
    </xf>
    <xf numFmtId="14" fontId="0" fillId="0" borderId="0" xfId="0" applyNumberFormat="1" applyProtection="1">
      <protection hidden="1"/>
    </xf>
    <xf numFmtId="2" fontId="21" fillId="0" borderId="0" xfId="0" applyNumberFormat="1" applyFont="1" applyProtection="1">
      <protection hidden="1"/>
    </xf>
    <xf numFmtId="0" fontId="17" fillId="0" borderId="16" xfId="0" applyFont="1" applyBorder="1" applyAlignment="1" applyProtection="1">
      <alignment horizontal="left"/>
      <protection locked="0"/>
    </xf>
    <xf numFmtId="0" fontId="17" fillId="0" borderId="17" xfId="0" applyFont="1" applyBorder="1" applyAlignment="1" applyProtection="1">
      <alignment horizontal="left"/>
      <protection locked="0"/>
    </xf>
    <xf numFmtId="0" fontId="17" fillId="0" borderId="18" xfId="0" applyFont="1" applyBorder="1" applyAlignment="1" applyProtection="1">
      <alignment horizontal="left"/>
      <protection locked="0"/>
    </xf>
    <xf numFmtId="14" fontId="23" fillId="0" borderId="0" xfId="0" applyNumberFormat="1" applyFont="1" applyProtection="1">
      <protection hidden="1"/>
    </xf>
    <xf numFmtId="0" fontId="19" fillId="0" borderId="9" xfId="0" applyFont="1" applyBorder="1" applyProtection="1">
      <protection hidden="1"/>
    </xf>
    <xf numFmtId="44" fontId="21" fillId="0" borderId="40" xfId="1" applyFont="1" applyBorder="1" applyAlignment="1" applyProtection="1">
      <alignment horizontal="center"/>
      <protection hidden="1"/>
    </xf>
    <xf numFmtId="44" fontId="21" fillId="0" borderId="42" xfId="1" applyFont="1" applyBorder="1" applyAlignment="1" applyProtection="1">
      <alignment horizontal="center"/>
      <protection hidden="1"/>
    </xf>
    <xf numFmtId="44" fontId="21" fillId="0" borderId="0" xfId="1" applyFont="1" applyBorder="1" applyAlignment="1" applyProtection="1">
      <alignment horizontal="center"/>
      <protection hidden="1"/>
    </xf>
    <xf numFmtId="14" fontId="24" fillId="2" borderId="41" xfId="0" applyNumberFormat="1" applyFont="1" applyFill="1" applyBorder="1" applyAlignment="1" applyProtection="1">
      <alignment horizontal="center"/>
      <protection hidden="1"/>
    </xf>
    <xf numFmtId="0" fontId="24" fillId="2" borderId="41" xfId="0" applyFont="1" applyFill="1" applyBorder="1" applyAlignment="1" applyProtection="1">
      <alignment horizontal="center"/>
      <protection hidden="1"/>
    </xf>
    <xf numFmtId="0" fontId="24" fillId="2" borderId="38" xfId="0" applyFont="1" applyFill="1" applyBorder="1" applyProtection="1">
      <protection hidden="1"/>
    </xf>
    <xf numFmtId="0" fontId="24" fillId="2" borderId="7" xfId="0" applyFont="1" applyFill="1" applyBorder="1" applyAlignment="1" applyProtection="1">
      <alignment horizontal="center"/>
      <protection locked="0"/>
    </xf>
    <xf numFmtId="168" fontId="21" fillId="2" borderId="21" xfId="0" applyNumberFormat="1" applyFont="1" applyFill="1" applyBorder="1" applyAlignment="1" applyProtection="1">
      <alignment horizontal="center"/>
      <protection locked="0"/>
    </xf>
    <xf numFmtId="168" fontId="21" fillId="2" borderId="32" xfId="0" applyNumberFormat="1" applyFont="1" applyFill="1" applyBorder="1" applyAlignment="1" applyProtection="1">
      <alignment horizontal="center"/>
      <protection locked="0"/>
    </xf>
    <xf numFmtId="168" fontId="25" fillId="2" borderId="39" xfId="0" applyNumberFormat="1" applyFont="1" applyFill="1" applyBorder="1" applyAlignment="1" applyProtection="1">
      <alignment horizontal="center"/>
      <protection locked="0"/>
    </xf>
    <xf numFmtId="170" fontId="21" fillId="2" borderId="40" xfId="1" applyNumberFormat="1" applyFont="1" applyFill="1" applyBorder="1" applyAlignment="1" applyProtection="1">
      <alignment horizontal="center"/>
      <protection locked="0"/>
    </xf>
    <xf numFmtId="44" fontId="21" fillId="2" borderId="40" xfId="1" applyFont="1" applyFill="1" applyBorder="1" applyAlignment="1" applyProtection="1">
      <alignment horizontal="center"/>
      <protection locked="0"/>
    </xf>
    <xf numFmtId="170" fontId="21" fillId="2" borderId="32" xfId="1" applyNumberFormat="1" applyFont="1" applyFill="1" applyBorder="1" applyAlignment="1" applyProtection="1">
      <alignment horizontal="center"/>
      <protection locked="0"/>
    </xf>
    <xf numFmtId="44" fontId="21" fillId="2" borderId="32" xfId="1" applyFont="1" applyFill="1" applyBorder="1" applyAlignment="1" applyProtection="1">
      <alignment horizontal="center"/>
      <protection locked="0"/>
    </xf>
    <xf numFmtId="0" fontId="21" fillId="2" borderId="35" xfId="0" applyFont="1" applyFill="1" applyBorder="1" applyProtection="1">
      <protection locked="0"/>
    </xf>
    <xf numFmtId="0" fontId="21" fillId="2" borderId="4" xfId="0" applyFont="1" applyFill="1" applyBorder="1" applyProtection="1">
      <protection locked="0"/>
    </xf>
    <xf numFmtId="0" fontId="21" fillId="2" borderId="6" xfId="0" applyFont="1" applyFill="1" applyBorder="1" applyProtection="1">
      <protection locked="0"/>
    </xf>
    <xf numFmtId="169" fontId="26" fillId="0" borderId="21" xfId="0" applyNumberFormat="1" applyFont="1" applyBorder="1" applyAlignment="1" applyProtection="1">
      <alignment horizontal="center" vertical="center"/>
      <protection hidden="1"/>
    </xf>
    <xf numFmtId="169" fontId="21" fillId="0" borderId="21" xfId="0" applyNumberFormat="1" applyFont="1" applyBorder="1" applyAlignment="1" applyProtection="1">
      <alignment horizontal="center" vertical="center"/>
      <protection hidden="1"/>
    </xf>
    <xf numFmtId="0" fontId="17" fillId="0" borderId="21" xfId="0" applyFont="1" applyBorder="1" applyAlignment="1" applyProtection="1">
      <alignment horizontal="left" vertical="center"/>
      <protection hidden="1"/>
    </xf>
    <xf numFmtId="167" fontId="15" fillId="0" borderId="21" xfId="1" applyNumberFormat="1" applyFont="1" applyFill="1" applyBorder="1" applyProtection="1">
      <protection locked="0"/>
    </xf>
    <xf numFmtId="167" fontId="15" fillId="0" borderId="4" xfId="1" applyNumberFormat="1" applyFont="1" applyFill="1" applyBorder="1" applyProtection="1">
      <protection hidden="1"/>
    </xf>
    <xf numFmtId="167" fontId="15" fillId="0" borderId="26" xfId="1" applyNumberFormat="1" applyFont="1" applyFill="1" applyBorder="1" applyProtection="1">
      <protection locked="0"/>
    </xf>
    <xf numFmtId="0" fontId="13" fillId="2" borderId="7" xfId="0" applyFont="1" applyFill="1" applyBorder="1" applyAlignment="1" applyProtection="1">
      <alignment horizontal="center"/>
      <protection locked="0"/>
    </xf>
    <xf numFmtId="0" fontId="13" fillId="0" borderId="9" xfId="0" applyFont="1" applyBorder="1" applyProtection="1">
      <protection hidden="1"/>
    </xf>
    <xf numFmtId="0" fontId="13" fillId="0" borderId="10" xfId="0" applyFont="1" applyBorder="1" applyProtection="1">
      <protection hidden="1"/>
    </xf>
    <xf numFmtId="0" fontId="13" fillId="0" borderId="15" xfId="0" applyFont="1" applyBorder="1" applyProtection="1">
      <protection hidden="1"/>
    </xf>
    <xf numFmtId="0" fontId="13" fillId="0" borderId="1" xfId="0" applyFont="1" applyBorder="1" applyProtection="1">
      <protection hidden="1"/>
    </xf>
    <xf numFmtId="44" fontId="13" fillId="0" borderId="2" xfId="0" applyNumberFormat="1" applyFont="1" applyBorder="1" applyProtection="1">
      <protection hidden="1"/>
    </xf>
    <xf numFmtId="0" fontId="13" fillId="0" borderId="3" xfId="0" applyFont="1" applyBorder="1" applyProtection="1">
      <protection hidden="1"/>
    </xf>
    <xf numFmtId="44" fontId="13" fillId="0" borderId="4" xfId="1" applyFont="1" applyBorder="1" applyProtection="1">
      <protection hidden="1"/>
    </xf>
    <xf numFmtId="44" fontId="13" fillId="0" borderId="4" xfId="0" applyNumberFormat="1" applyFont="1" applyBorder="1" applyProtection="1">
      <protection hidden="1"/>
    </xf>
    <xf numFmtId="0" fontId="13" fillId="0" borderId="5" xfId="0" applyFont="1" applyBorder="1" applyProtection="1">
      <protection hidden="1"/>
    </xf>
    <xf numFmtId="1" fontId="20" fillId="0" borderId="6" xfId="2" applyNumberFormat="1" applyFont="1" applyBorder="1" applyAlignment="1" applyProtection="1">
      <alignment horizontal="center"/>
      <protection hidden="1"/>
    </xf>
    <xf numFmtId="164" fontId="13" fillId="0" borderId="0" xfId="0" applyNumberFormat="1" applyFont="1" applyProtection="1">
      <protection hidden="1"/>
    </xf>
    <xf numFmtId="44" fontId="13" fillId="0" borderId="0" xfId="0" applyNumberFormat="1" applyFont="1" applyProtection="1">
      <protection hidden="1"/>
    </xf>
    <xf numFmtId="0" fontId="28" fillId="2" borderId="7" xfId="0" applyFont="1" applyFill="1" applyBorder="1" applyAlignment="1" applyProtection="1">
      <alignment horizontal="center"/>
      <protection hidden="1"/>
    </xf>
    <xf numFmtId="1" fontId="13" fillId="2" borderId="21" xfId="2" applyNumberFormat="1" applyFont="1" applyFill="1" applyBorder="1" applyAlignment="1" applyProtection="1">
      <alignment horizontal="center"/>
      <protection hidden="1"/>
    </xf>
    <xf numFmtId="44" fontId="13" fillId="2" borderId="21" xfId="0" applyNumberFormat="1" applyFont="1" applyFill="1" applyBorder="1" applyProtection="1">
      <protection hidden="1"/>
    </xf>
    <xf numFmtId="44" fontId="13" fillId="2" borderId="4" xfId="1" applyFont="1" applyFill="1" applyBorder="1" applyProtection="1">
      <protection hidden="1"/>
    </xf>
    <xf numFmtId="0" fontId="13" fillId="2" borderId="32" xfId="0" applyFont="1" applyFill="1" applyBorder="1" applyAlignment="1" applyProtection="1">
      <alignment horizontal="center"/>
      <protection hidden="1"/>
    </xf>
    <xf numFmtId="44" fontId="13" fillId="2" borderId="6" xfId="1" applyFont="1" applyFill="1" applyBorder="1" applyProtection="1">
      <protection hidden="1"/>
    </xf>
    <xf numFmtId="1" fontId="13" fillId="0" borderId="14" xfId="0" applyNumberFormat="1" applyFont="1" applyBorder="1" applyAlignment="1" applyProtection="1">
      <alignment horizontal="center"/>
      <protection hidden="1"/>
    </xf>
    <xf numFmtId="44" fontId="13" fillId="2" borderId="7" xfId="1" applyFont="1" applyFill="1" applyBorder="1" applyProtection="1">
      <protection hidden="1"/>
    </xf>
    <xf numFmtId="167" fontId="15" fillId="0" borderId="21" xfId="1" applyNumberFormat="1" applyFont="1" applyFill="1" applyBorder="1" applyProtection="1">
      <protection hidden="1"/>
    </xf>
    <xf numFmtId="44" fontId="13" fillId="2" borderId="32" xfId="1" applyFont="1" applyFill="1" applyBorder="1" applyProtection="1">
      <protection hidden="1"/>
    </xf>
    <xf numFmtId="0" fontId="15" fillId="0" borderId="0" xfId="0" applyFont="1" applyProtection="1">
      <protection locked="0" hidden="1"/>
    </xf>
    <xf numFmtId="0" fontId="15" fillId="0" borderId="16" xfId="0" applyFont="1" applyBorder="1" applyProtection="1">
      <protection locked="0" hidden="1"/>
    </xf>
    <xf numFmtId="0" fontId="15" fillId="0" borderId="17" xfId="0" applyFont="1" applyBorder="1" applyProtection="1">
      <protection locked="0" hidden="1"/>
    </xf>
    <xf numFmtId="0" fontId="15" fillId="0" borderId="18" xfId="0" applyFont="1" applyBorder="1" applyProtection="1">
      <protection locked="0" hidden="1"/>
    </xf>
    <xf numFmtId="44" fontId="15" fillId="3" borderId="21" xfId="1" applyFont="1" applyFill="1" applyBorder="1" applyProtection="1">
      <protection hidden="1"/>
    </xf>
    <xf numFmtId="168" fontId="31" fillId="4" borderId="21" xfId="0" applyNumberFormat="1" applyFont="1" applyFill="1" applyBorder="1" applyAlignment="1" applyProtection="1">
      <alignment horizontal="center"/>
      <protection locked="0"/>
    </xf>
    <xf numFmtId="0" fontId="17" fillId="4" borderId="21" xfId="0" applyFont="1" applyFill="1" applyBorder="1" applyAlignment="1" applyProtection="1">
      <alignment horizontal="center"/>
      <protection hidden="1"/>
    </xf>
    <xf numFmtId="167" fontId="15" fillId="4" borderId="21" xfId="1" applyNumberFormat="1" applyFont="1" applyFill="1" applyBorder="1" applyProtection="1">
      <protection hidden="1"/>
    </xf>
    <xf numFmtId="167" fontId="15" fillId="4" borderId="4" xfId="1" applyNumberFormat="1" applyFont="1" applyFill="1" applyBorder="1" applyProtection="1">
      <protection hidden="1"/>
    </xf>
    <xf numFmtId="0" fontId="17" fillId="4" borderId="16" xfId="0" applyFont="1" applyFill="1" applyBorder="1" applyProtection="1">
      <protection hidden="1"/>
    </xf>
    <xf numFmtId="0" fontId="17" fillId="4" borderId="17" xfId="0" applyFont="1" applyFill="1" applyBorder="1" applyProtection="1">
      <protection hidden="1"/>
    </xf>
    <xf numFmtId="0" fontId="17" fillId="4" borderId="18" xfId="0" applyFont="1" applyFill="1" applyBorder="1" applyProtection="1">
      <protection hidden="1"/>
    </xf>
    <xf numFmtId="167" fontId="15" fillId="4" borderId="26" xfId="1" applyNumberFormat="1" applyFont="1" applyFill="1" applyBorder="1" applyProtection="1">
      <protection hidden="1"/>
    </xf>
    <xf numFmtId="0" fontId="17" fillId="4" borderId="16" xfId="0" applyFont="1" applyFill="1" applyBorder="1" applyAlignment="1" applyProtection="1">
      <alignment vertical="center"/>
      <protection hidden="1"/>
    </xf>
    <xf numFmtId="0" fontId="17" fillId="4" borderId="17" xfId="0" applyFont="1" applyFill="1" applyBorder="1" applyAlignment="1" applyProtection="1">
      <alignment vertical="center"/>
      <protection hidden="1"/>
    </xf>
    <xf numFmtId="0" fontId="17" fillId="4" borderId="18" xfId="0" applyFont="1" applyFill="1" applyBorder="1" applyAlignment="1" applyProtection="1">
      <alignment vertical="center"/>
      <protection hidden="1"/>
    </xf>
    <xf numFmtId="0" fontId="17" fillId="2" borderId="21" xfId="0" applyFont="1" applyFill="1" applyBorder="1" applyAlignment="1" applyProtection="1">
      <alignment horizontal="center"/>
      <protection hidden="1"/>
    </xf>
    <xf numFmtId="167" fontId="15" fillId="2" borderId="21" xfId="1" applyNumberFormat="1" applyFont="1" applyFill="1" applyBorder="1" applyProtection="1">
      <protection hidden="1"/>
    </xf>
    <xf numFmtId="167" fontId="15" fillId="2" borderId="4" xfId="1" applyNumberFormat="1" applyFont="1" applyFill="1" applyBorder="1" applyProtection="1">
      <protection hidden="1"/>
    </xf>
    <xf numFmtId="167" fontId="15" fillId="2" borderId="26" xfId="1" applyNumberFormat="1" applyFont="1" applyFill="1" applyBorder="1" applyProtection="1">
      <protection hidden="1"/>
    </xf>
    <xf numFmtId="14" fontId="15" fillId="0" borderId="18" xfId="0" applyNumberFormat="1" applyFont="1" applyBorder="1" applyAlignment="1" applyProtection="1">
      <alignment horizontal="center"/>
      <protection locked="0"/>
    </xf>
    <xf numFmtId="14" fontId="15" fillId="0" borderId="18" xfId="0" applyNumberFormat="1" applyFont="1" applyBorder="1" applyAlignment="1" applyProtection="1">
      <alignment horizontal="center"/>
      <protection hidden="1"/>
    </xf>
    <xf numFmtId="49" fontId="34" fillId="0" borderId="17" xfId="0" applyNumberFormat="1" applyFont="1" applyBorder="1" applyProtection="1">
      <protection hidden="1"/>
    </xf>
    <xf numFmtId="49" fontId="34" fillId="0" borderId="17" xfId="0" applyNumberFormat="1" applyFont="1" applyBorder="1" applyAlignment="1" applyProtection="1">
      <alignment horizontal="center"/>
      <protection hidden="1"/>
    </xf>
    <xf numFmtId="0" fontId="17" fillId="0" borderId="0" xfId="0" applyFont="1" applyAlignment="1" applyProtection="1">
      <alignment horizontal="left"/>
      <protection hidden="1"/>
    </xf>
    <xf numFmtId="2" fontId="35" fillId="0" borderId="0" xfId="0" applyNumberFormat="1" applyFont="1" applyAlignment="1" applyProtection="1">
      <alignment horizontal="center"/>
      <protection hidden="1"/>
    </xf>
    <xf numFmtId="14" fontId="21" fillId="0" borderId="0" xfId="0" applyNumberFormat="1" applyFont="1" applyAlignment="1" applyProtection="1">
      <alignment horizontal="left"/>
      <protection hidden="1"/>
    </xf>
    <xf numFmtId="49" fontId="15" fillId="0" borderId="18" xfId="0" applyNumberFormat="1" applyFont="1" applyBorder="1" applyProtection="1">
      <protection locked="0" hidden="1"/>
    </xf>
    <xf numFmtId="14" fontId="15" fillId="0" borderId="0" xfId="0" applyNumberFormat="1" applyFont="1" applyAlignment="1" applyProtection="1">
      <alignment horizontal="left"/>
      <protection locked="0" hidden="1"/>
    </xf>
    <xf numFmtId="166" fontId="15" fillId="0" borderId="0" xfId="2" applyNumberFormat="1" applyFont="1" applyBorder="1" applyAlignment="1" applyProtection="1">
      <alignment horizontal="center"/>
      <protection locked="0" hidden="1"/>
    </xf>
    <xf numFmtId="0" fontId="17" fillId="0" borderId="0" xfId="0" applyFont="1" applyProtection="1">
      <protection locked="0" hidden="1"/>
    </xf>
    <xf numFmtId="0" fontId="15" fillId="0" borderId="21" xfId="0" applyFont="1" applyBorder="1" applyAlignment="1" applyProtection="1">
      <alignment horizontal="center"/>
      <protection locked="0" hidden="1"/>
    </xf>
    <xf numFmtId="0" fontId="17" fillId="0" borderId="21" xfId="0" applyFont="1" applyBorder="1" applyAlignment="1" applyProtection="1">
      <alignment horizontal="center"/>
      <protection locked="0" hidden="1"/>
    </xf>
    <xf numFmtId="49" fontId="18" fillId="0" borderId="16" xfId="0" applyNumberFormat="1" applyFont="1" applyBorder="1" applyAlignment="1" applyProtection="1">
      <alignment horizontal="left"/>
      <protection locked="0" hidden="1"/>
    </xf>
    <xf numFmtId="49" fontId="15" fillId="0" borderId="17" xfId="0" applyNumberFormat="1" applyFont="1" applyBorder="1" applyAlignment="1" applyProtection="1">
      <alignment horizontal="left"/>
      <protection locked="0" hidden="1"/>
    </xf>
    <xf numFmtId="49" fontId="17" fillId="0" borderId="17" xfId="0" applyNumberFormat="1" applyFont="1" applyBorder="1" applyProtection="1">
      <protection locked="0" hidden="1"/>
    </xf>
    <xf numFmtId="49" fontId="15" fillId="0" borderId="17" xfId="0" applyNumberFormat="1" applyFont="1" applyBorder="1" applyAlignment="1" applyProtection="1">
      <alignment horizontal="center"/>
      <protection locked="0" hidden="1"/>
    </xf>
    <xf numFmtId="49" fontId="15" fillId="0" borderId="17" xfId="0" applyNumberFormat="1" applyFont="1" applyBorder="1" applyProtection="1">
      <protection locked="0" hidden="1"/>
    </xf>
    <xf numFmtId="0" fontId="18" fillId="0" borderId="16" xfId="0" applyFont="1" applyBorder="1" applyProtection="1">
      <protection locked="0" hidden="1"/>
    </xf>
    <xf numFmtId="49" fontId="15" fillId="0" borderId="29" xfId="0" applyNumberFormat="1" applyFont="1" applyBorder="1" applyAlignment="1" applyProtection="1">
      <alignment horizontal="center"/>
      <protection locked="0" hidden="1"/>
    </xf>
    <xf numFmtId="49" fontId="15" fillId="0" borderId="29" xfId="0" applyNumberFormat="1" applyFont="1" applyBorder="1" applyProtection="1">
      <protection locked="0" hidden="1"/>
    </xf>
    <xf numFmtId="49" fontId="15" fillId="0" borderId="30" xfId="0" applyNumberFormat="1" applyFont="1" applyBorder="1" applyProtection="1">
      <protection locked="0" hidden="1"/>
    </xf>
    <xf numFmtId="1" fontId="0" fillId="0" borderId="16" xfId="0" applyNumberFormat="1" applyBorder="1" applyProtection="1">
      <protection locked="0" hidden="1"/>
    </xf>
    <xf numFmtId="49" fontId="22" fillId="0" borderId="16" xfId="0" applyNumberFormat="1" applyFont="1" applyBorder="1" applyAlignment="1" applyProtection="1">
      <alignment horizontal="left"/>
      <protection locked="0" hidden="1"/>
    </xf>
    <xf numFmtId="44" fontId="23" fillId="0" borderId="0" xfId="0" applyNumberFormat="1" applyFont="1" applyAlignment="1" applyProtection="1">
      <alignment horizontal="center"/>
      <protection hidden="1"/>
    </xf>
    <xf numFmtId="14" fontId="21" fillId="0" borderId="42" xfId="1" applyNumberFormat="1" applyFont="1" applyBorder="1" applyAlignment="1" applyProtection="1">
      <alignment horizontal="center"/>
      <protection hidden="1"/>
    </xf>
    <xf numFmtId="0" fontId="11" fillId="4" borderId="21" xfId="0" applyFont="1" applyFill="1" applyBorder="1" applyAlignment="1" applyProtection="1">
      <alignment horizontal="center"/>
      <protection locked="0"/>
    </xf>
    <xf numFmtId="0" fontId="17" fillId="4" borderId="17" xfId="0" applyFont="1" applyFill="1" applyBorder="1" applyAlignment="1" applyProtection="1">
      <alignment horizontal="left"/>
      <protection hidden="1"/>
    </xf>
    <xf numFmtId="0" fontId="17" fillId="4" borderId="18" xfId="0" applyFont="1" applyFill="1" applyBorder="1" applyAlignment="1" applyProtection="1">
      <alignment horizontal="left"/>
      <protection hidden="1"/>
    </xf>
    <xf numFmtId="49" fontId="17" fillId="4" borderId="16" xfId="0" applyNumberFormat="1" applyFont="1" applyFill="1" applyBorder="1" applyAlignment="1" applyProtection="1">
      <alignment horizontal="left"/>
      <protection hidden="1"/>
    </xf>
    <xf numFmtId="0" fontId="13" fillId="2" borderId="43" xfId="0" applyFont="1" applyFill="1" applyBorder="1" applyProtection="1">
      <protection hidden="1"/>
    </xf>
    <xf numFmtId="44" fontId="13" fillId="2" borderId="26" xfId="0" applyNumberFormat="1" applyFont="1" applyFill="1" applyBorder="1" applyProtection="1">
      <protection hidden="1"/>
    </xf>
    <xf numFmtId="44" fontId="13" fillId="2" borderId="44" xfId="1" applyFont="1" applyFill="1" applyBorder="1" applyProtection="1">
      <protection hidden="1"/>
    </xf>
    <xf numFmtId="0" fontId="13" fillId="2" borderId="33" xfId="0" applyFont="1" applyFill="1" applyBorder="1" applyProtection="1">
      <protection hidden="1"/>
    </xf>
    <xf numFmtId="44" fontId="13" fillId="2" borderId="34" xfId="1" applyFont="1" applyFill="1" applyBorder="1" applyProtection="1">
      <protection hidden="1"/>
    </xf>
    <xf numFmtId="0" fontId="13" fillId="2" borderId="36" xfId="0" applyFont="1" applyFill="1" applyBorder="1" applyProtection="1">
      <protection hidden="1"/>
    </xf>
    <xf numFmtId="0" fontId="13" fillId="2" borderId="37" xfId="0" applyFont="1" applyFill="1" applyBorder="1" applyAlignment="1" applyProtection="1">
      <alignment horizontal="center"/>
      <protection hidden="1"/>
    </xf>
    <xf numFmtId="44" fontId="13" fillId="2" borderId="37" xfId="1" applyFont="1" applyFill="1" applyBorder="1" applyProtection="1">
      <protection hidden="1"/>
    </xf>
    <xf numFmtId="44" fontId="13" fillId="0" borderId="14" xfId="0" applyNumberFormat="1" applyFont="1" applyBorder="1" applyAlignment="1" applyProtection="1">
      <alignment horizontal="center"/>
      <protection hidden="1"/>
    </xf>
    <xf numFmtId="0" fontId="36" fillId="0" borderId="14" xfId="0" applyFont="1" applyBorder="1" applyProtection="1">
      <protection hidden="1"/>
    </xf>
    <xf numFmtId="44" fontId="13" fillId="2" borderId="38" xfId="1" applyFont="1" applyFill="1" applyBorder="1" applyAlignment="1" applyProtection="1">
      <alignment horizontal="center"/>
      <protection hidden="1"/>
    </xf>
    <xf numFmtId="44" fontId="27" fillId="0" borderId="0" xfId="1" applyFont="1" applyBorder="1" applyAlignment="1" applyProtection="1">
      <alignment horizontal="center" readingOrder="1"/>
      <protection hidden="1"/>
    </xf>
    <xf numFmtId="44" fontId="13" fillId="5" borderId="28" xfId="1" applyFont="1" applyFill="1" applyBorder="1" applyAlignment="1" applyProtection="1">
      <alignment horizontal="center"/>
      <protection locked="0"/>
    </xf>
    <xf numFmtId="44" fontId="13" fillId="5" borderId="28" xfId="1" applyFont="1" applyFill="1" applyBorder="1" applyAlignment="1" applyProtection="1">
      <alignment horizontal="center"/>
      <protection hidden="1"/>
    </xf>
    <xf numFmtId="44" fontId="20" fillId="5" borderId="28" xfId="1" applyFont="1" applyFill="1" applyBorder="1" applyAlignment="1" applyProtection="1">
      <alignment horizontal="center"/>
      <protection hidden="1"/>
    </xf>
    <xf numFmtId="0" fontId="16" fillId="0" borderId="0" xfId="0" applyFont="1" applyAlignment="1" applyProtection="1">
      <alignment horizontal="right"/>
      <protection hidden="1"/>
    </xf>
    <xf numFmtId="164" fontId="16" fillId="0" borderId="0" xfId="1" applyNumberFormat="1" applyFont="1" applyBorder="1" applyAlignment="1" applyProtection="1">
      <alignment horizontal="center"/>
      <protection hidden="1"/>
    </xf>
    <xf numFmtId="167" fontId="16" fillId="0" borderId="0" xfId="1" applyNumberFormat="1" applyFont="1" applyBorder="1" applyAlignment="1" applyProtection="1">
      <alignment horizontal="center"/>
      <protection hidden="1"/>
    </xf>
    <xf numFmtId="164" fontId="16" fillId="0" borderId="0" xfId="1" applyNumberFormat="1" applyFont="1" applyBorder="1" applyAlignment="1" applyProtection="1">
      <alignment horizontal="left"/>
      <protection hidden="1"/>
    </xf>
    <xf numFmtId="14" fontId="16" fillId="0" borderId="0" xfId="0" applyNumberFormat="1" applyFont="1" applyAlignment="1" applyProtection="1">
      <alignment horizontal="center" vertical="center"/>
      <protection hidden="1"/>
    </xf>
    <xf numFmtId="14" fontId="16" fillId="0" borderId="0" xfId="0" applyNumberFormat="1" applyFont="1" applyAlignment="1" applyProtection="1">
      <alignment horizontal="left" vertical="center"/>
      <protection hidden="1"/>
    </xf>
    <xf numFmtId="164" fontId="16" fillId="0" borderId="3" xfId="1" applyNumberFormat="1" applyFont="1" applyBorder="1" applyAlignment="1" applyProtection="1">
      <alignment horizontal="center"/>
      <protection hidden="1"/>
    </xf>
    <xf numFmtId="44" fontId="16" fillId="0" borderId="5" xfId="1" applyFont="1" applyBorder="1" applyAlignment="1" applyProtection="1">
      <alignment horizontal="center"/>
      <protection hidden="1"/>
    </xf>
    <xf numFmtId="164" fontId="16" fillId="0" borderId="33" xfId="1" applyNumberFormat="1" applyFont="1" applyBorder="1" applyAlignment="1" applyProtection="1">
      <alignment horizontal="center"/>
      <protection hidden="1"/>
    </xf>
    <xf numFmtId="164" fontId="16" fillId="0" borderId="36" xfId="1" applyNumberFormat="1" applyFont="1" applyBorder="1" applyAlignment="1" applyProtection="1">
      <alignment horizontal="center"/>
      <protection hidden="1"/>
    </xf>
    <xf numFmtId="164" fontId="16" fillId="0" borderId="38" xfId="1" applyNumberFormat="1" applyFont="1" applyBorder="1" applyAlignment="1" applyProtection="1">
      <alignment horizontal="center"/>
      <protection hidden="1"/>
    </xf>
    <xf numFmtId="168" fontId="17" fillId="0" borderId="6" xfId="0" applyNumberFormat="1" applyFont="1" applyBorder="1" applyAlignment="1" applyProtection="1">
      <alignment horizontal="center"/>
      <protection hidden="1"/>
    </xf>
    <xf numFmtId="0" fontId="16" fillId="0" borderId="2" xfId="0" applyFont="1" applyBorder="1" applyAlignment="1" applyProtection="1">
      <alignment horizontal="center"/>
      <protection hidden="1"/>
    </xf>
    <xf numFmtId="164" fontId="17" fillId="0" borderId="11" xfId="1" applyNumberFormat="1" applyFont="1" applyBorder="1" applyAlignment="1" applyProtection="1">
      <alignment horizontal="left"/>
      <protection hidden="1"/>
    </xf>
    <xf numFmtId="49" fontId="18" fillId="0" borderId="0" xfId="0" applyNumberFormat="1" applyFont="1" applyAlignment="1" applyProtection="1">
      <alignment horizontal="left"/>
      <protection hidden="1"/>
    </xf>
    <xf numFmtId="49" fontId="17" fillId="0" borderId="0" xfId="0" applyNumberFormat="1" applyFont="1" applyAlignment="1" applyProtection="1">
      <alignment horizontal="left"/>
      <protection hidden="1"/>
    </xf>
    <xf numFmtId="49" fontId="17" fillId="0" borderId="0" xfId="0" applyNumberFormat="1" applyFont="1" applyProtection="1">
      <protection hidden="1"/>
    </xf>
    <xf numFmtId="49" fontId="17" fillId="0" borderId="0" xfId="0" applyNumberFormat="1" applyFont="1" applyAlignment="1" applyProtection="1">
      <alignment horizontal="center"/>
      <protection hidden="1"/>
    </xf>
    <xf numFmtId="0" fontId="16" fillId="0" borderId="47" xfId="0" applyFont="1" applyBorder="1" applyAlignment="1" applyProtection="1">
      <alignment horizontal="center"/>
      <protection hidden="1"/>
    </xf>
    <xf numFmtId="167" fontId="16" fillId="0" borderId="39" xfId="1" applyNumberFormat="1" applyFont="1" applyBorder="1" applyAlignment="1" applyProtection="1">
      <protection hidden="1"/>
    </xf>
    <xf numFmtId="49" fontId="34" fillId="0" borderId="17" xfId="0" applyNumberFormat="1" applyFont="1" applyBorder="1" applyAlignment="1">
      <alignment horizontal="center"/>
    </xf>
    <xf numFmtId="0" fontId="17" fillId="0" borderId="55" xfId="0" applyFont="1" applyBorder="1" applyAlignment="1" applyProtection="1">
      <alignment horizontal="center"/>
      <protection locked="0"/>
    </xf>
    <xf numFmtId="168" fontId="17" fillId="0" borderId="35" xfId="0" applyNumberFormat="1" applyFont="1" applyBorder="1" applyAlignment="1" applyProtection="1">
      <alignment horizontal="center" vertical="center"/>
      <protection locked="0"/>
    </xf>
    <xf numFmtId="168" fontId="17" fillId="0" borderId="4" xfId="0" applyNumberFormat="1" applyFont="1" applyBorder="1" applyAlignment="1" applyProtection="1">
      <alignment horizontal="center" vertical="center"/>
      <protection locked="0"/>
    </xf>
    <xf numFmtId="0" fontId="17" fillId="0" borderId="32" xfId="0" applyFont="1" applyBorder="1" applyAlignment="1" applyProtection="1">
      <alignment horizontal="center"/>
      <protection locked="0"/>
    </xf>
    <xf numFmtId="167" fontId="15" fillId="0" borderId="6" xfId="1" applyNumberFormat="1" applyFont="1" applyFill="1" applyBorder="1" applyProtection="1">
      <protection hidden="1"/>
    </xf>
    <xf numFmtId="0" fontId="24" fillId="0" borderId="37" xfId="0" applyFont="1" applyBorder="1" applyAlignment="1" applyProtection="1">
      <alignment horizontal="center"/>
      <protection hidden="1"/>
    </xf>
    <xf numFmtId="0" fontId="24" fillId="2" borderId="7" xfId="0" applyFont="1" applyFill="1" applyBorder="1" applyAlignment="1">
      <alignment horizontal="center"/>
    </xf>
    <xf numFmtId="0" fontId="21" fillId="0" borderId="0" xfId="0" applyFont="1" applyAlignment="1" applyProtection="1">
      <alignment horizontal="right"/>
      <protection hidden="1"/>
    </xf>
    <xf numFmtId="167" fontId="15" fillId="0" borderId="26" xfId="1" applyNumberFormat="1" applyFont="1" applyBorder="1" applyProtection="1">
      <protection locked="0" hidden="1"/>
    </xf>
    <xf numFmtId="0" fontId="15" fillId="0" borderId="14" xfId="0" applyFont="1" applyBorder="1" applyAlignment="1" applyProtection="1">
      <alignment horizontal="left"/>
      <protection hidden="1"/>
    </xf>
    <xf numFmtId="49" fontId="21" fillId="0" borderId="14" xfId="0" applyNumberFormat="1" applyFont="1" applyBorder="1" applyAlignment="1" applyProtection="1">
      <alignment horizontal="left"/>
      <protection hidden="1"/>
    </xf>
    <xf numFmtId="0" fontId="17" fillId="0" borderId="14" xfId="0" applyFont="1" applyBorder="1" applyAlignment="1" applyProtection="1">
      <alignment horizontal="left"/>
      <protection hidden="1"/>
    </xf>
    <xf numFmtId="0" fontId="17" fillId="0" borderId="16" xfId="0" applyFont="1" applyBorder="1" applyAlignment="1" applyProtection="1">
      <alignment horizontal="left"/>
      <protection locked="0" hidden="1"/>
    </xf>
    <xf numFmtId="0" fontId="17" fillId="0" borderId="17" xfId="0" applyFont="1" applyBorder="1" applyAlignment="1" applyProtection="1">
      <alignment horizontal="left"/>
      <protection locked="0" hidden="1"/>
    </xf>
    <xf numFmtId="0" fontId="17" fillId="0" borderId="18" xfId="0" applyFont="1" applyBorder="1" applyAlignment="1" applyProtection="1">
      <alignment horizontal="left"/>
      <protection locked="0" hidden="1"/>
    </xf>
    <xf numFmtId="0" fontId="15" fillId="0" borderId="16" xfId="0" applyFont="1" applyBorder="1" applyProtection="1">
      <protection locked="0"/>
    </xf>
    <xf numFmtId="0" fontId="15" fillId="0" borderId="17" xfId="0" applyFont="1" applyBorder="1" applyProtection="1">
      <protection locked="0"/>
    </xf>
    <xf numFmtId="0" fontId="15" fillId="0" borderId="18" xfId="0" applyFont="1" applyBorder="1" applyProtection="1">
      <protection locked="0"/>
    </xf>
    <xf numFmtId="0" fontId="16" fillId="0" borderId="21" xfId="0" applyFont="1" applyBorder="1" applyProtection="1">
      <protection hidden="1"/>
    </xf>
    <xf numFmtId="0" fontId="15" fillId="0" borderId="21" xfId="0" applyFont="1" applyBorder="1" applyProtection="1">
      <protection hidden="1"/>
    </xf>
    <xf numFmtId="0" fontId="15" fillId="0" borderId="21" xfId="0" applyFont="1" applyBorder="1" applyAlignment="1" applyProtection="1">
      <alignment horizontal="left"/>
      <protection hidden="1"/>
    </xf>
    <xf numFmtId="0" fontId="38" fillId="0" borderId="21" xfId="0" applyFont="1" applyBorder="1" applyAlignment="1" applyProtection="1">
      <alignment horizontal="center"/>
      <protection locked="0" hidden="1"/>
    </xf>
    <xf numFmtId="0" fontId="39" fillId="0" borderId="21" xfId="0" applyFont="1" applyBorder="1" applyAlignment="1" applyProtection="1">
      <alignment horizontal="center"/>
      <protection locked="0" hidden="1"/>
    </xf>
    <xf numFmtId="49" fontId="21" fillId="0" borderId="16" xfId="0" applyNumberFormat="1" applyFont="1" applyBorder="1" applyAlignment="1" applyProtection="1">
      <alignment horizontal="left"/>
      <protection hidden="1"/>
    </xf>
    <xf numFmtId="49" fontId="21" fillId="0" borderId="17" xfId="0" applyNumberFormat="1" applyFont="1" applyBorder="1" applyAlignment="1" applyProtection="1">
      <alignment horizontal="left"/>
      <protection hidden="1"/>
    </xf>
    <xf numFmtId="49" fontId="21" fillId="0" borderId="18" xfId="0" applyNumberFormat="1" applyFont="1" applyBorder="1" applyAlignment="1" applyProtection="1">
      <alignment horizontal="left"/>
      <protection hidden="1"/>
    </xf>
    <xf numFmtId="167" fontId="15" fillId="0" borderId="26" xfId="1" applyNumberFormat="1" applyFont="1" applyFill="1" applyBorder="1" applyProtection="1">
      <protection locked="0" hidden="1"/>
    </xf>
    <xf numFmtId="167" fontId="15" fillId="0" borderId="21" xfId="1" applyNumberFormat="1" applyFont="1" applyBorder="1" applyProtection="1">
      <protection locked="0" hidden="1"/>
    </xf>
    <xf numFmtId="44" fontId="13" fillId="5" borderId="28" xfId="1" applyFont="1" applyFill="1" applyBorder="1" applyAlignment="1" applyProtection="1">
      <alignment horizontal="center"/>
      <protection locked="0" hidden="1"/>
    </xf>
    <xf numFmtId="0" fontId="40" fillId="0" borderId="0" xfId="0" applyFont="1" applyProtection="1">
      <protection hidden="1"/>
    </xf>
    <xf numFmtId="0" fontId="41" fillId="0" borderId="0" xfId="0" applyFont="1" applyProtection="1">
      <protection hidden="1"/>
    </xf>
    <xf numFmtId="164" fontId="13" fillId="5" borderId="28" xfId="0" applyNumberFormat="1" applyFont="1" applyFill="1" applyBorder="1" applyAlignment="1" applyProtection="1">
      <alignment horizontal="center"/>
      <protection locked="0"/>
    </xf>
    <xf numFmtId="0" fontId="14" fillId="4" borderId="7" xfId="0" applyFont="1" applyFill="1" applyBorder="1" applyAlignment="1" applyProtection="1">
      <alignment horizontal="center"/>
      <protection locked="0"/>
    </xf>
    <xf numFmtId="168" fontId="14" fillId="4" borderId="7" xfId="0" applyNumberFormat="1" applyFont="1" applyFill="1" applyBorder="1" applyAlignment="1" applyProtection="1">
      <alignment horizontal="center"/>
      <protection locked="0"/>
    </xf>
    <xf numFmtId="167" fontId="15" fillId="0" borderId="26" xfId="1" applyNumberFormat="1" applyFont="1" applyFill="1" applyBorder="1" applyProtection="1">
      <protection hidden="1"/>
    </xf>
    <xf numFmtId="167" fontId="15" fillId="0" borderId="44" xfId="1" applyNumberFormat="1" applyFont="1" applyFill="1" applyBorder="1" applyProtection="1">
      <protection hidden="1"/>
    </xf>
    <xf numFmtId="0" fontId="17" fillId="0" borderId="16" xfId="0" applyFont="1" applyBorder="1" applyAlignment="1" applyProtection="1">
      <alignment horizontal="center"/>
      <protection hidden="1"/>
    </xf>
    <xf numFmtId="167" fontId="15" fillId="0" borderId="60" xfId="1" applyNumberFormat="1" applyFont="1" applyFill="1" applyBorder="1" applyProtection="1">
      <protection locked="0"/>
    </xf>
    <xf numFmtId="167" fontId="15" fillId="0" borderId="61" xfId="1" applyNumberFormat="1" applyFont="1" applyFill="1" applyBorder="1" applyProtection="1">
      <protection hidden="1"/>
    </xf>
    <xf numFmtId="167" fontId="15" fillId="0" borderId="47" xfId="1" applyNumberFormat="1" applyFont="1" applyFill="1" applyBorder="1" applyProtection="1">
      <protection hidden="1"/>
    </xf>
    <xf numFmtId="167" fontId="15" fillId="0" borderId="2" xfId="1" applyNumberFormat="1" applyFont="1" applyFill="1" applyBorder="1" applyProtection="1">
      <protection hidden="1"/>
    </xf>
    <xf numFmtId="167" fontId="15" fillId="0" borderId="32" xfId="1" applyNumberFormat="1" applyFont="1" applyFill="1" applyBorder="1" applyProtection="1">
      <protection hidden="1"/>
    </xf>
    <xf numFmtId="9" fontId="44" fillId="0" borderId="0" xfId="2" applyFont="1" applyBorder="1" applyAlignment="1" applyProtection="1">
      <alignment horizontal="left"/>
      <protection hidden="1"/>
    </xf>
    <xf numFmtId="0" fontId="44" fillId="0" borderId="0" xfId="0" applyFont="1" applyProtection="1">
      <protection hidden="1"/>
    </xf>
    <xf numFmtId="44" fontId="43" fillId="0" borderId="0" xfId="1" applyFont="1" applyBorder="1" applyProtection="1">
      <protection hidden="1"/>
    </xf>
    <xf numFmtId="0" fontId="17" fillId="3" borderId="16" xfId="0" applyFont="1" applyFill="1" applyBorder="1" applyProtection="1">
      <protection hidden="1"/>
    </xf>
    <xf numFmtId="0" fontId="17" fillId="3" borderId="17" xfId="0" applyFont="1" applyFill="1" applyBorder="1" applyProtection="1">
      <protection hidden="1"/>
    </xf>
    <xf numFmtId="0" fontId="17" fillId="3" borderId="18" xfId="0" applyFont="1" applyFill="1" applyBorder="1" applyProtection="1">
      <protection hidden="1"/>
    </xf>
    <xf numFmtId="0" fontId="17" fillId="0" borderId="26" xfId="0" applyFont="1" applyBorder="1" applyAlignment="1" applyProtection="1">
      <alignment horizontal="center"/>
      <protection locked="0"/>
    </xf>
    <xf numFmtId="164" fontId="17" fillId="0" borderId="3" xfId="1" applyNumberFormat="1" applyFont="1" applyBorder="1" applyAlignment="1" applyProtection="1">
      <alignment horizontal="center"/>
      <protection hidden="1"/>
    </xf>
    <xf numFmtId="0" fontId="17" fillId="0" borderId="5" xfId="0" applyFont="1" applyBorder="1" applyAlignment="1" applyProtection="1">
      <alignment horizontal="center"/>
      <protection hidden="1"/>
    </xf>
    <xf numFmtId="14" fontId="16" fillId="0" borderId="12" xfId="0" applyNumberFormat="1" applyFont="1" applyBorder="1" applyAlignment="1" applyProtection="1">
      <alignment horizontal="center" vertical="center"/>
      <protection hidden="1"/>
    </xf>
    <xf numFmtId="0" fontId="17" fillId="0" borderId="11" xfId="0" applyFont="1" applyBorder="1" applyProtection="1">
      <protection hidden="1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25" fillId="3" borderId="1" xfId="0" applyFont="1" applyFill="1" applyBorder="1"/>
    <xf numFmtId="0" fontId="25" fillId="3" borderId="47" xfId="0" applyFont="1" applyFill="1" applyBorder="1"/>
    <xf numFmtId="0" fontId="25" fillId="3" borderId="2" xfId="0" applyFont="1" applyFill="1" applyBorder="1"/>
    <xf numFmtId="0" fontId="25" fillId="3" borderId="21" xfId="0" applyFont="1" applyFill="1" applyBorder="1"/>
    <xf numFmtId="0" fontId="25" fillId="3" borderId="4" xfId="0" applyFont="1" applyFill="1" applyBorder="1"/>
    <xf numFmtId="0" fontId="25" fillId="3" borderId="3" xfId="0" applyFont="1" applyFill="1" applyBorder="1"/>
    <xf numFmtId="44" fontId="42" fillId="0" borderId="21" xfId="1" applyFont="1" applyBorder="1" applyProtection="1"/>
    <xf numFmtId="44" fontId="0" fillId="0" borderId="4" xfId="1" applyFont="1" applyBorder="1" applyProtection="1"/>
    <xf numFmtId="9" fontId="0" fillId="0" borderId="21" xfId="2" applyFont="1" applyBorder="1" applyAlignment="1" applyProtection="1">
      <alignment horizontal="center"/>
    </xf>
    <xf numFmtId="9" fontId="0" fillId="0" borderId="4" xfId="2" applyFont="1" applyBorder="1" applyAlignment="1" applyProtection="1">
      <alignment horizontal="center"/>
    </xf>
    <xf numFmtId="0" fontId="0" fillId="0" borderId="0" xfId="0" applyAlignment="1">
      <alignment horizontal="center"/>
    </xf>
    <xf numFmtId="44" fontId="0" fillId="0" borderId="21" xfId="1" applyFont="1" applyBorder="1" applyProtection="1"/>
    <xf numFmtId="0" fontId="25" fillId="3" borderId="5" xfId="0" applyFont="1" applyFill="1" applyBorder="1"/>
    <xf numFmtId="44" fontId="0" fillId="0" borderId="32" xfId="1" applyFont="1" applyBorder="1" applyProtection="1"/>
    <xf numFmtId="44" fontId="0" fillId="0" borderId="6" xfId="1" applyFont="1" applyBorder="1" applyProtection="1"/>
    <xf numFmtId="0" fontId="0" fillId="0" borderId="11" xfId="0" applyBorder="1"/>
    <xf numFmtId="44" fontId="0" fillId="0" borderId="0" xfId="0" applyNumberFormat="1"/>
    <xf numFmtId="9" fontId="0" fillId="0" borderId="0" xfId="0" applyNumberFormat="1" applyAlignment="1">
      <alignment horizontal="center"/>
    </xf>
    <xf numFmtId="9" fontId="0" fillId="0" borderId="12" xfId="0" applyNumberFormat="1" applyBorder="1" applyAlignment="1">
      <alignment horizontal="center"/>
    </xf>
    <xf numFmtId="0" fontId="25" fillId="3" borderId="11" xfId="0" applyFont="1" applyFill="1" applyBorder="1"/>
    <xf numFmtId="0" fontId="0" fillId="3" borderId="0" xfId="0" applyFill="1"/>
    <xf numFmtId="0" fontId="0" fillId="0" borderId="12" xfId="0" applyBorder="1"/>
    <xf numFmtId="44" fontId="0" fillId="0" borderId="2" xfId="1" applyFont="1" applyBorder="1" applyProtection="1"/>
    <xf numFmtId="44" fontId="0" fillId="0" borderId="4" xfId="1" applyFont="1" applyFill="1" applyBorder="1" applyProtection="1"/>
    <xf numFmtId="166" fontId="25" fillId="3" borderId="21" xfId="2" applyNumberFormat="1" applyFont="1" applyFill="1" applyBorder="1" applyAlignment="1" applyProtection="1">
      <alignment horizontal="center"/>
    </xf>
    <xf numFmtId="166" fontId="25" fillId="3" borderId="4" xfId="0" applyNumberFormat="1" applyFont="1" applyFill="1" applyBorder="1" applyAlignment="1">
      <alignment horizontal="center"/>
    </xf>
    <xf numFmtId="44" fontId="0" fillId="0" borderId="6" xfId="1" applyFont="1" applyFill="1" applyBorder="1" applyProtection="1"/>
    <xf numFmtId="0" fontId="25" fillId="0" borderId="11" xfId="0" applyFont="1" applyBorder="1"/>
    <xf numFmtId="44" fontId="0" fillId="0" borderId="0" xfId="1" applyFont="1" applyFill="1" applyBorder="1" applyProtection="1"/>
    <xf numFmtId="0" fontId="0" fillId="0" borderId="0" xfId="0" applyAlignment="1">
      <alignment horizontal="right"/>
    </xf>
    <xf numFmtId="44" fontId="0" fillId="0" borderId="0" xfId="1" applyFont="1" applyBorder="1" applyProtection="1"/>
    <xf numFmtId="44" fontId="0" fillId="0" borderId="21" xfId="1" applyFont="1" applyBorder="1" applyAlignment="1" applyProtection="1">
      <alignment horizontal="center"/>
    </xf>
    <xf numFmtId="44" fontId="0" fillId="0" borderId="4" xfId="1" applyFont="1" applyBorder="1" applyAlignment="1" applyProtection="1">
      <alignment horizontal="center"/>
    </xf>
    <xf numFmtId="0" fontId="25" fillId="3" borderId="26" xfId="0" applyFont="1" applyFill="1" applyBorder="1"/>
    <xf numFmtId="44" fontId="0" fillId="0" borderId="26" xfId="1" applyFont="1" applyBorder="1" applyAlignment="1" applyProtection="1">
      <alignment horizontal="center"/>
    </xf>
    <xf numFmtId="44" fontId="42" fillId="0" borderId="27" xfId="1" applyFont="1" applyBorder="1" applyProtection="1"/>
    <xf numFmtId="44" fontId="42" fillId="0" borderId="28" xfId="1" applyFont="1" applyBorder="1" applyAlignment="1" applyProtection="1">
      <alignment horizontal="center"/>
    </xf>
    <xf numFmtId="0" fontId="45" fillId="0" borderId="64" xfId="0" applyFont="1" applyBorder="1"/>
    <xf numFmtId="44" fontId="45" fillId="0" borderId="64" xfId="1" applyFont="1" applyFill="1" applyBorder="1" applyProtection="1"/>
    <xf numFmtId="0" fontId="25" fillId="0" borderId="12" xfId="0" applyFont="1" applyBorder="1"/>
    <xf numFmtId="0" fontId="25" fillId="2" borderId="33" xfId="0" applyFont="1" applyFill="1" applyBorder="1"/>
    <xf numFmtId="0" fontId="0" fillId="0" borderId="62" xfId="0" applyBorder="1"/>
    <xf numFmtId="44" fontId="0" fillId="0" borderId="62" xfId="1" applyFont="1" applyFill="1" applyBorder="1" applyProtection="1"/>
    <xf numFmtId="0" fontId="25" fillId="2" borderId="3" xfId="0" applyFont="1" applyFill="1" applyBorder="1"/>
    <xf numFmtId="0" fontId="0" fillId="0" borderId="14" xfId="0" applyBorder="1"/>
    <xf numFmtId="0" fontId="0" fillId="0" borderId="63" xfId="0" applyBorder="1"/>
    <xf numFmtId="0" fontId="0" fillId="0" borderId="65" xfId="0" applyBorder="1"/>
    <xf numFmtId="44" fontId="0" fillId="0" borderId="65" xfId="1" applyFont="1" applyFill="1" applyBorder="1" applyProtection="1"/>
    <xf numFmtId="9" fontId="0" fillId="0" borderId="15" xfId="2" applyFont="1" applyFill="1" applyBorder="1" applyAlignment="1" applyProtection="1">
      <alignment horizontal="center"/>
    </xf>
    <xf numFmtId="0" fontId="25" fillId="0" borderId="0" xfId="0" applyFont="1"/>
    <xf numFmtId="9" fontId="0" fillId="0" borderId="0" xfId="2" applyFont="1" applyFill="1" applyBorder="1" applyAlignment="1" applyProtection="1">
      <alignment horizontal="center"/>
    </xf>
    <xf numFmtId="166" fontId="25" fillId="0" borderId="0" xfId="2" applyNumberFormat="1" applyFont="1" applyFill="1" applyBorder="1" applyAlignment="1" applyProtection="1">
      <alignment horizontal="center"/>
    </xf>
    <xf numFmtId="49" fontId="46" fillId="0" borderId="0" xfId="0" applyNumberFormat="1" applyFont="1" applyAlignment="1" applyProtection="1">
      <alignment horizontal="left"/>
      <protection hidden="1"/>
    </xf>
    <xf numFmtId="0" fontId="46" fillId="0" borderId="0" xfId="0" applyFont="1" applyProtection="1">
      <protection hidden="1"/>
    </xf>
    <xf numFmtId="0" fontId="16" fillId="4" borderId="1" xfId="0" applyFont="1" applyFill="1" applyBorder="1" applyAlignment="1" applyProtection="1">
      <alignment horizontal="center"/>
      <protection hidden="1"/>
    </xf>
    <xf numFmtId="167" fontId="16" fillId="4" borderId="47" xfId="1" applyNumberFormat="1" applyFont="1" applyFill="1" applyBorder="1" applyAlignment="1" applyProtection="1">
      <alignment horizontal="center"/>
      <protection hidden="1"/>
    </xf>
    <xf numFmtId="14" fontId="16" fillId="4" borderId="2" xfId="0" applyNumberFormat="1" applyFont="1" applyFill="1" applyBorder="1" applyAlignment="1" applyProtection="1">
      <alignment horizontal="center" vertical="center"/>
      <protection hidden="1"/>
    </xf>
    <xf numFmtId="44" fontId="15" fillId="0" borderId="4" xfId="1" applyFont="1" applyBorder="1" applyProtection="1">
      <protection hidden="1"/>
    </xf>
    <xf numFmtId="44" fontId="15" fillId="0" borderId="6" xfId="1" applyFont="1" applyBorder="1" applyProtection="1">
      <protection hidden="1"/>
    </xf>
    <xf numFmtId="166" fontId="17" fillId="0" borderId="21" xfId="2" applyNumberFormat="1" applyFont="1" applyBorder="1" applyAlignment="1" applyProtection="1">
      <alignment horizontal="center"/>
      <protection locked="0" hidden="1"/>
    </xf>
    <xf numFmtId="166" fontId="17" fillId="0" borderId="21" xfId="2" applyNumberFormat="1" applyFont="1" applyBorder="1" applyAlignment="1" applyProtection="1">
      <alignment horizontal="center"/>
      <protection hidden="1"/>
    </xf>
    <xf numFmtId="166" fontId="15" fillId="0" borderId="32" xfId="2" applyNumberFormat="1" applyFont="1" applyBorder="1" applyAlignment="1" applyProtection="1">
      <alignment horizontal="center"/>
      <protection locked="0" hidden="1"/>
    </xf>
    <xf numFmtId="44" fontId="19" fillId="0" borderId="7" xfId="1" applyFont="1" applyBorder="1" applyAlignment="1" applyProtection="1">
      <protection hidden="1"/>
    </xf>
    <xf numFmtId="0" fontId="48" fillId="0" borderId="0" xfId="0" applyFont="1" applyProtection="1">
      <protection hidden="1"/>
    </xf>
    <xf numFmtId="0" fontId="33" fillId="0" borderId="0" xfId="0" applyFont="1" applyAlignment="1">
      <alignment vertical="top"/>
    </xf>
    <xf numFmtId="0" fontId="31" fillId="0" borderId="0" xfId="0" applyFont="1"/>
    <xf numFmtId="0" fontId="49" fillId="0" borderId="0" xfId="0" applyFont="1"/>
    <xf numFmtId="0" fontId="50" fillId="0" borderId="0" xfId="0" applyFont="1"/>
    <xf numFmtId="0" fontId="30" fillId="0" borderId="0" xfId="0" applyFont="1"/>
    <xf numFmtId="0" fontId="20" fillId="0" borderId="0" xfId="0" applyFont="1"/>
    <xf numFmtId="0" fontId="32" fillId="0" borderId="0" xfId="0" applyFont="1" applyAlignment="1">
      <alignment horizontal="center"/>
    </xf>
    <xf numFmtId="2" fontId="31" fillId="0" borderId="21" xfId="0" applyNumberFormat="1" applyFont="1" applyBorder="1" applyAlignment="1">
      <alignment horizontal="center"/>
    </xf>
    <xf numFmtId="9" fontId="31" fillId="0" borderId="21" xfId="2" applyFont="1" applyBorder="1" applyAlignment="1" applyProtection="1">
      <alignment horizontal="center"/>
    </xf>
    <xf numFmtId="44" fontId="31" fillId="0" borderId="21" xfId="1" applyFont="1" applyBorder="1" applyAlignment="1" applyProtection="1">
      <alignment horizontal="center"/>
    </xf>
    <xf numFmtId="168" fontId="31" fillId="0" borderId="21" xfId="0" applyNumberFormat="1" applyFont="1" applyBorder="1" applyAlignment="1">
      <alignment horizontal="center"/>
    </xf>
    <xf numFmtId="168" fontId="11" fillId="4" borderId="21" xfId="0" applyNumberFormat="1" applyFont="1" applyFill="1" applyBorder="1" applyAlignment="1" applyProtection="1">
      <alignment horizontal="center"/>
      <protection locked="0"/>
    </xf>
    <xf numFmtId="0" fontId="31" fillId="4" borderId="21" xfId="0" applyFont="1" applyFill="1" applyBorder="1" applyAlignment="1" applyProtection="1">
      <alignment horizontal="center"/>
      <protection locked="0"/>
    </xf>
    <xf numFmtId="0" fontId="32" fillId="0" borderId="0" xfId="0" applyFont="1" applyAlignment="1">
      <alignment horizontal="right"/>
    </xf>
    <xf numFmtId="168" fontId="32" fillId="0" borderId="0" xfId="0" applyNumberFormat="1" applyFont="1" applyAlignment="1">
      <alignment horizontal="center"/>
    </xf>
    <xf numFmtId="2" fontId="32" fillId="0" borderId="0" xfId="0" applyNumberFormat="1" applyFont="1" applyAlignment="1">
      <alignment horizontal="center"/>
    </xf>
    <xf numFmtId="44" fontId="32" fillId="0" borderId="0" xfId="1" applyFont="1" applyAlignment="1" applyProtection="1">
      <alignment horizontal="center"/>
    </xf>
    <xf numFmtId="44" fontId="32" fillId="0" borderId="7" xfId="0" applyNumberFormat="1" applyFont="1" applyBorder="1"/>
    <xf numFmtId="0" fontId="11" fillId="0" borderId="0" xfId="0" applyFont="1"/>
    <xf numFmtId="44" fontId="32" fillId="0" borderId="7" xfId="1" applyFont="1" applyBorder="1" applyProtection="1"/>
    <xf numFmtId="0" fontId="30" fillId="0" borderId="0" xfId="0" applyFont="1" applyAlignment="1">
      <alignment horizontal="right"/>
    </xf>
    <xf numFmtId="44" fontId="30" fillId="0" borderId="7" xfId="1" applyFont="1" applyBorder="1" applyProtection="1"/>
    <xf numFmtId="0" fontId="51" fillId="0" borderId="0" xfId="0" applyFont="1" applyAlignment="1">
      <alignment horizontal="right"/>
    </xf>
    <xf numFmtId="0" fontId="13" fillId="0" borderId="0" xfId="0" applyFont="1" applyAlignment="1">
      <alignment horizontal="right"/>
    </xf>
    <xf numFmtId="0" fontId="49" fillId="0" borderId="0" xfId="0" applyFont="1" applyAlignment="1">
      <alignment horizontal="left"/>
    </xf>
    <xf numFmtId="0" fontId="13" fillId="2" borderId="7" xfId="0" applyFont="1" applyFill="1" applyBorder="1" applyProtection="1">
      <protection hidden="1"/>
    </xf>
    <xf numFmtId="0" fontId="20" fillId="0" borderId="0" xfId="0" applyFont="1" applyProtection="1">
      <protection hidden="1"/>
    </xf>
    <xf numFmtId="0" fontId="43" fillId="0" borderId="0" xfId="0" applyFont="1" applyAlignment="1" applyProtection="1">
      <alignment horizontal="left"/>
      <protection hidden="1"/>
    </xf>
    <xf numFmtId="0" fontId="13" fillId="0" borderId="0" xfId="0" applyFont="1" applyAlignment="1" applyProtection="1">
      <alignment horizontal="center"/>
      <protection hidden="1"/>
    </xf>
    <xf numFmtId="171" fontId="13" fillId="0" borderId="0" xfId="0" applyNumberFormat="1" applyFont="1" applyProtection="1">
      <protection hidden="1"/>
    </xf>
    <xf numFmtId="1" fontId="13" fillId="0" borderId="0" xfId="0" applyNumberFormat="1" applyFont="1" applyAlignment="1" applyProtection="1">
      <alignment horizontal="center"/>
      <protection hidden="1"/>
    </xf>
    <xf numFmtId="44" fontId="13" fillId="2" borderId="35" xfId="1" applyFont="1" applyFill="1" applyBorder="1" applyProtection="1">
      <protection hidden="1"/>
    </xf>
    <xf numFmtId="168" fontId="27" fillId="0" borderId="10" xfId="2" applyNumberFormat="1" applyFont="1" applyBorder="1" applyAlignment="1" applyProtection="1">
      <alignment horizontal="center"/>
      <protection hidden="1"/>
    </xf>
    <xf numFmtId="168" fontId="13" fillId="0" borderId="6" xfId="2" applyNumberFormat="1" applyFont="1" applyBorder="1" applyAlignment="1" applyProtection="1">
      <alignment horizontal="center"/>
      <protection hidden="1"/>
    </xf>
    <xf numFmtId="168" fontId="44" fillId="0" borderId="0" xfId="0" applyNumberFormat="1" applyFont="1" applyProtection="1">
      <protection hidden="1"/>
    </xf>
    <xf numFmtId="0" fontId="46" fillId="0" borderId="0" xfId="0" applyFont="1" applyAlignment="1" applyProtection="1">
      <alignment horizontal="left"/>
      <protection hidden="1"/>
    </xf>
    <xf numFmtId="9" fontId="15" fillId="0" borderId="21" xfId="2" applyFont="1" applyBorder="1" applyAlignment="1" applyProtection="1">
      <alignment horizontal="left"/>
      <protection locked="0" hidden="1"/>
    </xf>
    <xf numFmtId="174" fontId="0" fillId="0" borderId="0" xfId="0" applyNumberFormat="1"/>
    <xf numFmtId="14" fontId="15" fillId="0" borderId="0" xfId="0" applyNumberFormat="1" applyFont="1" applyProtection="1">
      <protection hidden="1"/>
    </xf>
    <xf numFmtId="2" fontId="17" fillId="0" borderId="0" xfId="0" applyNumberFormat="1" applyFont="1" applyAlignment="1" applyProtection="1">
      <alignment horizontal="left"/>
      <protection hidden="1"/>
    </xf>
    <xf numFmtId="2" fontId="15" fillId="0" borderId="0" xfId="0" applyNumberFormat="1" applyFont="1" applyProtection="1">
      <protection hidden="1"/>
    </xf>
    <xf numFmtId="14" fontId="17" fillId="0" borderId="0" xfId="0" applyNumberFormat="1" applyFont="1" applyProtection="1">
      <protection hidden="1"/>
    </xf>
    <xf numFmtId="2" fontId="17" fillId="0" borderId="0" xfId="0" applyNumberFormat="1" applyFont="1" applyProtection="1">
      <protection hidden="1"/>
    </xf>
    <xf numFmtId="14" fontId="15" fillId="0" borderId="0" xfId="0" applyNumberFormat="1" applyFont="1" applyAlignment="1" applyProtection="1">
      <alignment horizontal="right"/>
      <protection hidden="1"/>
    </xf>
    <xf numFmtId="14" fontId="17" fillId="0" borderId="0" xfId="0" applyNumberFormat="1" applyFont="1" applyAlignment="1" applyProtection="1">
      <alignment horizontal="right"/>
      <protection hidden="1"/>
    </xf>
    <xf numFmtId="44" fontId="25" fillId="0" borderId="0" xfId="0" applyNumberFormat="1" applyFont="1"/>
    <xf numFmtId="0" fontId="13" fillId="2" borderId="7" xfId="0" applyFont="1" applyFill="1" applyBorder="1" applyAlignment="1" applyProtection="1">
      <alignment horizontal="center"/>
      <protection hidden="1"/>
    </xf>
    <xf numFmtId="14" fontId="13" fillId="5" borderId="28" xfId="0" applyNumberFormat="1" applyFont="1" applyFill="1" applyBorder="1" applyAlignment="1" applyProtection="1">
      <alignment horizontal="center"/>
      <protection locked="0"/>
    </xf>
    <xf numFmtId="14" fontId="44" fillId="0" borderId="11" xfId="0" applyNumberFormat="1" applyFont="1" applyBorder="1" applyProtection="1">
      <protection hidden="1"/>
    </xf>
    <xf numFmtId="14" fontId="44" fillId="0" borderId="0" xfId="0" applyNumberFormat="1" applyFont="1" applyProtection="1">
      <protection hidden="1"/>
    </xf>
    <xf numFmtId="14" fontId="24" fillId="2" borderId="31" xfId="0" applyNumberFormat="1" applyFont="1" applyFill="1" applyBorder="1" applyAlignment="1" applyProtection="1">
      <alignment horizontal="center"/>
      <protection locked="0"/>
    </xf>
    <xf numFmtId="14" fontId="15" fillId="0" borderId="0" xfId="0" applyNumberFormat="1" applyFont="1" applyAlignment="1">
      <alignment horizontal="left"/>
    </xf>
    <xf numFmtId="0" fontId="11" fillId="0" borderId="0" xfId="0" applyFont="1" applyAlignment="1">
      <alignment horizontal="right"/>
    </xf>
    <xf numFmtId="14" fontId="13" fillId="4" borderId="7" xfId="0" applyNumberFormat="1" applyFont="1" applyFill="1" applyBorder="1" applyAlignment="1" applyProtection="1">
      <alignment horizontal="center"/>
      <protection locked="0"/>
    </xf>
    <xf numFmtId="0" fontId="49" fillId="0" borderId="0" xfId="0" applyFont="1" applyAlignment="1">
      <alignment horizontal="right"/>
    </xf>
    <xf numFmtId="14" fontId="49" fillId="0" borderId="0" xfId="0" applyNumberFormat="1" applyFont="1"/>
    <xf numFmtId="14" fontId="35" fillId="0" borderId="0" xfId="0" applyNumberFormat="1" applyFont="1" applyAlignment="1" applyProtection="1">
      <alignment horizontal="left"/>
      <protection hidden="1"/>
    </xf>
    <xf numFmtId="14" fontId="35" fillId="0" borderId="0" xfId="0" applyNumberFormat="1" applyFont="1" applyAlignment="1" applyProtection="1">
      <alignment horizontal="center"/>
      <protection hidden="1"/>
    </xf>
    <xf numFmtId="10" fontId="21" fillId="0" borderId="0" xfId="2" applyNumberFormat="1" applyFont="1" applyBorder="1" applyAlignment="1" applyProtection="1">
      <alignment horizontal="left"/>
      <protection hidden="1"/>
    </xf>
    <xf numFmtId="44" fontId="21" fillId="0" borderId="0" xfId="0" applyNumberFormat="1" applyFont="1" applyProtection="1">
      <protection hidden="1"/>
    </xf>
    <xf numFmtId="10" fontId="35" fillId="0" borderId="0" xfId="2" applyNumberFormat="1" applyFont="1" applyBorder="1" applyProtection="1">
      <protection hidden="1"/>
    </xf>
    <xf numFmtId="1" fontId="0" fillId="0" borderId="3" xfId="0" applyNumberFormat="1" applyBorder="1" applyAlignment="1" applyProtection="1">
      <alignment horizontal="center"/>
      <protection locked="0"/>
    </xf>
    <xf numFmtId="0" fontId="54" fillId="0" borderId="0" xfId="0" applyFont="1"/>
    <xf numFmtId="0" fontId="17" fillId="0" borderId="17" xfId="0" applyFont="1" applyBorder="1" applyAlignment="1">
      <alignment horizontal="left"/>
    </xf>
    <xf numFmtId="14" fontId="15" fillId="0" borderId="18" xfId="0" applyNumberFormat="1" applyFont="1" applyBorder="1" applyAlignment="1">
      <alignment horizontal="center"/>
    </xf>
    <xf numFmtId="0" fontId="15" fillId="0" borderId="21" xfId="0" applyFont="1" applyBorder="1" applyAlignment="1">
      <alignment horizontal="center"/>
    </xf>
    <xf numFmtId="166" fontId="15" fillId="0" borderId="0" xfId="2" applyNumberFormat="1" applyFont="1" applyBorder="1" applyAlignment="1" applyProtection="1">
      <alignment horizontal="center"/>
    </xf>
    <xf numFmtId="49" fontId="15" fillId="0" borderId="17" xfId="0" applyNumberFormat="1" applyFont="1" applyBorder="1" applyAlignment="1">
      <alignment horizontal="left"/>
    </xf>
    <xf numFmtId="49" fontId="15" fillId="0" borderId="18" xfId="0" applyNumberFormat="1" applyFont="1" applyBorder="1" applyAlignment="1">
      <alignment horizontal="left"/>
    </xf>
    <xf numFmtId="0" fontId="34" fillId="0" borderId="17" xfId="0" applyFont="1" applyBorder="1"/>
    <xf numFmtId="0" fontId="17" fillId="0" borderId="21" xfId="0" applyFont="1" applyBorder="1" applyAlignment="1">
      <alignment horizontal="center"/>
    </xf>
    <xf numFmtId="167" fontId="15" fillId="0" borderId="26" xfId="1" applyNumberFormat="1" applyFont="1" applyBorder="1" applyProtection="1"/>
    <xf numFmtId="14" fontId="48" fillId="0" borderId="0" xfId="0" applyNumberFormat="1" applyFont="1" applyProtection="1">
      <protection hidden="1"/>
    </xf>
    <xf numFmtId="2" fontId="48" fillId="0" borderId="0" xfId="0" applyNumberFormat="1" applyFont="1" applyProtection="1">
      <protection hidden="1"/>
    </xf>
    <xf numFmtId="175" fontId="0" fillId="0" borderId="0" xfId="1" applyNumberFormat="1" applyFont="1"/>
    <xf numFmtId="44" fontId="54" fillId="0" borderId="0" xfId="1" applyFont="1"/>
    <xf numFmtId="14" fontId="54" fillId="0" borderId="0" xfId="0" applyNumberFormat="1" applyFont="1"/>
    <xf numFmtId="0" fontId="17" fillId="0" borderId="0" xfId="0" applyFont="1"/>
    <xf numFmtId="0" fontId="19" fillId="0" borderId="0" xfId="0" applyFont="1" applyAlignment="1" applyProtection="1">
      <alignment horizontal="center"/>
      <protection hidden="1"/>
    </xf>
    <xf numFmtId="10" fontId="53" fillId="0" borderId="0" xfId="0" applyNumberFormat="1" applyFont="1"/>
    <xf numFmtId="44" fontId="54" fillId="0" borderId="0" xfId="0" applyNumberFormat="1" applyFont="1"/>
    <xf numFmtId="167" fontId="15" fillId="4" borderId="21" xfId="1" applyNumberFormat="1" applyFont="1" applyFill="1" applyBorder="1" applyProtection="1"/>
    <xf numFmtId="167" fontId="15" fillId="4" borderId="4" xfId="1" applyNumberFormat="1" applyFont="1" applyFill="1" applyBorder="1" applyProtection="1"/>
    <xf numFmtId="0" fontId="56" fillId="0" borderId="0" xfId="0" applyFont="1" applyProtection="1">
      <protection hidden="1"/>
    </xf>
    <xf numFmtId="0" fontId="16" fillId="0" borderId="22" xfId="0" applyFont="1" applyBorder="1" applyProtection="1">
      <protection hidden="1"/>
    </xf>
    <xf numFmtId="1" fontId="16" fillId="0" borderId="0" xfId="1" applyNumberFormat="1" applyFont="1" applyBorder="1" applyAlignment="1" applyProtection="1">
      <protection hidden="1"/>
    </xf>
    <xf numFmtId="1" fontId="16" fillId="0" borderId="39" xfId="1" applyNumberFormat="1" applyFont="1" applyBorder="1" applyAlignment="1" applyProtection="1">
      <alignment horizontal="center"/>
      <protection hidden="1"/>
    </xf>
    <xf numFmtId="14" fontId="21" fillId="2" borderId="7" xfId="0" applyNumberFormat="1" applyFont="1" applyFill="1" applyBorder="1" applyAlignment="1" applyProtection="1">
      <alignment horizontal="center"/>
      <protection locked="0"/>
    </xf>
    <xf numFmtId="0" fontId="21" fillId="2" borderId="7" xfId="0" applyFont="1" applyFill="1" applyBorder="1" applyAlignment="1" applyProtection="1">
      <alignment horizontal="center"/>
      <protection locked="0"/>
    </xf>
    <xf numFmtId="0" fontId="35" fillId="0" borderId="0" xfId="0" applyFont="1" applyProtection="1">
      <protection hidden="1"/>
    </xf>
    <xf numFmtId="14" fontId="35" fillId="0" borderId="0" xfId="0" applyNumberFormat="1" applyFont="1" applyProtection="1">
      <protection hidden="1"/>
    </xf>
    <xf numFmtId="0" fontId="48" fillId="0" borderId="0" xfId="0" applyFont="1" applyAlignment="1" applyProtection="1">
      <alignment horizontal="right"/>
      <protection hidden="1"/>
    </xf>
    <xf numFmtId="44" fontId="15" fillId="4" borderId="21" xfId="1" applyFont="1" applyFill="1" applyBorder="1" applyProtection="1">
      <protection hidden="1"/>
    </xf>
    <xf numFmtId="2" fontId="31" fillId="0" borderId="0" xfId="0" applyNumberFormat="1" applyFont="1"/>
    <xf numFmtId="174" fontId="31" fillId="0" borderId="0" xfId="0" applyNumberFormat="1" applyFont="1"/>
    <xf numFmtId="16" fontId="31" fillId="0" borderId="0" xfId="0" applyNumberFormat="1" applyFont="1"/>
    <xf numFmtId="0" fontId="17" fillId="0" borderId="32" xfId="0" applyFont="1" applyBorder="1" applyAlignment="1">
      <alignment horizontal="center"/>
    </xf>
    <xf numFmtId="167" fontId="15" fillId="0" borderId="32" xfId="1" applyNumberFormat="1" applyFont="1" applyBorder="1" applyProtection="1"/>
    <xf numFmtId="167" fontId="15" fillId="0" borderId="6" xfId="1" applyNumberFormat="1" applyFont="1" applyBorder="1" applyProtection="1">
      <protection hidden="1"/>
    </xf>
    <xf numFmtId="14" fontId="0" fillId="0" borderId="0" xfId="0" applyNumberFormat="1"/>
    <xf numFmtId="175" fontId="0" fillId="0" borderId="0" xfId="0" applyNumberFormat="1"/>
    <xf numFmtId="1" fontId="0" fillId="2" borderId="5" xfId="0" applyNumberFormat="1" applyFill="1" applyBorder="1" applyAlignment="1" applyProtection="1">
      <alignment horizontal="center"/>
      <protection locked="0"/>
    </xf>
    <xf numFmtId="167" fontId="15" fillId="2" borderId="32" xfId="1" applyNumberFormat="1" applyFont="1" applyFill="1" applyBorder="1" applyProtection="1">
      <protection locked="0"/>
    </xf>
    <xf numFmtId="167" fontId="15" fillId="2" borderId="6" xfId="1" applyNumberFormat="1" applyFont="1" applyFill="1" applyBorder="1" applyProtection="1"/>
    <xf numFmtId="14" fontId="0" fillId="0" borderId="0" xfId="1" applyNumberFormat="1" applyFont="1" applyAlignment="1">
      <alignment horizontal="center"/>
    </xf>
    <xf numFmtId="14" fontId="54" fillId="0" borderId="0" xfId="0" applyNumberFormat="1" applyFont="1" applyAlignment="1">
      <alignment horizontal="left"/>
    </xf>
    <xf numFmtId="0" fontId="47" fillId="0" borderId="12" xfId="0" applyFont="1" applyBorder="1" applyAlignment="1" applyProtection="1">
      <alignment vertical="center" wrapText="1"/>
      <protection hidden="1"/>
    </xf>
    <xf numFmtId="0" fontId="36" fillId="0" borderId="0" xfId="0" applyFont="1" applyAlignment="1" applyProtection="1">
      <alignment horizontal="left"/>
      <protection hidden="1"/>
    </xf>
    <xf numFmtId="0" fontId="25" fillId="3" borderId="0" xfId="0" applyFont="1" applyFill="1"/>
    <xf numFmtId="44" fontId="0" fillId="0" borderId="0" xfId="1" applyFont="1"/>
    <xf numFmtId="0" fontId="21" fillId="0" borderId="70" xfId="0" applyFont="1" applyBorder="1" applyAlignment="1" applyProtection="1">
      <alignment horizontal="center"/>
      <protection hidden="1"/>
    </xf>
    <xf numFmtId="168" fontId="24" fillId="2" borderId="23" xfId="0" applyNumberFormat="1" applyFont="1" applyFill="1" applyBorder="1" applyAlignment="1" applyProtection="1">
      <alignment horizontal="center"/>
      <protection hidden="1"/>
    </xf>
    <xf numFmtId="168" fontId="21" fillId="2" borderId="34" xfId="0" applyNumberFormat="1" applyFont="1" applyFill="1" applyBorder="1" applyAlignment="1" applyProtection="1">
      <alignment horizontal="center"/>
      <protection locked="0"/>
    </xf>
    <xf numFmtId="168" fontId="21" fillId="2" borderId="69" xfId="0" applyNumberFormat="1" applyFont="1" applyFill="1" applyBorder="1" applyAlignment="1" applyProtection="1">
      <alignment horizontal="center"/>
      <protection locked="0"/>
    </xf>
    <xf numFmtId="0" fontId="58" fillId="0" borderId="0" xfId="0" applyFont="1" applyProtection="1">
      <protection hidden="1"/>
    </xf>
    <xf numFmtId="0" fontId="58" fillId="0" borderId="0" xfId="0" applyFont="1" applyAlignment="1" applyProtection="1">
      <alignment horizontal="left"/>
      <protection hidden="1"/>
    </xf>
    <xf numFmtId="9" fontId="0" fillId="0" borderId="0" xfId="2" applyFont="1" applyFill="1" applyBorder="1" applyAlignment="1" applyProtection="1">
      <alignment horizontal="left"/>
    </xf>
    <xf numFmtId="44" fontId="0" fillId="0" borderId="0" xfId="1" applyFont="1" applyFill="1" applyBorder="1" applyAlignment="1" applyProtection="1">
      <alignment horizontal="center"/>
    </xf>
    <xf numFmtId="0" fontId="59" fillId="0" borderId="0" xfId="0" applyFont="1" applyProtection="1">
      <protection hidden="1"/>
    </xf>
    <xf numFmtId="0" fontId="60" fillId="0" borderId="0" xfId="0" applyFont="1" applyProtection="1">
      <protection hidden="1"/>
    </xf>
    <xf numFmtId="1" fontId="61" fillId="0" borderId="0" xfId="0" applyNumberFormat="1" applyFont="1" applyProtection="1">
      <protection hidden="1"/>
    </xf>
    <xf numFmtId="173" fontId="13" fillId="5" borderId="28" xfId="0" applyNumberFormat="1" applyFont="1" applyFill="1" applyBorder="1" applyAlignment="1" applyProtection="1">
      <alignment horizontal="center"/>
      <protection locked="0"/>
    </xf>
    <xf numFmtId="44" fontId="21" fillId="0" borderId="29" xfId="1" applyFont="1" applyBorder="1" applyAlignment="1" applyProtection="1">
      <alignment horizontal="center"/>
      <protection hidden="1"/>
    </xf>
    <xf numFmtId="0" fontId="0" fillId="0" borderId="0" xfId="0" applyAlignment="1" applyProtection="1">
      <alignment horizontal="right"/>
      <protection hidden="1"/>
    </xf>
    <xf numFmtId="0" fontId="11" fillId="0" borderId="1" xfId="0" applyFont="1" applyBorder="1" applyAlignment="1" applyProtection="1">
      <alignment horizontal="right"/>
      <protection hidden="1"/>
    </xf>
    <xf numFmtId="0" fontId="11" fillId="0" borderId="0" xfId="0" applyFont="1" applyAlignment="1" applyProtection="1">
      <alignment horizontal="right"/>
      <protection hidden="1"/>
    </xf>
    <xf numFmtId="0" fontId="11" fillId="0" borderId="0" xfId="0" applyFont="1" applyProtection="1">
      <protection hidden="1"/>
    </xf>
    <xf numFmtId="0" fontId="11" fillId="0" borderId="3" xfId="0" applyFont="1" applyBorder="1" applyAlignment="1" applyProtection="1">
      <alignment horizontal="right"/>
      <protection hidden="1"/>
    </xf>
    <xf numFmtId="0" fontId="11" fillId="0" borderId="5" xfId="0" applyFont="1" applyBorder="1" applyAlignment="1" applyProtection="1">
      <alignment horizontal="right"/>
      <protection hidden="1"/>
    </xf>
    <xf numFmtId="44" fontId="11" fillId="0" borderId="0" xfId="0" applyNumberFormat="1" applyFont="1" applyProtection="1">
      <protection hidden="1"/>
    </xf>
    <xf numFmtId="0" fontId="62" fillId="7" borderId="71" xfId="0" applyFont="1" applyFill="1" applyBorder="1" applyAlignment="1" applyProtection="1">
      <alignment horizontal="right"/>
      <protection hidden="1"/>
    </xf>
    <xf numFmtId="44" fontId="62" fillId="7" borderId="71" xfId="0" applyNumberFormat="1" applyFont="1" applyFill="1" applyBorder="1" applyProtection="1">
      <protection hidden="1"/>
    </xf>
    <xf numFmtId="44" fontId="0" fillId="0" borderId="0" xfId="0" applyNumberFormat="1" applyProtection="1">
      <protection hidden="1"/>
    </xf>
    <xf numFmtId="0" fontId="42" fillId="0" borderId="0" xfId="0" applyFont="1" applyProtection="1">
      <protection hidden="1"/>
    </xf>
    <xf numFmtId="44" fontId="15" fillId="0" borderId="0" xfId="1" applyFont="1" applyAlignment="1" applyProtection="1">
      <protection hidden="1"/>
    </xf>
    <xf numFmtId="49" fontId="63" fillId="0" borderId="0" xfId="0" applyNumberFormat="1" applyFont="1" applyAlignment="1" applyProtection="1">
      <alignment horizontal="left"/>
      <protection hidden="1"/>
    </xf>
    <xf numFmtId="44" fontId="19" fillId="0" borderId="0" xfId="1" applyFont="1" applyAlignment="1" applyProtection="1">
      <alignment horizontal="left"/>
      <protection hidden="1"/>
    </xf>
    <xf numFmtId="44" fontId="15" fillId="0" borderId="21" xfId="1" applyFont="1" applyBorder="1" applyProtection="1">
      <protection locked="0"/>
    </xf>
    <xf numFmtId="44" fontId="15" fillId="0" borderId="26" xfId="1" applyFont="1" applyBorder="1" applyProtection="1">
      <protection locked="0"/>
    </xf>
    <xf numFmtId="0" fontId="11" fillId="0" borderId="4" xfId="0" applyFont="1" applyBorder="1" applyAlignment="1" applyProtection="1">
      <alignment horizontal="center"/>
      <protection locked="0"/>
    </xf>
    <xf numFmtId="177" fontId="11" fillId="0" borderId="4" xfId="0" applyNumberFormat="1" applyFont="1" applyBorder="1" applyAlignment="1" applyProtection="1">
      <alignment horizontal="center"/>
      <protection locked="0"/>
    </xf>
    <xf numFmtId="168" fontId="11" fillId="0" borderId="4" xfId="0" applyNumberFormat="1" applyFont="1" applyBorder="1" applyAlignment="1" applyProtection="1">
      <alignment horizontal="center"/>
      <protection locked="0"/>
    </xf>
    <xf numFmtId="14" fontId="11" fillId="0" borderId="6" xfId="0" applyNumberFormat="1" applyFont="1" applyBorder="1" applyAlignment="1" applyProtection="1">
      <alignment horizontal="center"/>
      <protection locked="0"/>
    </xf>
    <xf numFmtId="0" fontId="11" fillId="0" borderId="43" xfId="0" applyFont="1" applyBorder="1" applyAlignment="1" applyProtection="1">
      <alignment horizontal="right"/>
      <protection hidden="1"/>
    </xf>
    <xf numFmtId="167" fontId="15" fillId="0" borderId="72" xfId="1" applyNumberFormat="1" applyFont="1" applyBorder="1" applyProtection="1">
      <protection hidden="1"/>
    </xf>
    <xf numFmtId="4" fontId="0" fillId="4" borderId="25" xfId="0" applyNumberFormat="1" applyFill="1" applyBorder="1" applyAlignment="1" applyProtection="1">
      <alignment horizontal="center"/>
      <protection hidden="1"/>
    </xf>
    <xf numFmtId="4" fontId="0" fillId="4" borderId="18" xfId="0" applyNumberFormat="1" applyFill="1" applyBorder="1" applyAlignment="1" applyProtection="1">
      <alignment horizontal="center"/>
      <protection hidden="1"/>
    </xf>
    <xf numFmtId="0" fontId="25" fillId="2" borderId="43" xfId="0" applyFont="1" applyFill="1" applyBorder="1"/>
    <xf numFmtId="44" fontId="0" fillId="0" borderId="44" xfId="1" applyFont="1" applyBorder="1" applyProtection="1"/>
    <xf numFmtId="14" fontId="25" fillId="0" borderId="21" xfId="0" applyNumberFormat="1" applyFont="1" applyBorder="1"/>
    <xf numFmtId="44" fontId="0" fillId="0" borderId="35" xfId="1" applyFont="1" applyBorder="1" applyProtection="1"/>
    <xf numFmtId="2" fontId="64" fillId="0" borderId="0" xfId="0" applyNumberFormat="1" applyFont="1" applyProtection="1">
      <protection hidden="1"/>
    </xf>
    <xf numFmtId="44" fontId="25" fillId="6" borderId="4" xfId="1" applyFont="1" applyFill="1" applyBorder="1" applyProtection="1"/>
    <xf numFmtId="0" fontId="0" fillId="0" borderId="21" xfId="0" applyBorder="1"/>
    <xf numFmtId="44" fontId="0" fillId="0" borderId="21" xfId="1" applyFont="1" applyBorder="1"/>
    <xf numFmtId="44" fontId="25" fillId="0" borderId="21" xfId="1" applyFont="1" applyBorder="1"/>
    <xf numFmtId="14" fontId="0" fillId="0" borderId="21" xfId="0" applyNumberFormat="1" applyBorder="1"/>
    <xf numFmtId="174" fontId="0" fillId="0" borderId="21" xfId="0" applyNumberFormat="1" applyBorder="1"/>
    <xf numFmtId="0" fontId="0" fillId="3" borderId="21" xfId="0" applyFill="1" applyBorder="1"/>
    <xf numFmtId="44" fontId="11" fillId="0" borderId="0" xfId="1" applyFont="1" applyProtection="1">
      <protection hidden="1"/>
    </xf>
    <xf numFmtId="174" fontId="51" fillId="0" borderId="0" xfId="0" applyNumberFormat="1" applyFont="1" applyProtection="1">
      <protection hidden="1"/>
    </xf>
    <xf numFmtId="174" fontId="11" fillId="0" borderId="0" xfId="0" applyNumberFormat="1" applyFont="1" applyProtection="1">
      <protection hidden="1"/>
    </xf>
    <xf numFmtId="0" fontId="11" fillId="8" borderId="44" xfId="0" applyFont="1" applyFill="1" applyBorder="1" applyAlignment="1" applyProtection="1">
      <alignment horizontal="center"/>
      <protection locked="0"/>
    </xf>
    <xf numFmtId="16" fontId="24" fillId="2" borderId="31" xfId="0" applyNumberFormat="1" applyFont="1" applyFill="1" applyBorder="1" applyAlignment="1" applyProtection="1">
      <alignment horizontal="center"/>
      <protection locked="0"/>
    </xf>
    <xf numFmtId="1" fontId="13" fillId="0" borderId="26" xfId="2" applyNumberFormat="1" applyFont="1" applyFill="1" applyBorder="1" applyAlignment="1" applyProtection="1">
      <alignment horizontal="center"/>
      <protection locked="0" hidden="1"/>
    </xf>
    <xf numFmtId="1" fontId="13" fillId="0" borderId="34" xfId="2" applyNumberFormat="1" applyFont="1" applyFill="1" applyBorder="1" applyAlignment="1" applyProtection="1">
      <alignment horizontal="center"/>
      <protection locked="0" hidden="1"/>
    </xf>
    <xf numFmtId="44" fontId="15" fillId="0" borderId="44" xfId="1" applyFont="1" applyBorder="1" applyProtection="1">
      <protection hidden="1"/>
    </xf>
    <xf numFmtId="0" fontId="34" fillId="0" borderId="27" xfId="0" applyFont="1" applyBorder="1" applyAlignment="1" applyProtection="1">
      <alignment horizontal="right"/>
      <protection hidden="1"/>
    </xf>
    <xf numFmtId="167" fontId="16" fillId="0" borderId="28" xfId="1" applyNumberFormat="1" applyFont="1" applyBorder="1" applyAlignment="1" applyProtection="1">
      <protection hidden="1"/>
    </xf>
    <xf numFmtId="44" fontId="0" fillId="0" borderId="21" xfId="0" applyNumberFormat="1" applyBorder="1"/>
    <xf numFmtId="168" fontId="9" fillId="0" borderId="2" xfId="0" applyNumberFormat="1" applyFont="1" applyBorder="1" applyAlignment="1" applyProtection="1">
      <alignment horizontal="center"/>
      <protection locked="0"/>
    </xf>
    <xf numFmtId="0" fontId="17" fillId="0" borderId="32" xfId="0" applyFont="1" applyBorder="1" applyAlignment="1" applyProtection="1">
      <alignment horizontal="center"/>
      <protection hidden="1"/>
    </xf>
    <xf numFmtId="0" fontId="8" fillId="4" borderId="21" xfId="0" applyFont="1" applyFill="1" applyBorder="1" applyAlignment="1" applyProtection="1">
      <alignment horizontal="center"/>
      <protection locked="0"/>
    </xf>
    <xf numFmtId="49" fontId="8" fillId="4" borderId="21" xfId="0" applyNumberFormat="1" applyFont="1" applyFill="1" applyBorder="1" applyAlignment="1" applyProtection="1">
      <alignment horizontal="left"/>
      <protection locked="0"/>
    </xf>
    <xf numFmtId="166" fontId="0" fillId="0" borderId="21" xfId="2" applyNumberFormat="1" applyFont="1" applyBorder="1" applyAlignment="1" applyProtection="1">
      <alignment horizontal="center"/>
    </xf>
    <xf numFmtId="166" fontId="0" fillId="0" borderId="4" xfId="2" applyNumberFormat="1" applyFont="1" applyBorder="1" applyAlignment="1" applyProtection="1">
      <alignment horizontal="center"/>
    </xf>
    <xf numFmtId="166" fontId="0" fillId="0" borderId="0" xfId="0" applyNumberFormat="1"/>
    <xf numFmtId="49" fontId="7" fillId="4" borderId="21" xfId="0" applyNumberFormat="1" applyFont="1" applyFill="1" applyBorder="1" applyAlignment="1" applyProtection="1">
      <alignment horizontal="left"/>
      <protection locked="0"/>
    </xf>
    <xf numFmtId="0" fontId="6" fillId="0" borderId="4" xfId="0" applyFont="1" applyBorder="1" applyAlignment="1" applyProtection="1">
      <alignment horizontal="center"/>
      <protection locked="0"/>
    </xf>
    <xf numFmtId="0" fontId="6" fillId="0" borderId="44" xfId="0" applyFont="1" applyBorder="1" applyAlignment="1" applyProtection="1">
      <alignment horizontal="center"/>
      <protection locked="0"/>
    </xf>
    <xf numFmtId="0" fontId="6" fillId="4" borderId="21" xfId="0" applyFont="1" applyFill="1" applyBorder="1" applyAlignment="1" applyProtection="1">
      <alignment horizontal="center"/>
      <protection locked="0"/>
    </xf>
    <xf numFmtId="44" fontId="25" fillId="0" borderId="0" xfId="1" applyFont="1"/>
    <xf numFmtId="9" fontId="25" fillId="0" borderId="0" xfId="2" applyFont="1" applyFill="1" applyBorder="1" applyAlignment="1" applyProtection="1">
      <alignment horizontal="center"/>
    </xf>
    <xf numFmtId="44" fontId="12" fillId="0" borderId="0" xfId="1" applyFont="1"/>
    <xf numFmtId="9" fontId="12" fillId="0" borderId="0" xfId="2" applyFont="1" applyFill="1" applyBorder="1" applyAlignment="1" applyProtection="1">
      <alignment horizontal="left"/>
    </xf>
    <xf numFmtId="44" fontId="12" fillId="0" borderId="0" xfId="1" applyFont="1" applyFill="1" applyBorder="1" applyAlignment="1" applyProtection="1">
      <alignment horizontal="center"/>
    </xf>
    <xf numFmtId="49" fontId="34" fillId="0" borderId="17" xfId="0" applyNumberFormat="1" applyFont="1" applyBorder="1" applyAlignment="1">
      <alignment horizontal="right"/>
    </xf>
    <xf numFmtId="49" fontId="34" fillId="0" borderId="17" xfId="0" applyNumberFormat="1" applyFont="1" applyBorder="1" applyAlignment="1" applyProtection="1">
      <alignment horizontal="right"/>
      <protection hidden="1"/>
    </xf>
    <xf numFmtId="49" fontId="34" fillId="0" borderId="17" xfId="0" applyNumberFormat="1" applyFont="1" applyBorder="1" applyAlignment="1">
      <alignment horizontal="left"/>
    </xf>
    <xf numFmtId="0" fontId="17" fillId="0" borderId="0" xfId="0" applyFont="1" applyAlignment="1" applyProtection="1">
      <alignment horizontal="right"/>
      <protection hidden="1"/>
    </xf>
    <xf numFmtId="0" fontId="47" fillId="0" borderId="9" xfId="0" applyFont="1" applyBorder="1" applyAlignment="1" applyProtection="1">
      <alignment vertical="center" wrapText="1"/>
      <protection hidden="1"/>
    </xf>
    <xf numFmtId="0" fontId="47" fillId="0" borderId="0" xfId="0" applyFont="1" applyAlignment="1" applyProtection="1">
      <alignment vertical="center" wrapText="1"/>
      <protection hidden="1"/>
    </xf>
    <xf numFmtId="14" fontId="16" fillId="0" borderId="21" xfId="0" applyNumberFormat="1" applyFont="1" applyBorder="1" applyAlignment="1" applyProtection="1">
      <alignment horizontal="center" vertical="center"/>
      <protection hidden="1"/>
    </xf>
    <xf numFmtId="44" fontId="42" fillId="0" borderId="0" xfId="1" applyFont="1" applyBorder="1" applyProtection="1"/>
    <xf numFmtId="9" fontId="0" fillId="0" borderId="0" xfId="2" applyFont="1" applyBorder="1" applyAlignment="1" applyProtection="1">
      <alignment horizontal="center"/>
    </xf>
    <xf numFmtId="166" fontId="25" fillId="3" borderId="0" xfId="2" applyNumberFormat="1" applyFont="1" applyFill="1" applyBorder="1" applyAlignment="1" applyProtection="1">
      <alignment horizontal="center"/>
    </xf>
    <xf numFmtId="166" fontId="25" fillId="3" borderId="0" xfId="0" applyNumberFormat="1" applyFont="1" applyFill="1" applyAlignment="1">
      <alignment horizontal="center"/>
    </xf>
    <xf numFmtId="166" fontId="0" fillId="0" borderId="0" xfId="2" applyNumberFormat="1" applyFont="1" applyBorder="1" applyAlignment="1" applyProtection="1">
      <alignment horizontal="center"/>
    </xf>
    <xf numFmtId="44" fontId="0" fillId="0" borderId="0" xfId="1" applyFont="1" applyBorder="1" applyAlignment="1" applyProtection="1">
      <alignment horizontal="center"/>
    </xf>
    <xf numFmtId="44" fontId="42" fillId="0" borderId="0" xfId="1" applyFont="1" applyBorder="1" applyAlignment="1" applyProtection="1">
      <alignment horizontal="center"/>
    </xf>
    <xf numFmtId="0" fontId="45" fillId="0" borderId="0" xfId="0" applyFont="1"/>
    <xf numFmtId="44" fontId="45" fillId="0" borderId="0" xfId="1" applyFont="1" applyFill="1" applyBorder="1" applyProtection="1"/>
    <xf numFmtId="44" fontId="25" fillId="6" borderId="0" xfId="1" applyFont="1" applyFill="1" applyBorder="1" applyProtection="1"/>
    <xf numFmtId="14" fontId="25" fillId="0" borderId="0" xfId="0" applyNumberFormat="1" applyFont="1"/>
    <xf numFmtId="0" fontId="67" fillId="0" borderId="0" xfId="0" applyFont="1"/>
    <xf numFmtId="0" fontId="0" fillId="0" borderId="0" xfId="1" applyNumberFormat="1" applyFont="1" applyBorder="1" applyProtection="1"/>
    <xf numFmtId="0" fontId="25" fillId="0" borderId="0" xfId="0" applyFont="1" applyAlignment="1">
      <alignment horizontal="center"/>
    </xf>
    <xf numFmtId="0" fontId="25" fillId="3" borderId="0" xfId="0" applyFont="1" applyFill="1" applyAlignment="1">
      <alignment horizontal="center"/>
    </xf>
    <xf numFmtId="49" fontId="6" fillId="4" borderId="21" xfId="0" applyNumberFormat="1" applyFont="1" applyFill="1" applyBorder="1" applyAlignment="1" applyProtection="1">
      <alignment horizontal="left"/>
      <protection locked="0"/>
    </xf>
    <xf numFmtId="2" fontId="31" fillId="0" borderId="7" xfId="0" applyNumberFormat="1" applyFont="1" applyBorder="1"/>
    <xf numFmtId="44" fontId="32" fillId="4" borderId="18" xfId="1" applyFont="1" applyFill="1" applyBorder="1" applyAlignment="1" applyProtection="1">
      <alignment horizontal="center"/>
    </xf>
    <xf numFmtId="2" fontId="31" fillId="0" borderId="18" xfId="0" applyNumberFormat="1" applyFont="1" applyBorder="1"/>
    <xf numFmtId="168" fontId="14" fillId="4" borderId="31" xfId="0" applyNumberFormat="1" applyFont="1" applyFill="1" applyBorder="1" applyAlignment="1" applyProtection="1">
      <alignment horizontal="center"/>
      <protection locked="0"/>
    </xf>
    <xf numFmtId="44" fontId="32" fillId="0" borderId="39" xfId="0" applyNumberFormat="1" applyFont="1" applyBorder="1"/>
    <xf numFmtId="0" fontId="32" fillId="4" borderId="1" xfId="0" applyFont="1" applyFill="1" applyBorder="1" applyAlignment="1">
      <alignment horizontal="center"/>
    </xf>
    <xf numFmtId="0" fontId="32" fillId="4" borderId="47" xfId="0" applyFont="1" applyFill="1" applyBorder="1" applyAlignment="1">
      <alignment horizontal="center"/>
    </xf>
    <xf numFmtId="44" fontId="32" fillId="4" borderId="2" xfId="1" applyFont="1" applyFill="1" applyBorder="1" applyAlignment="1" applyProtection="1">
      <alignment horizontal="center"/>
    </xf>
    <xf numFmtId="0" fontId="11" fillId="4" borderId="3" xfId="0" applyFont="1" applyFill="1" applyBorder="1" applyAlignment="1" applyProtection="1">
      <alignment horizontal="left"/>
      <protection locked="0"/>
    </xf>
    <xf numFmtId="44" fontId="31" fillId="0" borderId="4" xfId="1" applyFont="1" applyBorder="1" applyAlignment="1" applyProtection="1">
      <alignment horizontal="center"/>
    </xf>
    <xf numFmtId="0" fontId="10" fillId="4" borderId="3" xfId="0" applyFont="1" applyFill="1" applyBorder="1" applyAlignment="1" applyProtection="1">
      <alignment horizontal="left"/>
      <protection locked="0"/>
    </xf>
    <xf numFmtId="0" fontId="11" fillId="4" borderId="5" xfId="0" applyFont="1" applyFill="1" applyBorder="1" applyAlignment="1" applyProtection="1">
      <alignment horizontal="left"/>
      <protection locked="0"/>
    </xf>
    <xf numFmtId="49" fontId="8" fillId="4" borderId="32" xfId="0" applyNumberFormat="1" applyFont="1" applyFill="1" applyBorder="1" applyAlignment="1" applyProtection="1">
      <alignment horizontal="left"/>
      <protection locked="0"/>
    </xf>
    <xf numFmtId="0" fontId="31" fillId="4" borderId="32" xfId="0" applyFont="1" applyFill="1" applyBorder="1" applyAlignment="1" applyProtection="1">
      <alignment horizontal="center"/>
      <protection locked="0"/>
    </xf>
    <xf numFmtId="2" fontId="31" fillId="0" borderId="32" xfId="0" applyNumberFormat="1" applyFont="1" applyBorder="1" applyAlignment="1">
      <alignment horizontal="center"/>
    </xf>
    <xf numFmtId="9" fontId="31" fillId="0" borderId="32" xfId="2" applyFont="1" applyBorder="1" applyAlignment="1" applyProtection="1">
      <alignment horizontal="center"/>
    </xf>
    <xf numFmtId="44" fontId="31" fillId="0" borderId="32" xfId="1" applyFont="1" applyBorder="1" applyAlignment="1" applyProtection="1">
      <alignment horizontal="center"/>
    </xf>
    <xf numFmtId="0" fontId="8" fillId="4" borderId="32" xfId="0" applyFont="1" applyFill="1" applyBorder="1" applyAlignment="1" applyProtection="1">
      <alignment horizontal="center"/>
      <protection locked="0"/>
    </xf>
    <xf numFmtId="168" fontId="31" fillId="4" borderId="32" xfId="0" applyNumberFormat="1" applyFont="1" applyFill="1" applyBorder="1" applyAlignment="1" applyProtection="1">
      <alignment horizontal="center"/>
      <protection locked="0"/>
    </xf>
    <xf numFmtId="168" fontId="31" fillId="0" borderId="32" xfId="0" applyNumberFormat="1" applyFont="1" applyBorder="1" applyAlignment="1">
      <alignment horizontal="center"/>
    </xf>
    <xf numFmtId="44" fontId="31" fillId="0" borderId="6" xfId="1" applyFont="1" applyBorder="1" applyAlignment="1" applyProtection="1">
      <alignment horizontal="center"/>
    </xf>
    <xf numFmtId="168" fontId="24" fillId="2" borderId="37" xfId="0" applyNumberFormat="1" applyFont="1" applyFill="1" applyBorder="1" applyAlignment="1" applyProtection="1">
      <alignment horizontal="center"/>
      <protection hidden="1"/>
    </xf>
    <xf numFmtId="0" fontId="24" fillId="2" borderId="37" xfId="0" applyFont="1" applyFill="1" applyBorder="1" applyAlignment="1" applyProtection="1">
      <alignment horizontal="center"/>
      <protection hidden="1"/>
    </xf>
    <xf numFmtId="9" fontId="24" fillId="2" borderId="7" xfId="2" applyFont="1" applyFill="1" applyBorder="1" applyAlignment="1" applyProtection="1">
      <alignment horizontal="center"/>
      <protection locked="0"/>
    </xf>
    <xf numFmtId="0" fontId="42" fillId="3" borderId="21" xfId="0" applyFont="1" applyFill="1" applyBorder="1"/>
    <xf numFmtId="174" fontId="52" fillId="0" borderId="0" xfId="0" applyNumberFormat="1" applyFont="1" applyAlignment="1" applyProtection="1">
      <alignment horizontal="left"/>
      <protection hidden="1"/>
    </xf>
    <xf numFmtId="0" fontId="24" fillId="2" borderId="38" xfId="0" applyFont="1" applyFill="1" applyBorder="1" applyAlignment="1" applyProtection="1">
      <alignment horizontal="center"/>
      <protection hidden="1"/>
    </xf>
    <xf numFmtId="0" fontId="5" fillId="0" borderId="70" xfId="0" applyFont="1" applyBorder="1" applyAlignment="1" applyProtection="1">
      <alignment horizontal="center"/>
      <protection hidden="1"/>
    </xf>
    <xf numFmtId="168" fontId="5" fillId="2" borderId="34" xfId="0" applyNumberFormat="1" applyFont="1" applyFill="1" applyBorder="1" applyAlignment="1" applyProtection="1">
      <alignment horizontal="center"/>
      <protection locked="0"/>
    </xf>
    <xf numFmtId="44" fontId="5" fillId="0" borderId="30" xfId="1" applyFont="1" applyBorder="1" applyAlignment="1" applyProtection="1">
      <alignment horizontal="center"/>
      <protection hidden="1"/>
    </xf>
    <xf numFmtId="44" fontId="5" fillId="0" borderId="34" xfId="1" applyFont="1" applyBorder="1" applyAlignment="1" applyProtection="1">
      <alignment horizontal="center"/>
      <protection hidden="1"/>
    </xf>
    <xf numFmtId="0" fontId="5" fillId="2" borderId="21" xfId="0" applyFont="1" applyFill="1" applyBorder="1" applyProtection="1">
      <protection locked="0"/>
    </xf>
    <xf numFmtId="14" fontId="5" fillId="2" borderId="4" xfId="0" applyNumberFormat="1" applyFont="1" applyFill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hidden="1"/>
    </xf>
    <xf numFmtId="44" fontId="5" fillId="0" borderId="21" xfId="1" applyFont="1" applyBorder="1" applyAlignment="1" applyProtection="1">
      <alignment horizontal="center"/>
      <protection hidden="1"/>
    </xf>
    <xf numFmtId="168" fontId="5" fillId="2" borderId="21" xfId="0" applyNumberFormat="1" applyFont="1" applyFill="1" applyBorder="1" applyAlignment="1" applyProtection="1">
      <alignment horizontal="center"/>
      <protection locked="0"/>
    </xf>
    <xf numFmtId="0" fontId="5" fillId="0" borderId="5" xfId="0" applyFont="1" applyBorder="1" applyAlignment="1" applyProtection="1">
      <alignment horizontal="center"/>
      <protection hidden="1"/>
    </xf>
    <xf numFmtId="168" fontId="5" fillId="2" borderId="32" xfId="0" applyNumberFormat="1" applyFont="1" applyFill="1" applyBorder="1" applyAlignment="1" applyProtection="1">
      <alignment horizontal="center"/>
      <protection locked="0"/>
    </xf>
    <xf numFmtId="44" fontId="5" fillId="0" borderId="51" xfId="1" applyFont="1" applyBorder="1" applyAlignment="1" applyProtection="1">
      <alignment horizontal="center"/>
      <protection hidden="1"/>
    </xf>
    <xf numFmtId="44" fontId="5" fillId="0" borderId="32" xfId="1" applyFont="1" applyBorder="1" applyAlignment="1" applyProtection="1">
      <alignment horizontal="center"/>
      <protection hidden="1"/>
    </xf>
    <xf numFmtId="0" fontId="5" fillId="2" borderId="32" xfId="0" applyFont="1" applyFill="1" applyBorder="1" applyProtection="1">
      <protection locked="0"/>
    </xf>
    <xf numFmtId="14" fontId="5" fillId="2" borderId="6" xfId="0" applyNumberFormat="1" applyFont="1" applyFill="1" applyBorder="1" applyAlignment="1" applyProtection="1">
      <alignment horizontal="center"/>
      <protection locked="0"/>
    </xf>
    <xf numFmtId="168" fontId="24" fillId="0" borderId="39" xfId="0" applyNumberFormat="1" applyFont="1" applyBorder="1" applyAlignment="1" applyProtection="1">
      <alignment horizontal="center"/>
      <protection hidden="1"/>
    </xf>
    <xf numFmtId="44" fontId="5" fillId="0" borderId="0" xfId="1" applyFont="1" applyBorder="1" applyAlignment="1" applyProtection="1">
      <alignment horizontal="center"/>
      <protection hidden="1"/>
    </xf>
    <xf numFmtId="0" fontId="5" fillId="0" borderId="0" xfId="0" applyFont="1" applyProtection="1">
      <protection hidden="1"/>
    </xf>
    <xf numFmtId="2" fontId="35" fillId="0" borderId="0" xfId="1" applyNumberFormat="1" applyFont="1" applyBorder="1" applyAlignment="1" applyProtection="1">
      <alignment horizontal="center"/>
      <protection hidden="1"/>
    </xf>
    <xf numFmtId="0" fontId="52" fillId="0" borderId="0" xfId="0" applyFont="1" applyAlignment="1" applyProtection="1">
      <alignment horizontal="right"/>
      <protection hidden="1"/>
    </xf>
    <xf numFmtId="0" fontId="52" fillId="0" borderId="0" xfId="0" applyFont="1" applyAlignment="1" applyProtection="1">
      <alignment horizontal="left"/>
      <protection hidden="1"/>
    </xf>
    <xf numFmtId="165" fontId="17" fillId="0" borderId="9" xfId="0" applyNumberFormat="1" applyFont="1" applyBorder="1" applyAlignment="1" applyProtection="1">
      <alignment horizontal="right"/>
      <protection hidden="1"/>
    </xf>
    <xf numFmtId="14" fontId="15" fillId="0" borderId="9" xfId="0" applyNumberFormat="1" applyFont="1" applyBorder="1" applyAlignment="1" applyProtection="1">
      <alignment horizontal="left"/>
      <protection hidden="1"/>
    </xf>
    <xf numFmtId="168" fontId="6" fillId="4" borderId="21" xfId="0" applyNumberFormat="1" applyFont="1" applyFill="1" applyBorder="1" applyAlignment="1" applyProtection="1">
      <alignment horizontal="center"/>
      <protection locked="0"/>
    </xf>
    <xf numFmtId="0" fontId="31" fillId="0" borderId="21" xfId="0" applyFont="1" applyBorder="1" applyAlignment="1">
      <alignment horizontal="left"/>
    </xf>
    <xf numFmtId="9" fontId="32" fillId="0" borderId="0" xfId="2" applyFont="1" applyAlignment="1" applyProtection="1">
      <alignment horizontal="center"/>
    </xf>
    <xf numFmtId="0" fontId="0" fillId="0" borderId="0" xfId="0" applyAlignment="1" applyProtection="1">
      <alignment horizontal="center"/>
      <protection hidden="1"/>
    </xf>
    <xf numFmtId="0" fontId="14" fillId="0" borderId="8" xfId="0" applyFont="1" applyBorder="1" applyAlignment="1" applyProtection="1">
      <alignment horizontal="center"/>
      <protection hidden="1"/>
    </xf>
    <xf numFmtId="0" fontId="13" fillId="0" borderId="9" xfId="0" applyFont="1" applyBorder="1" applyAlignment="1" applyProtection="1">
      <alignment horizontal="center"/>
      <protection hidden="1"/>
    </xf>
    <xf numFmtId="1" fontId="21" fillId="0" borderId="11" xfId="0" applyNumberFormat="1" applyFont="1" applyBorder="1" applyAlignment="1" applyProtection="1">
      <alignment horizontal="left" vertical="center"/>
      <protection hidden="1"/>
    </xf>
    <xf numFmtId="1" fontId="21" fillId="0" borderId="0" xfId="0" applyNumberFormat="1" applyFont="1" applyAlignment="1" applyProtection="1">
      <alignment horizontal="left" vertical="center"/>
      <protection hidden="1"/>
    </xf>
    <xf numFmtId="49" fontId="18" fillId="0" borderId="16" xfId="0" applyNumberFormat="1" applyFont="1" applyBorder="1" applyAlignment="1" applyProtection="1">
      <alignment horizontal="left"/>
      <protection locked="0"/>
    </xf>
    <xf numFmtId="49" fontId="18" fillId="0" borderId="17" xfId="0" applyNumberFormat="1" applyFont="1" applyBorder="1" applyAlignment="1" applyProtection="1">
      <alignment horizontal="left"/>
      <protection locked="0"/>
    </xf>
    <xf numFmtId="49" fontId="18" fillId="0" borderId="18" xfId="0" applyNumberFormat="1" applyFont="1" applyBorder="1" applyAlignment="1" applyProtection="1">
      <alignment horizontal="left"/>
      <protection locked="0"/>
    </xf>
    <xf numFmtId="0" fontId="18" fillId="0" borderId="16" xfId="0" applyFont="1" applyBorder="1" applyAlignment="1" applyProtection="1">
      <alignment horizontal="left"/>
      <protection locked="0"/>
    </xf>
    <xf numFmtId="0" fontId="18" fillId="0" borderId="17" xfId="0" applyFont="1" applyBorder="1" applyAlignment="1" applyProtection="1">
      <alignment horizontal="left"/>
      <protection locked="0"/>
    </xf>
    <xf numFmtId="0" fontId="18" fillId="0" borderId="18" xfId="0" applyFont="1" applyBorder="1" applyAlignment="1" applyProtection="1">
      <alignment horizontal="left"/>
      <protection locked="0"/>
    </xf>
    <xf numFmtId="44" fontId="15" fillId="0" borderId="0" xfId="1" applyFont="1" applyAlignment="1" applyProtection="1">
      <alignment horizontal="left"/>
      <protection hidden="1"/>
    </xf>
    <xf numFmtId="0" fontId="15" fillId="0" borderId="0" xfId="0" applyFont="1" applyAlignment="1" applyProtection="1">
      <alignment horizontal="center"/>
      <protection hidden="1"/>
    </xf>
    <xf numFmtId="1" fontId="0" fillId="4" borderId="3" xfId="0" applyNumberFormat="1" applyFill="1" applyBorder="1" applyAlignment="1" applyProtection="1">
      <alignment horizontal="center"/>
      <protection hidden="1"/>
    </xf>
    <xf numFmtId="1" fontId="0" fillId="4" borderId="21" xfId="0" applyNumberFormat="1" applyFill="1" applyBorder="1" applyAlignment="1" applyProtection="1">
      <alignment horizontal="center"/>
      <protection hidden="1"/>
    </xf>
    <xf numFmtId="4" fontId="0" fillId="4" borderId="3" xfId="0" applyNumberFormat="1" applyFill="1" applyBorder="1" applyAlignment="1" applyProtection="1">
      <alignment horizontal="center"/>
      <protection hidden="1"/>
    </xf>
    <xf numFmtId="4" fontId="0" fillId="4" borderId="21" xfId="0" applyNumberFormat="1" applyFill="1" applyBorder="1" applyAlignment="1" applyProtection="1">
      <alignment horizontal="center"/>
      <protection hidden="1"/>
    </xf>
    <xf numFmtId="4" fontId="0" fillId="4" borderId="25" xfId="0" applyNumberFormat="1" applyFill="1" applyBorder="1" applyAlignment="1" applyProtection="1">
      <alignment horizontal="center"/>
      <protection hidden="1"/>
    </xf>
    <xf numFmtId="4" fontId="0" fillId="4" borderId="18" xfId="0" applyNumberFormat="1" applyFill="1" applyBorder="1" applyAlignment="1" applyProtection="1">
      <alignment horizontal="center"/>
      <protection hidden="1"/>
    </xf>
    <xf numFmtId="10" fontId="17" fillId="4" borderId="16" xfId="0" applyNumberFormat="1" applyFont="1" applyFill="1" applyBorder="1" applyProtection="1">
      <protection hidden="1"/>
    </xf>
    <xf numFmtId="0" fontId="17" fillId="4" borderId="17" xfId="0" applyFont="1" applyFill="1" applyBorder="1" applyProtection="1">
      <protection hidden="1"/>
    </xf>
    <xf numFmtId="0" fontId="17" fillId="4" borderId="18" xfId="0" applyFont="1" applyFill="1" applyBorder="1" applyProtection="1">
      <protection hidden="1"/>
    </xf>
    <xf numFmtId="1" fontId="0" fillId="4" borderId="25" xfId="0" applyNumberFormat="1" applyFill="1" applyBorder="1" applyAlignment="1" applyProtection="1">
      <alignment horizontal="center"/>
      <protection hidden="1"/>
    </xf>
    <xf numFmtId="1" fontId="0" fillId="4" borderId="18" xfId="0" applyNumberFormat="1" applyFill="1" applyBorder="1" applyAlignment="1" applyProtection="1">
      <alignment horizontal="center"/>
      <protection hidden="1"/>
    </xf>
    <xf numFmtId="0" fontId="17" fillId="4" borderId="16" xfId="0" applyFont="1" applyFill="1" applyBorder="1" applyAlignment="1" applyProtection="1">
      <alignment horizontal="left"/>
      <protection hidden="1"/>
    </xf>
    <xf numFmtId="0" fontId="17" fillId="4" borderId="17" xfId="0" applyFont="1" applyFill="1" applyBorder="1" applyAlignment="1" applyProtection="1">
      <alignment horizontal="left"/>
      <protection hidden="1"/>
    </xf>
    <xf numFmtId="0" fontId="17" fillId="4" borderId="18" xfId="0" applyFont="1" applyFill="1" applyBorder="1" applyAlignment="1" applyProtection="1">
      <alignment horizontal="left"/>
      <protection hidden="1"/>
    </xf>
    <xf numFmtId="44" fontId="16" fillId="0" borderId="13" xfId="1" applyFont="1" applyBorder="1" applyAlignment="1" applyProtection="1">
      <alignment horizontal="center"/>
      <protection hidden="1"/>
    </xf>
    <xf numFmtId="44" fontId="16" fillId="0" borderId="15" xfId="1" applyFont="1" applyBorder="1" applyAlignment="1" applyProtection="1">
      <alignment horizontal="center"/>
      <protection hidden="1"/>
    </xf>
    <xf numFmtId="0" fontId="16" fillId="0" borderId="0" xfId="0" applyFont="1" applyAlignment="1" applyProtection="1">
      <alignment horizontal="right"/>
      <protection hidden="1"/>
    </xf>
    <xf numFmtId="167" fontId="16" fillId="0" borderId="27" xfId="1" applyNumberFormat="1" applyFont="1" applyBorder="1" applyAlignment="1" applyProtection="1">
      <alignment horizontal="center"/>
      <protection hidden="1"/>
    </xf>
    <xf numFmtId="167" fontId="16" fillId="0" borderId="28" xfId="1" applyNumberFormat="1" applyFont="1" applyBorder="1" applyAlignment="1" applyProtection="1">
      <alignment horizontal="center"/>
      <protection hidden="1"/>
    </xf>
    <xf numFmtId="4" fontId="0" fillId="0" borderId="25" xfId="0" applyNumberFormat="1" applyBorder="1" applyAlignment="1" applyProtection="1">
      <alignment horizontal="center"/>
      <protection locked="0"/>
    </xf>
    <xf numFmtId="4" fontId="0" fillId="0" borderId="18" xfId="0" applyNumberFormat="1" applyBorder="1" applyAlignment="1" applyProtection="1">
      <alignment horizontal="center"/>
      <protection locked="0"/>
    </xf>
    <xf numFmtId="49" fontId="17" fillId="0" borderId="16" xfId="0" applyNumberFormat="1" applyFont="1" applyBorder="1" applyProtection="1">
      <protection locked="0"/>
    </xf>
    <xf numFmtId="49" fontId="17" fillId="0" borderId="17" xfId="0" applyNumberFormat="1" applyFont="1" applyBorder="1" applyProtection="1">
      <protection locked="0"/>
    </xf>
    <xf numFmtId="49" fontId="17" fillId="0" borderId="18" xfId="0" applyNumberFormat="1" applyFont="1" applyBorder="1" applyProtection="1">
      <protection locked="0"/>
    </xf>
    <xf numFmtId="4" fontId="0" fillId="0" borderId="3" xfId="0" applyNumberFormat="1" applyBorder="1" applyAlignment="1" applyProtection="1">
      <alignment horizontal="center"/>
      <protection locked="0"/>
    </xf>
    <xf numFmtId="4" fontId="0" fillId="0" borderId="21" xfId="0" applyNumberFormat="1" applyBorder="1" applyAlignment="1" applyProtection="1">
      <alignment horizontal="center"/>
      <protection locked="0"/>
    </xf>
    <xf numFmtId="49" fontId="17" fillId="0" borderId="56" xfId="0" applyNumberFormat="1" applyFont="1" applyBorder="1" applyProtection="1">
      <protection locked="0"/>
    </xf>
    <xf numFmtId="49" fontId="17" fillId="0" borderId="57" xfId="0" applyNumberFormat="1" applyFont="1" applyBorder="1" applyProtection="1">
      <protection locked="0"/>
    </xf>
    <xf numFmtId="49" fontId="17" fillId="0" borderId="58" xfId="0" applyNumberFormat="1" applyFont="1" applyBorder="1" applyProtection="1">
      <protection locked="0"/>
    </xf>
    <xf numFmtId="49" fontId="17" fillId="0" borderId="17" xfId="0" applyNumberFormat="1" applyFont="1" applyBorder="1" applyAlignment="1" applyProtection="1">
      <alignment horizontal="left"/>
      <protection locked="0"/>
    </xf>
    <xf numFmtId="49" fontId="15" fillId="0" borderId="17" xfId="0" applyNumberFormat="1" applyFont="1" applyBorder="1" applyAlignment="1" applyProtection="1">
      <alignment horizontal="left"/>
      <protection locked="0"/>
    </xf>
    <xf numFmtId="49" fontId="15" fillId="0" borderId="18" xfId="0" applyNumberFormat="1" applyFont="1" applyBorder="1" applyAlignment="1" applyProtection="1">
      <alignment horizontal="left"/>
      <protection locked="0"/>
    </xf>
    <xf numFmtId="0" fontId="15" fillId="0" borderId="17" xfId="0" applyFont="1" applyBorder="1" applyAlignment="1" applyProtection="1">
      <alignment horizontal="left"/>
      <protection locked="0" hidden="1"/>
    </xf>
    <xf numFmtId="0" fontId="15" fillId="0" borderId="18" xfId="0" applyFont="1" applyBorder="1" applyAlignment="1" applyProtection="1">
      <alignment horizontal="left"/>
      <protection locked="0" hidden="1"/>
    </xf>
    <xf numFmtId="49" fontId="15" fillId="0" borderId="17" xfId="0" applyNumberFormat="1" applyFont="1" applyBorder="1" applyAlignment="1" applyProtection="1">
      <alignment horizontal="left" wrapText="1"/>
      <protection locked="0"/>
    </xf>
    <xf numFmtId="14" fontId="21" fillId="0" borderId="17" xfId="0" applyNumberFormat="1" applyFont="1" applyBorder="1" applyAlignment="1" applyProtection="1">
      <alignment horizontal="left"/>
      <protection locked="0"/>
    </xf>
    <xf numFmtId="14" fontId="21" fillId="0" borderId="18" xfId="0" applyNumberFormat="1" applyFont="1" applyBorder="1" applyAlignment="1" applyProtection="1">
      <alignment horizontal="left"/>
      <protection locked="0"/>
    </xf>
    <xf numFmtId="0" fontId="16" fillId="0" borderId="22" xfId="0" applyFont="1" applyBorder="1" applyAlignment="1" applyProtection="1">
      <alignment horizontal="center"/>
      <protection hidden="1"/>
    </xf>
    <xf numFmtId="0" fontId="16" fillId="0" borderId="23" xfId="0" applyFont="1" applyBorder="1" applyAlignment="1" applyProtection="1">
      <alignment horizontal="center"/>
      <protection hidden="1"/>
    </xf>
    <xf numFmtId="2" fontId="0" fillId="4" borderId="25" xfId="0" applyNumberFormat="1" applyFill="1" applyBorder="1" applyAlignment="1" applyProtection="1">
      <alignment horizontal="center"/>
      <protection hidden="1"/>
    </xf>
    <xf numFmtId="2" fontId="0" fillId="4" borderId="18" xfId="0" applyNumberFormat="1" applyFill="1" applyBorder="1" applyAlignment="1" applyProtection="1">
      <alignment horizontal="center"/>
      <protection hidden="1"/>
    </xf>
    <xf numFmtId="49" fontId="17" fillId="0" borderId="18" xfId="0" applyNumberFormat="1" applyFont="1" applyBorder="1" applyAlignment="1" applyProtection="1">
      <alignment horizontal="left"/>
      <protection locked="0"/>
    </xf>
    <xf numFmtId="49" fontId="21" fillId="0" borderId="17" xfId="0" applyNumberFormat="1" applyFont="1" applyBorder="1" applyAlignment="1" applyProtection="1">
      <alignment horizontal="left"/>
      <protection locked="0"/>
    </xf>
    <xf numFmtId="49" fontId="21" fillId="0" borderId="18" xfId="0" applyNumberFormat="1" applyFont="1" applyBorder="1" applyAlignment="1" applyProtection="1">
      <alignment horizontal="left"/>
      <protection locked="0"/>
    </xf>
    <xf numFmtId="49" fontId="4" fillId="0" borderId="17" xfId="0" applyNumberFormat="1" applyFont="1" applyBorder="1" applyAlignment="1" applyProtection="1">
      <alignment horizontal="left"/>
      <protection locked="0"/>
    </xf>
    <xf numFmtId="0" fontId="16" fillId="0" borderId="8" xfId="0" applyFont="1" applyBorder="1" applyAlignment="1" applyProtection="1">
      <alignment horizontal="center"/>
      <protection hidden="1"/>
    </xf>
    <xf numFmtId="0" fontId="15" fillId="0" borderId="9" xfId="0" applyFont="1" applyBorder="1" applyAlignment="1" applyProtection="1">
      <alignment horizontal="center"/>
      <protection hidden="1"/>
    </xf>
    <xf numFmtId="0" fontId="15" fillId="0" borderId="10" xfId="0" applyFont="1" applyBorder="1" applyAlignment="1" applyProtection="1">
      <alignment horizontal="center"/>
      <protection hidden="1"/>
    </xf>
    <xf numFmtId="0" fontId="16" fillId="0" borderId="11" xfId="0" applyFont="1" applyBorder="1" applyAlignment="1" applyProtection="1">
      <alignment horizontal="center"/>
      <protection hidden="1"/>
    </xf>
    <xf numFmtId="0" fontId="16" fillId="0" borderId="0" xfId="0" applyFont="1" applyAlignment="1" applyProtection="1">
      <alignment horizontal="center"/>
      <protection hidden="1"/>
    </xf>
    <xf numFmtId="0" fontId="15" fillId="0" borderId="12" xfId="0" applyFont="1" applyBorder="1" applyAlignment="1" applyProtection="1">
      <alignment horizontal="center"/>
      <protection hidden="1"/>
    </xf>
    <xf numFmtId="0" fontId="16" fillId="0" borderId="13" xfId="0" applyFont="1" applyBorder="1" applyAlignment="1" applyProtection="1">
      <alignment horizontal="center"/>
      <protection hidden="1"/>
    </xf>
    <xf numFmtId="0" fontId="16" fillId="0" borderId="14" xfId="0" applyFont="1" applyBorder="1" applyAlignment="1" applyProtection="1">
      <alignment horizontal="center"/>
      <protection hidden="1"/>
    </xf>
    <xf numFmtId="0" fontId="16" fillId="0" borderId="14" xfId="0" applyFont="1" applyBorder="1" applyAlignment="1" applyProtection="1">
      <alignment horizontal="right"/>
      <protection hidden="1"/>
    </xf>
    <xf numFmtId="0" fontId="16" fillId="0" borderId="15" xfId="0" applyFont="1" applyBorder="1" applyAlignment="1" applyProtection="1">
      <alignment horizontal="right"/>
      <protection hidden="1"/>
    </xf>
    <xf numFmtId="14" fontId="17" fillId="0" borderId="17" xfId="0" applyNumberFormat="1" applyFont="1" applyBorder="1" applyAlignment="1" applyProtection="1">
      <alignment horizontal="left"/>
      <protection hidden="1"/>
    </xf>
    <xf numFmtId="14" fontId="15" fillId="0" borderId="17" xfId="0" applyNumberFormat="1" applyFont="1" applyBorder="1" applyAlignment="1" applyProtection="1">
      <alignment horizontal="left"/>
      <protection hidden="1"/>
    </xf>
    <xf numFmtId="14" fontId="15" fillId="0" borderId="18" xfId="0" applyNumberFormat="1" applyFont="1" applyBorder="1" applyAlignment="1" applyProtection="1">
      <alignment horizontal="left"/>
      <protection hidden="1"/>
    </xf>
    <xf numFmtId="0" fontId="15" fillId="0" borderId="17" xfId="0" applyFont="1" applyBorder="1" applyAlignment="1" applyProtection="1">
      <alignment horizontal="left"/>
      <protection hidden="1"/>
    </xf>
    <xf numFmtId="0" fontId="15" fillId="0" borderId="18" xfId="0" applyFont="1" applyBorder="1" applyAlignment="1" applyProtection="1">
      <alignment horizontal="left"/>
      <protection hidden="1"/>
    </xf>
    <xf numFmtId="0" fontId="17" fillId="0" borderId="17" xfId="0" applyFont="1" applyBorder="1" applyAlignment="1" applyProtection="1">
      <alignment horizontal="left"/>
      <protection hidden="1"/>
    </xf>
    <xf numFmtId="3" fontId="29" fillId="4" borderId="3" xfId="0" applyNumberFormat="1" applyFont="1" applyFill="1" applyBorder="1" applyAlignment="1" applyProtection="1">
      <alignment horizontal="center"/>
      <protection hidden="1"/>
    </xf>
    <xf numFmtId="3" fontId="29" fillId="4" borderId="21" xfId="0" applyNumberFormat="1" applyFont="1" applyFill="1" applyBorder="1" applyAlignment="1" applyProtection="1">
      <alignment horizontal="center"/>
      <protection hidden="1"/>
    </xf>
    <xf numFmtId="49" fontId="17" fillId="4" borderId="16" xfId="0" applyNumberFormat="1" applyFont="1" applyFill="1" applyBorder="1" applyAlignment="1" applyProtection="1">
      <alignment horizontal="left"/>
      <protection hidden="1"/>
    </xf>
    <xf numFmtId="2" fontId="17" fillId="4" borderId="16" xfId="0" applyNumberFormat="1" applyFont="1" applyFill="1" applyBorder="1" applyAlignment="1" applyProtection="1">
      <alignment horizontal="left"/>
      <protection hidden="1"/>
    </xf>
    <xf numFmtId="2" fontId="17" fillId="4" borderId="17" xfId="0" applyNumberFormat="1" applyFont="1" applyFill="1" applyBorder="1" applyAlignment="1" applyProtection="1">
      <alignment horizontal="left"/>
      <protection hidden="1"/>
    </xf>
    <xf numFmtId="2" fontId="17" fillId="4" borderId="18" xfId="0" applyNumberFormat="1" applyFont="1" applyFill="1" applyBorder="1" applyAlignment="1" applyProtection="1">
      <alignment horizontal="left"/>
      <protection hidden="1"/>
    </xf>
    <xf numFmtId="4" fontId="0" fillId="0" borderId="25" xfId="0" applyNumberFormat="1" applyBorder="1" applyAlignment="1" applyProtection="1">
      <alignment horizontal="center"/>
      <protection hidden="1"/>
    </xf>
    <xf numFmtId="4" fontId="0" fillId="0" borderId="18" xfId="0" applyNumberFormat="1" applyBorder="1" applyAlignment="1" applyProtection="1">
      <alignment horizontal="center"/>
      <protection hidden="1"/>
    </xf>
    <xf numFmtId="49" fontId="17" fillId="0" borderId="16" xfId="0" applyNumberFormat="1" applyFont="1" applyBorder="1" applyAlignment="1" applyProtection="1">
      <alignment horizontal="left"/>
      <protection hidden="1"/>
    </xf>
    <xf numFmtId="0" fontId="17" fillId="0" borderId="18" xfId="0" applyFont="1" applyBorder="1" applyAlignment="1" applyProtection="1">
      <alignment horizontal="left"/>
      <protection hidden="1"/>
    </xf>
    <xf numFmtId="49" fontId="17" fillId="0" borderId="56" xfId="0" applyNumberFormat="1" applyFont="1" applyBorder="1" applyAlignment="1" applyProtection="1">
      <alignment horizontal="left"/>
      <protection hidden="1"/>
    </xf>
    <xf numFmtId="0" fontId="17" fillId="0" borderId="57" xfId="0" applyFont="1" applyBorder="1" applyAlignment="1" applyProtection="1">
      <alignment horizontal="left"/>
      <protection hidden="1"/>
    </xf>
    <xf numFmtId="0" fontId="17" fillId="0" borderId="58" xfId="0" applyFont="1" applyBorder="1" applyAlignment="1" applyProtection="1">
      <alignment horizontal="left"/>
      <protection hidden="1"/>
    </xf>
    <xf numFmtId="0" fontId="18" fillId="0" borderId="16" xfId="0" applyFont="1" applyBorder="1" applyAlignment="1" applyProtection="1">
      <alignment horizontal="left"/>
      <protection hidden="1"/>
    </xf>
    <xf numFmtId="0" fontId="18" fillId="0" borderId="17" xfId="0" applyFont="1" applyBorder="1" applyAlignment="1" applyProtection="1">
      <alignment horizontal="left"/>
      <protection hidden="1"/>
    </xf>
    <xf numFmtId="0" fontId="18" fillId="0" borderId="18" xfId="0" applyFont="1" applyBorder="1" applyAlignment="1" applyProtection="1">
      <alignment horizontal="left"/>
      <protection hidden="1"/>
    </xf>
    <xf numFmtId="44" fontId="16" fillId="0" borderId="13" xfId="1" applyFont="1" applyFill="1" applyBorder="1" applyAlignment="1" applyProtection="1">
      <alignment horizontal="center"/>
      <protection hidden="1"/>
    </xf>
    <xf numFmtId="44" fontId="16" fillId="0" borderId="15" xfId="1" applyFont="1" applyFill="1" applyBorder="1" applyAlignment="1" applyProtection="1">
      <alignment horizontal="center"/>
      <protection hidden="1"/>
    </xf>
    <xf numFmtId="167" fontId="16" fillId="0" borderId="27" xfId="1" applyNumberFormat="1" applyFont="1" applyFill="1" applyBorder="1" applyAlignment="1" applyProtection="1">
      <alignment horizontal="center"/>
      <protection hidden="1"/>
    </xf>
    <xf numFmtId="167" fontId="16" fillId="0" borderId="28" xfId="1" applyNumberFormat="1" applyFont="1" applyFill="1" applyBorder="1" applyAlignment="1" applyProtection="1">
      <alignment horizontal="center"/>
      <protection hidden="1"/>
    </xf>
    <xf numFmtId="0" fontId="21" fillId="0" borderId="0" xfId="0" applyFont="1" applyAlignment="1" applyProtection="1">
      <alignment horizontal="right"/>
      <protection hidden="1"/>
    </xf>
    <xf numFmtId="0" fontId="21" fillId="0" borderId="12" xfId="0" applyFont="1" applyBorder="1" applyAlignment="1" applyProtection="1">
      <alignment horizontal="right"/>
      <protection hidden="1"/>
    </xf>
    <xf numFmtId="0" fontId="23" fillId="0" borderId="0" xfId="0" applyFont="1" applyAlignment="1" applyProtection="1">
      <alignment horizontal="left"/>
      <protection hidden="1"/>
    </xf>
    <xf numFmtId="0" fontId="5" fillId="2" borderId="21" xfId="0" applyFont="1" applyFill="1" applyBorder="1" applyAlignment="1" applyProtection="1">
      <alignment horizontal="center"/>
      <protection locked="0"/>
    </xf>
    <xf numFmtId="0" fontId="5" fillId="2" borderId="32" xfId="0" applyFont="1" applyFill="1" applyBorder="1" applyAlignment="1" applyProtection="1">
      <alignment horizontal="center"/>
      <protection locked="0"/>
    </xf>
    <xf numFmtId="0" fontId="24" fillId="0" borderId="13" xfId="0" applyFont="1" applyBorder="1" applyAlignment="1" applyProtection="1">
      <alignment horizontal="center"/>
      <protection hidden="1"/>
    </xf>
    <xf numFmtId="0" fontId="24" fillId="0" borderId="15" xfId="0" applyFont="1" applyBorder="1" applyAlignment="1" applyProtection="1">
      <alignment horizontal="center"/>
      <protection hidden="1"/>
    </xf>
    <xf numFmtId="0" fontId="5" fillId="0" borderId="0" xfId="0" applyFont="1" applyAlignment="1" applyProtection="1">
      <alignment horizontal="right"/>
      <protection hidden="1"/>
    </xf>
    <xf numFmtId="0" fontId="24" fillId="2" borderId="37" xfId="0" applyFont="1" applyFill="1" applyBorder="1" applyAlignment="1" applyProtection="1">
      <alignment horizontal="center"/>
      <protection hidden="1"/>
    </xf>
    <xf numFmtId="0" fontId="5" fillId="2" borderId="34" xfId="0" applyFont="1" applyFill="1" applyBorder="1" applyAlignment="1" applyProtection="1">
      <alignment horizontal="center"/>
      <protection locked="0"/>
    </xf>
    <xf numFmtId="2" fontId="0" fillId="0" borderId="3" xfId="0" applyNumberFormat="1" applyBorder="1" applyAlignment="1" applyProtection="1">
      <alignment horizontal="center"/>
      <protection locked="0"/>
    </xf>
    <xf numFmtId="2" fontId="0" fillId="0" borderId="21" xfId="0" applyNumberFormat="1" applyBorder="1" applyAlignment="1" applyProtection="1">
      <alignment horizontal="center"/>
      <protection locked="0"/>
    </xf>
    <xf numFmtId="0" fontId="17" fillId="2" borderId="16" xfId="0" applyFont="1" applyFill="1" applyBorder="1" applyAlignment="1" applyProtection="1">
      <alignment horizontal="left"/>
      <protection hidden="1"/>
    </xf>
    <xf numFmtId="0" fontId="17" fillId="2" borderId="17" xfId="0" applyFont="1" applyFill="1" applyBorder="1" applyAlignment="1" applyProtection="1">
      <alignment horizontal="left"/>
      <protection hidden="1"/>
    </xf>
    <xf numFmtId="0" fontId="17" fillId="2" borderId="18" xfId="0" applyFont="1" applyFill="1" applyBorder="1" applyAlignment="1" applyProtection="1">
      <alignment horizontal="left"/>
      <protection hidden="1"/>
    </xf>
    <xf numFmtId="0" fontId="17" fillId="0" borderId="16" xfId="0" applyFont="1" applyBorder="1" applyAlignment="1" applyProtection="1">
      <alignment horizontal="left"/>
      <protection locked="0"/>
    </xf>
    <xf numFmtId="0" fontId="17" fillId="0" borderId="17" xfId="0" applyFont="1" applyBorder="1" applyAlignment="1" applyProtection="1">
      <alignment horizontal="left"/>
      <protection locked="0"/>
    </xf>
    <xf numFmtId="0" fontId="17" fillId="0" borderId="18" xfId="0" applyFont="1" applyBorder="1" applyAlignment="1" applyProtection="1">
      <alignment horizontal="left"/>
      <protection locked="0"/>
    </xf>
    <xf numFmtId="1" fontId="0" fillId="2" borderId="3" xfId="0" applyNumberFormat="1" applyFill="1" applyBorder="1" applyAlignment="1" applyProtection="1">
      <alignment horizontal="center"/>
      <protection hidden="1"/>
    </xf>
    <xf numFmtId="1" fontId="0" fillId="2" borderId="21" xfId="0" applyNumberFormat="1" applyFill="1" applyBorder="1" applyAlignment="1" applyProtection="1">
      <alignment horizontal="center"/>
      <protection hidden="1"/>
    </xf>
    <xf numFmtId="2" fontId="0" fillId="0" borderId="25" xfId="0" applyNumberFormat="1" applyBorder="1" applyAlignment="1" applyProtection="1">
      <alignment horizontal="center"/>
      <protection locked="0"/>
    </xf>
    <xf numFmtId="2" fontId="0" fillId="0" borderId="18" xfId="0" applyNumberFormat="1" applyBorder="1" applyAlignment="1" applyProtection="1">
      <alignment horizontal="center"/>
      <protection locked="0"/>
    </xf>
    <xf numFmtId="2" fontId="0" fillId="2" borderId="25" xfId="0" applyNumberFormat="1" applyFill="1" applyBorder="1" applyAlignment="1" applyProtection="1">
      <alignment horizontal="center"/>
      <protection hidden="1"/>
    </xf>
    <xf numFmtId="2" fontId="0" fillId="2" borderId="18" xfId="0" applyNumberFormat="1" applyFill="1" applyBorder="1" applyAlignment="1" applyProtection="1">
      <alignment horizontal="center"/>
      <protection hidden="1"/>
    </xf>
    <xf numFmtId="1" fontId="0" fillId="2" borderId="25" xfId="0" applyNumberFormat="1" applyFill="1" applyBorder="1" applyAlignment="1" applyProtection="1">
      <alignment horizontal="center"/>
      <protection hidden="1"/>
    </xf>
    <xf numFmtId="1" fontId="0" fillId="2" borderId="18" xfId="0" applyNumberFormat="1" applyFill="1" applyBorder="1" applyAlignment="1" applyProtection="1">
      <alignment horizontal="center"/>
      <protection hidden="1"/>
    </xf>
    <xf numFmtId="49" fontId="3" fillId="0" borderId="17" xfId="0" applyNumberFormat="1" applyFont="1" applyBorder="1" applyAlignment="1" applyProtection="1">
      <alignment horizontal="left"/>
      <protection locked="0"/>
    </xf>
    <xf numFmtId="49" fontId="2" fillId="0" borderId="17" xfId="0" applyNumberFormat="1" applyFont="1" applyBorder="1" applyAlignment="1" applyProtection="1">
      <alignment horizontal="left"/>
      <protection locked="0"/>
    </xf>
    <xf numFmtId="2" fontId="0" fillId="0" borderId="3" xfId="0" applyNumberFormat="1" applyBorder="1" applyAlignment="1" applyProtection="1">
      <alignment horizontal="center"/>
      <protection locked="0" hidden="1"/>
    </xf>
    <xf numFmtId="2" fontId="0" fillId="0" borderId="21" xfId="0" applyNumberFormat="1" applyBorder="1" applyAlignment="1" applyProtection="1">
      <alignment horizontal="center"/>
      <protection locked="0" hidden="1"/>
    </xf>
    <xf numFmtId="0" fontId="17" fillId="0" borderId="16" xfId="0" applyFont="1" applyBorder="1" applyAlignment="1" applyProtection="1">
      <alignment horizontal="left"/>
      <protection locked="0" hidden="1"/>
    </xf>
    <xf numFmtId="0" fontId="17" fillId="0" borderId="17" xfId="0" applyFont="1" applyBorder="1" applyAlignment="1" applyProtection="1">
      <alignment horizontal="left"/>
      <protection locked="0" hidden="1"/>
    </xf>
    <xf numFmtId="0" fontId="17" fillId="0" borderId="18" xfId="0" applyFont="1" applyBorder="1" applyAlignment="1" applyProtection="1">
      <alignment horizontal="left"/>
      <protection locked="0" hidden="1"/>
    </xf>
    <xf numFmtId="2" fontId="0" fillId="0" borderId="25" xfId="0" applyNumberFormat="1" applyBorder="1" applyAlignment="1" applyProtection="1">
      <alignment horizontal="center"/>
      <protection locked="0" hidden="1"/>
    </xf>
    <xf numFmtId="2" fontId="0" fillId="0" borderId="18" xfId="0" applyNumberFormat="1" applyBorder="1" applyAlignment="1" applyProtection="1">
      <alignment horizontal="center"/>
      <protection locked="0" hidden="1"/>
    </xf>
    <xf numFmtId="1" fontId="0" fillId="0" borderId="25" xfId="0" applyNumberFormat="1" applyBorder="1" applyAlignment="1" applyProtection="1">
      <alignment horizontal="center"/>
      <protection locked="0" hidden="1"/>
    </xf>
    <xf numFmtId="1" fontId="0" fillId="0" borderId="18" xfId="0" applyNumberFormat="1" applyBorder="1" applyAlignment="1" applyProtection="1">
      <alignment horizontal="center"/>
      <protection locked="0" hidden="1"/>
    </xf>
    <xf numFmtId="1" fontId="0" fillId="0" borderId="3" xfId="0" applyNumberFormat="1" applyBorder="1" applyAlignment="1" applyProtection="1">
      <alignment horizontal="center"/>
      <protection locked="0" hidden="1"/>
    </xf>
    <xf numFmtId="1" fontId="0" fillId="0" borderId="21" xfId="0" applyNumberFormat="1" applyBorder="1" applyAlignment="1" applyProtection="1">
      <alignment horizontal="center"/>
      <protection locked="0" hidden="1"/>
    </xf>
    <xf numFmtId="49" fontId="17" fillId="0" borderId="17" xfId="0" applyNumberFormat="1" applyFont="1" applyBorder="1" applyAlignment="1" applyProtection="1">
      <alignment horizontal="left"/>
      <protection locked="0" hidden="1"/>
    </xf>
    <xf numFmtId="49" fontId="15" fillId="0" borderId="17" xfId="0" applyNumberFormat="1" applyFont="1" applyBorder="1" applyAlignment="1" applyProtection="1">
      <alignment horizontal="left"/>
      <protection locked="0" hidden="1"/>
    </xf>
    <xf numFmtId="49" fontId="15" fillId="0" borderId="18" xfId="0" applyNumberFormat="1" applyFont="1" applyBorder="1" applyAlignment="1" applyProtection="1">
      <alignment horizontal="left"/>
      <protection locked="0" hidden="1"/>
    </xf>
    <xf numFmtId="49" fontId="17" fillId="0" borderId="21" xfId="0" applyNumberFormat="1" applyFont="1" applyBorder="1" applyAlignment="1" applyProtection="1">
      <alignment horizontal="left"/>
      <protection locked="0" hidden="1"/>
    </xf>
    <xf numFmtId="49" fontId="21" fillId="0" borderId="21" xfId="0" applyNumberFormat="1" applyFont="1" applyBorder="1" applyAlignment="1" applyProtection="1">
      <alignment horizontal="left"/>
      <protection locked="0" hidden="1"/>
    </xf>
    <xf numFmtId="49" fontId="21" fillId="0" borderId="17" xfId="0" applyNumberFormat="1" applyFont="1" applyBorder="1" applyAlignment="1" applyProtection="1">
      <alignment horizontal="left"/>
      <protection locked="0" hidden="1"/>
    </xf>
    <xf numFmtId="49" fontId="21" fillId="0" borderId="18" xfId="0" applyNumberFormat="1" applyFont="1" applyBorder="1" applyAlignment="1" applyProtection="1">
      <alignment horizontal="left"/>
      <protection locked="0" hidden="1"/>
    </xf>
    <xf numFmtId="49" fontId="17" fillId="0" borderId="18" xfId="0" applyNumberFormat="1" applyFont="1" applyBorder="1" applyAlignment="1" applyProtection="1">
      <alignment horizontal="left"/>
      <protection locked="0" hidden="1"/>
    </xf>
    <xf numFmtId="1" fontId="0" fillId="0" borderId="3" xfId="0" applyNumberFormat="1" applyBorder="1" applyAlignment="1" applyProtection="1">
      <alignment horizontal="center"/>
      <protection locked="0"/>
    </xf>
    <xf numFmtId="1" fontId="0" fillId="0" borderId="21" xfId="0" applyNumberFormat="1" applyBorder="1" applyAlignment="1" applyProtection="1">
      <alignment horizontal="center"/>
      <protection locked="0"/>
    </xf>
    <xf numFmtId="2" fontId="0" fillId="0" borderId="43" xfId="0" applyNumberFormat="1" applyBorder="1" applyAlignment="1" applyProtection="1">
      <alignment horizontal="center"/>
      <protection locked="0"/>
    </xf>
    <xf numFmtId="2" fontId="0" fillId="0" borderId="26" xfId="0" applyNumberFormat="1" applyBorder="1" applyAlignment="1" applyProtection="1">
      <alignment horizontal="center"/>
      <protection locked="0"/>
    </xf>
    <xf numFmtId="171" fontId="16" fillId="0" borderId="27" xfId="1" applyNumberFormat="1" applyFont="1" applyBorder="1" applyAlignment="1" applyProtection="1">
      <alignment horizontal="center"/>
      <protection hidden="1"/>
    </xf>
    <xf numFmtId="171" fontId="16" fillId="0" borderId="59" xfId="1" applyNumberFormat="1" applyFont="1" applyBorder="1" applyAlignment="1" applyProtection="1">
      <alignment horizontal="center"/>
      <protection hidden="1"/>
    </xf>
    <xf numFmtId="171" fontId="16" fillId="0" borderId="28" xfId="1" applyNumberFormat="1" applyFont="1" applyBorder="1" applyAlignment="1" applyProtection="1">
      <alignment horizontal="center"/>
      <protection hidden="1"/>
    </xf>
    <xf numFmtId="0" fontId="21" fillId="2" borderId="34" xfId="0" applyFont="1" applyFill="1" applyBorder="1" applyAlignment="1" applyProtection="1">
      <alignment horizontal="center"/>
      <protection locked="0"/>
    </xf>
    <xf numFmtId="0" fontId="21" fillId="2" borderId="51" xfId="0" applyFont="1" applyFill="1" applyBorder="1" applyAlignment="1" applyProtection="1">
      <alignment horizontal="center"/>
      <protection locked="0"/>
    </xf>
    <xf numFmtId="0" fontId="24" fillId="2" borderId="13" xfId="0" applyFont="1" applyFill="1" applyBorder="1" applyAlignment="1" applyProtection="1">
      <alignment horizontal="center"/>
      <protection hidden="1"/>
    </xf>
    <xf numFmtId="0" fontId="24" fillId="2" borderId="15" xfId="0" applyFont="1" applyFill="1" applyBorder="1" applyAlignment="1" applyProtection="1">
      <alignment horizontal="center"/>
      <protection hidden="1"/>
    </xf>
    <xf numFmtId="0" fontId="24" fillId="2" borderId="23" xfId="0" applyFont="1" applyFill="1" applyBorder="1" applyAlignment="1" applyProtection="1">
      <alignment horizontal="center"/>
      <protection hidden="1"/>
    </xf>
    <xf numFmtId="0" fontId="21" fillId="2" borderId="69" xfId="0" applyFont="1" applyFill="1" applyBorder="1" applyAlignment="1" applyProtection="1">
      <alignment horizontal="center"/>
      <protection locked="0"/>
    </xf>
    <xf numFmtId="2" fontId="0" fillId="0" borderId="25" xfId="0" applyNumberFormat="1" applyBorder="1" applyAlignment="1" applyProtection="1">
      <alignment horizontal="center"/>
      <protection hidden="1"/>
    </xf>
    <xf numFmtId="2" fontId="0" fillId="0" borderId="18" xfId="0" applyNumberFormat="1" applyBorder="1" applyAlignment="1" applyProtection="1">
      <alignment horizontal="center"/>
      <protection hidden="1"/>
    </xf>
    <xf numFmtId="0" fontId="17" fillId="0" borderId="16" xfId="0" applyFont="1" applyBorder="1" applyAlignment="1" applyProtection="1">
      <alignment horizontal="left"/>
      <protection hidden="1"/>
    </xf>
    <xf numFmtId="1" fontId="0" fillId="0" borderId="3" xfId="0" applyNumberFormat="1" applyBorder="1" applyAlignment="1" applyProtection="1">
      <alignment horizontal="center"/>
      <protection hidden="1"/>
    </xf>
    <xf numFmtId="1" fontId="0" fillId="0" borderId="21" xfId="0" applyNumberFormat="1" applyBorder="1" applyAlignment="1" applyProtection="1">
      <alignment horizontal="center"/>
      <protection hidden="1"/>
    </xf>
    <xf numFmtId="49" fontId="15" fillId="0" borderId="17" xfId="0" applyNumberFormat="1" applyFont="1" applyBorder="1" applyAlignment="1" applyProtection="1">
      <alignment horizontal="center"/>
      <protection locked="0"/>
    </xf>
    <xf numFmtId="0" fontId="18" fillId="2" borderId="16" xfId="0" applyFont="1" applyFill="1" applyBorder="1" applyAlignment="1" applyProtection="1">
      <alignment horizontal="left"/>
      <protection locked="0"/>
    </xf>
    <xf numFmtId="0" fontId="18" fillId="2" borderId="17" xfId="0" applyFont="1" applyFill="1" applyBorder="1" applyAlignment="1" applyProtection="1">
      <alignment horizontal="left"/>
      <protection locked="0"/>
    </xf>
    <xf numFmtId="0" fontId="18" fillId="2" borderId="18" xfId="0" applyFont="1" applyFill="1" applyBorder="1" applyAlignment="1" applyProtection="1">
      <alignment horizontal="left"/>
      <protection locked="0"/>
    </xf>
    <xf numFmtId="2" fontId="0" fillId="0" borderId="3" xfId="0" applyNumberFormat="1" applyBorder="1" applyAlignment="1" applyProtection="1">
      <alignment horizontal="center"/>
      <protection hidden="1"/>
    </xf>
    <xf numFmtId="2" fontId="0" fillId="0" borderId="21" xfId="0" applyNumberFormat="1" applyBorder="1" applyAlignment="1" applyProtection="1">
      <alignment horizontal="center"/>
      <protection hidden="1"/>
    </xf>
    <xf numFmtId="4" fontId="0" fillId="0" borderId="66" xfId="0" applyNumberFormat="1" applyBorder="1" applyAlignment="1" applyProtection="1">
      <alignment horizontal="center"/>
      <protection locked="0"/>
    </xf>
    <xf numFmtId="4" fontId="0" fillId="0" borderId="58" xfId="0" applyNumberFormat="1" applyBorder="1" applyAlignment="1" applyProtection="1">
      <alignment horizontal="center"/>
      <protection locked="0"/>
    </xf>
    <xf numFmtId="49" fontId="17" fillId="0" borderId="56" xfId="0" applyNumberFormat="1" applyFont="1" applyBorder="1" applyAlignment="1" applyProtection="1">
      <alignment horizontal="left"/>
      <protection locked="0"/>
    </xf>
    <xf numFmtId="49" fontId="17" fillId="0" borderId="57" xfId="0" applyNumberFormat="1" applyFont="1" applyBorder="1" applyAlignment="1" applyProtection="1">
      <alignment horizontal="left"/>
      <protection locked="0"/>
    </xf>
    <xf numFmtId="49" fontId="17" fillId="0" borderId="58" xfId="0" applyNumberFormat="1" applyFont="1" applyBorder="1" applyAlignment="1" applyProtection="1">
      <alignment horizontal="left"/>
      <protection locked="0"/>
    </xf>
    <xf numFmtId="1" fontId="0" fillId="0" borderId="16" xfId="0" applyNumberFormat="1" applyBorder="1" applyAlignment="1" applyProtection="1">
      <alignment horizontal="left"/>
      <protection locked="0"/>
    </xf>
    <xf numFmtId="1" fontId="0" fillId="0" borderId="17" xfId="0" applyNumberFormat="1" applyBorder="1" applyAlignment="1" applyProtection="1">
      <alignment horizontal="left"/>
      <protection locked="0"/>
    </xf>
    <xf numFmtId="1" fontId="0" fillId="0" borderId="18" xfId="0" applyNumberFormat="1" applyBorder="1" applyAlignment="1" applyProtection="1">
      <alignment horizontal="left"/>
      <protection locked="0"/>
    </xf>
    <xf numFmtId="44" fontId="16" fillId="0" borderId="13" xfId="1" applyFont="1" applyBorder="1" applyAlignment="1" applyProtection="1">
      <alignment horizontal="left"/>
      <protection hidden="1"/>
    </xf>
    <xf numFmtId="44" fontId="16" fillId="0" borderId="14" xfId="1" applyFont="1" applyBorder="1" applyAlignment="1" applyProtection="1">
      <alignment horizontal="left"/>
      <protection hidden="1"/>
    </xf>
    <xf numFmtId="44" fontId="16" fillId="0" borderId="15" xfId="1" applyFont="1" applyBorder="1" applyAlignment="1" applyProtection="1">
      <alignment horizontal="left"/>
      <protection hidden="1"/>
    </xf>
    <xf numFmtId="167" fontId="16" fillId="0" borderId="13" xfId="1" applyNumberFormat="1" applyFont="1" applyBorder="1" applyAlignment="1" applyProtection="1">
      <alignment horizontal="center"/>
      <protection hidden="1"/>
    </xf>
    <xf numFmtId="167" fontId="16" fillId="0" borderId="15" xfId="1" applyNumberFormat="1" applyFont="1" applyBorder="1" applyAlignment="1" applyProtection="1">
      <alignment horizontal="center"/>
      <protection hidden="1"/>
    </xf>
    <xf numFmtId="44" fontId="34" fillId="0" borderId="13" xfId="1" applyFont="1" applyBorder="1" applyAlignment="1" applyProtection="1">
      <alignment horizontal="center"/>
      <protection hidden="1"/>
    </xf>
    <xf numFmtId="44" fontId="34" fillId="0" borderId="15" xfId="1" applyFont="1" applyBorder="1" applyAlignment="1" applyProtection="1">
      <alignment horizontal="center"/>
      <protection hidden="1"/>
    </xf>
    <xf numFmtId="0" fontId="18" fillId="2" borderId="16" xfId="0" applyFont="1" applyFill="1" applyBorder="1" applyAlignment="1" applyProtection="1">
      <alignment horizontal="left" wrapText="1"/>
      <protection hidden="1"/>
    </xf>
    <xf numFmtId="0" fontId="18" fillId="2" borderId="17" xfId="0" applyFont="1" applyFill="1" applyBorder="1" applyAlignment="1" applyProtection="1">
      <alignment horizontal="left" wrapText="1"/>
      <protection hidden="1"/>
    </xf>
    <xf numFmtId="0" fontId="18" fillId="2" borderId="18" xfId="0" applyFont="1" applyFill="1" applyBorder="1" applyAlignment="1" applyProtection="1">
      <alignment horizontal="left" wrapText="1"/>
      <protection hidden="1"/>
    </xf>
    <xf numFmtId="0" fontId="17" fillId="3" borderId="16" xfId="0" applyFont="1" applyFill="1" applyBorder="1" applyProtection="1">
      <protection hidden="1"/>
    </xf>
    <xf numFmtId="0" fontId="17" fillId="3" borderId="17" xfId="0" applyFont="1" applyFill="1" applyBorder="1" applyProtection="1">
      <protection hidden="1"/>
    </xf>
    <xf numFmtId="0" fontId="17" fillId="3" borderId="18" xfId="0" applyFont="1" applyFill="1" applyBorder="1" applyProtection="1">
      <protection hidden="1"/>
    </xf>
    <xf numFmtId="4" fontId="0" fillId="3" borderId="25" xfId="0" applyNumberFormat="1" applyFill="1" applyBorder="1" applyAlignment="1" applyProtection="1">
      <alignment horizontal="center"/>
      <protection hidden="1"/>
    </xf>
    <xf numFmtId="4" fontId="0" fillId="3" borderId="18" xfId="0" applyNumberFormat="1" applyFill="1" applyBorder="1" applyAlignment="1" applyProtection="1">
      <alignment horizontal="center"/>
      <protection hidden="1"/>
    </xf>
    <xf numFmtId="2" fontId="0" fillId="3" borderId="25" xfId="0" applyNumberFormat="1" applyFill="1" applyBorder="1" applyAlignment="1" applyProtection="1">
      <alignment horizontal="center"/>
      <protection hidden="1"/>
    </xf>
    <xf numFmtId="2" fontId="0" fillId="3" borderId="18" xfId="0" applyNumberFormat="1" applyFill="1" applyBorder="1" applyAlignment="1" applyProtection="1">
      <alignment horizontal="center"/>
      <protection hidden="1"/>
    </xf>
    <xf numFmtId="49" fontId="17" fillId="0" borderId="21" xfId="0" applyNumberFormat="1" applyFont="1" applyBorder="1" applyProtection="1">
      <protection locked="0"/>
    </xf>
    <xf numFmtId="0" fontId="65" fillId="3" borderId="16" xfId="0" applyFont="1" applyFill="1" applyBorder="1" applyAlignment="1" applyProtection="1">
      <alignment horizontal="left"/>
      <protection hidden="1"/>
    </xf>
    <xf numFmtId="0" fontId="65" fillId="3" borderId="17" xfId="0" applyFont="1" applyFill="1" applyBorder="1" applyAlignment="1" applyProtection="1">
      <alignment horizontal="left"/>
      <protection hidden="1"/>
    </xf>
    <xf numFmtId="0" fontId="65" fillId="3" borderId="18" xfId="0" applyFont="1" applyFill="1" applyBorder="1" applyAlignment="1" applyProtection="1">
      <alignment horizontal="left"/>
      <protection hidden="1"/>
    </xf>
    <xf numFmtId="49" fontId="1" fillId="0" borderId="17" xfId="0" applyNumberFormat="1" applyFont="1" applyBorder="1" applyAlignment="1" applyProtection="1">
      <alignment horizontal="left"/>
      <protection locked="0"/>
    </xf>
    <xf numFmtId="4" fontId="0" fillId="3" borderId="3" xfId="0" applyNumberFormat="1" applyFill="1" applyBorder="1" applyAlignment="1" applyProtection="1">
      <alignment horizontal="center"/>
      <protection hidden="1"/>
    </xf>
    <xf numFmtId="4" fontId="0" fillId="3" borderId="21" xfId="0" applyNumberFormat="1" applyFill="1" applyBorder="1" applyAlignment="1" applyProtection="1">
      <alignment horizontal="center"/>
      <protection hidden="1"/>
    </xf>
    <xf numFmtId="0" fontId="15" fillId="0" borderId="17" xfId="0" applyFont="1" applyBorder="1" applyAlignment="1" applyProtection="1">
      <alignment horizontal="left"/>
      <protection locked="0"/>
    </xf>
    <xf numFmtId="0" fontId="15" fillId="0" borderId="18" xfId="0" applyFont="1" applyBorder="1" applyAlignment="1" applyProtection="1">
      <alignment horizontal="left"/>
      <protection locked="0"/>
    </xf>
    <xf numFmtId="0" fontId="18" fillId="0" borderId="16" xfId="0" applyFont="1" applyBorder="1" applyAlignment="1">
      <alignment horizontal="left" wrapText="1"/>
    </xf>
    <xf numFmtId="0" fontId="18" fillId="0" borderId="17" xfId="0" applyFont="1" applyBorder="1" applyAlignment="1">
      <alignment horizontal="left" wrapText="1"/>
    </xf>
    <xf numFmtId="0" fontId="18" fillId="0" borderId="18" xfId="0" applyFont="1" applyBorder="1" applyAlignment="1">
      <alignment horizontal="left" wrapText="1"/>
    </xf>
    <xf numFmtId="44" fontId="16" fillId="0" borderId="0" xfId="1" applyFont="1" applyBorder="1" applyAlignment="1" applyProtection="1">
      <alignment horizontal="left"/>
      <protection hidden="1"/>
    </xf>
    <xf numFmtId="44" fontId="34" fillId="0" borderId="0" xfId="1" applyFont="1" applyBorder="1" applyAlignment="1" applyProtection="1">
      <alignment horizontal="center"/>
      <protection hidden="1"/>
    </xf>
    <xf numFmtId="4" fontId="0" fillId="0" borderId="25" xfId="0" applyNumberFormat="1" applyBorder="1" applyAlignment="1">
      <alignment horizontal="center"/>
    </xf>
    <xf numFmtId="4" fontId="0" fillId="0" borderId="18" xfId="0" applyNumberFormat="1" applyBorder="1" applyAlignment="1">
      <alignment horizontal="center"/>
    </xf>
    <xf numFmtId="0" fontId="17" fillId="0" borderId="16" xfId="0" applyFont="1" applyBorder="1"/>
    <xf numFmtId="0" fontId="17" fillId="0" borderId="17" xfId="0" applyFont="1" applyBorder="1"/>
    <xf numFmtId="0" fontId="17" fillId="0" borderId="18" xfId="0" applyFont="1" applyBorder="1"/>
    <xf numFmtId="4" fontId="0" fillId="0" borderId="66" xfId="0" applyNumberFormat="1" applyBorder="1" applyAlignment="1">
      <alignment horizontal="center"/>
    </xf>
    <xf numFmtId="4" fontId="0" fillId="0" borderId="58" xfId="0" applyNumberFormat="1" applyBorder="1" applyAlignment="1">
      <alignment horizontal="center"/>
    </xf>
    <xf numFmtId="0" fontId="17" fillId="0" borderId="56" xfId="0" applyFont="1" applyBorder="1"/>
    <xf numFmtId="0" fontId="17" fillId="0" borderId="57" xfId="0" applyFont="1" applyBorder="1"/>
    <xf numFmtId="0" fontId="17" fillId="0" borderId="58" xfId="0" applyFont="1" applyBorder="1"/>
    <xf numFmtId="0" fontId="17" fillId="3" borderId="16" xfId="0" applyFont="1" applyFill="1" applyBorder="1" applyAlignment="1" applyProtection="1">
      <alignment horizontal="left"/>
      <protection hidden="1"/>
    </xf>
    <xf numFmtId="0" fontId="17" fillId="3" borderId="17" xfId="0" applyFont="1" applyFill="1" applyBorder="1" applyAlignment="1" applyProtection="1">
      <alignment horizontal="left"/>
      <protection hidden="1"/>
    </xf>
    <xf numFmtId="0" fontId="17" fillId="3" borderId="18" xfId="0" applyFont="1" applyFill="1" applyBorder="1" applyAlignment="1" applyProtection="1">
      <alignment horizontal="left"/>
      <protection hidden="1"/>
    </xf>
    <xf numFmtId="0" fontId="15" fillId="0" borderId="17" xfId="0" applyFont="1" applyBorder="1" applyAlignment="1">
      <alignment horizontal="left"/>
    </xf>
    <xf numFmtId="0" fontId="15" fillId="0" borderId="18" xfId="0" applyFont="1" applyBorder="1" applyAlignment="1">
      <alignment horizontal="left"/>
    </xf>
    <xf numFmtId="0" fontId="17" fillId="0" borderId="17" xfId="0" applyFont="1" applyBorder="1" applyAlignment="1">
      <alignment horizontal="left"/>
    </xf>
    <xf numFmtId="0" fontId="48" fillId="0" borderId="11" xfId="0" applyFont="1" applyBorder="1" applyAlignment="1" applyProtection="1">
      <alignment horizontal="right" wrapText="1"/>
      <protection hidden="1"/>
    </xf>
    <xf numFmtId="0" fontId="48" fillId="0" borderId="0" xfId="0" applyFont="1" applyAlignment="1" applyProtection="1">
      <alignment horizontal="right" wrapText="1"/>
      <protection hidden="1"/>
    </xf>
    <xf numFmtId="0" fontId="17" fillId="0" borderId="1" xfId="0" applyFont="1" applyBorder="1" applyAlignment="1" applyProtection="1">
      <alignment horizontal="right"/>
      <protection hidden="1"/>
    </xf>
    <xf numFmtId="0" fontId="17" fillId="0" borderId="47" xfId="0" applyFont="1" applyBorder="1" applyAlignment="1" applyProtection="1">
      <alignment horizontal="right"/>
      <protection hidden="1"/>
    </xf>
    <xf numFmtId="164" fontId="17" fillId="0" borderId="32" xfId="1" applyNumberFormat="1" applyFont="1" applyBorder="1" applyAlignment="1" applyProtection="1">
      <alignment horizontal="left"/>
      <protection locked="0"/>
    </xf>
    <xf numFmtId="164" fontId="16" fillId="0" borderId="41" xfId="1" applyNumberFormat="1" applyFont="1" applyBorder="1" applyAlignment="1" applyProtection="1">
      <alignment horizontal="center"/>
      <protection hidden="1"/>
    </xf>
    <xf numFmtId="164" fontId="16" fillId="0" borderId="45" xfId="1" applyNumberFormat="1" applyFont="1" applyBorder="1" applyAlignment="1" applyProtection="1">
      <alignment horizontal="center"/>
      <protection hidden="1"/>
    </xf>
    <xf numFmtId="164" fontId="16" fillId="0" borderId="46" xfId="1" applyNumberFormat="1" applyFont="1" applyBorder="1" applyAlignment="1" applyProtection="1">
      <alignment horizontal="center"/>
      <protection hidden="1"/>
    </xf>
    <xf numFmtId="0" fontId="16" fillId="0" borderId="52" xfId="0" applyFont="1" applyBorder="1" applyAlignment="1" applyProtection="1">
      <alignment horizontal="right"/>
      <protection hidden="1"/>
    </xf>
    <xf numFmtId="0" fontId="16" fillId="0" borderId="51" xfId="0" applyFont="1" applyBorder="1" applyAlignment="1" applyProtection="1">
      <alignment horizontal="right"/>
      <protection hidden="1"/>
    </xf>
    <xf numFmtId="0" fontId="16" fillId="0" borderId="53" xfId="0" applyFont="1" applyBorder="1" applyAlignment="1" applyProtection="1">
      <alignment horizontal="right"/>
      <protection hidden="1"/>
    </xf>
    <xf numFmtId="0" fontId="19" fillId="0" borderId="48" xfId="0" applyFont="1" applyBorder="1" applyAlignment="1" applyProtection="1">
      <alignment horizontal="right"/>
      <protection hidden="1"/>
    </xf>
    <xf numFmtId="0" fontId="19" fillId="0" borderId="49" xfId="0" applyFont="1" applyBorder="1" applyAlignment="1" applyProtection="1">
      <alignment horizontal="right"/>
      <protection hidden="1"/>
    </xf>
    <xf numFmtId="0" fontId="19" fillId="0" borderId="50" xfId="0" applyFont="1" applyBorder="1" applyAlignment="1" applyProtection="1">
      <alignment horizontal="right"/>
      <protection hidden="1"/>
    </xf>
    <xf numFmtId="0" fontId="17" fillId="0" borderId="60" xfId="0" applyFont="1" applyBorder="1" applyAlignment="1" applyProtection="1">
      <alignment horizontal="left"/>
      <protection locked="0"/>
    </xf>
    <xf numFmtId="2" fontId="0" fillId="0" borderId="54" xfId="0" applyNumberFormat="1" applyBorder="1" applyAlignment="1" applyProtection="1">
      <alignment horizontal="center"/>
      <protection locked="0"/>
    </xf>
    <xf numFmtId="2" fontId="0" fillId="0" borderId="55" xfId="0" applyNumberFormat="1" applyBorder="1" applyAlignment="1" applyProtection="1">
      <alignment horizontal="center"/>
      <protection locked="0"/>
    </xf>
    <xf numFmtId="164" fontId="17" fillId="0" borderId="34" xfId="1" applyNumberFormat="1" applyFont="1" applyBorder="1" applyAlignment="1" applyProtection="1">
      <alignment horizontal="left"/>
      <protection locked="0"/>
    </xf>
    <xf numFmtId="164" fontId="17" fillId="0" borderId="21" xfId="1" applyNumberFormat="1" applyFont="1" applyBorder="1" applyAlignment="1" applyProtection="1">
      <alignment horizontal="left"/>
      <protection locked="0"/>
    </xf>
    <xf numFmtId="0" fontId="17" fillId="0" borderId="5" xfId="0" applyFont="1" applyBorder="1" applyAlignment="1" applyProtection="1">
      <alignment horizontal="right"/>
      <protection hidden="1"/>
    </xf>
    <xf numFmtId="0" fontId="17" fillId="0" borderId="32" xfId="0" applyFont="1" applyBorder="1" applyAlignment="1" applyProtection="1">
      <alignment horizontal="right"/>
      <protection hidden="1"/>
    </xf>
    <xf numFmtId="0" fontId="16" fillId="0" borderId="1" xfId="0" applyFont="1" applyBorder="1" applyAlignment="1" applyProtection="1">
      <alignment horizontal="center"/>
      <protection hidden="1"/>
    </xf>
    <xf numFmtId="0" fontId="16" fillId="0" borderId="47" xfId="0" applyFont="1" applyBorder="1" applyAlignment="1" applyProtection="1">
      <alignment horizontal="center"/>
      <protection hidden="1"/>
    </xf>
    <xf numFmtId="172" fontId="15" fillId="0" borderId="17" xfId="0" applyNumberFormat="1" applyFont="1" applyBorder="1" applyAlignment="1" applyProtection="1">
      <alignment horizontal="left"/>
      <protection locked="0"/>
    </xf>
    <xf numFmtId="0" fontId="17" fillId="0" borderId="21" xfId="0" applyFont="1" applyBorder="1" applyAlignment="1">
      <alignment horizontal="left"/>
    </xf>
    <xf numFmtId="49" fontId="66" fillId="0" borderId="0" xfId="0" applyNumberFormat="1" applyFont="1" applyAlignment="1" applyProtection="1">
      <alignment horizontal="center"/>
      <protection hidden="1"/>
    </xf>
    <xf numFmtId="49" fontId="66" fillId="0" borderId="12" xfId="0" applyNumberFormat="1" applyFont="1" applyBorder="1" applyAlignment="1" applyProtection="1">
      <alignment horizontal="center"/>
      <protection hidden="1"/>
    </xf>
    <xf numFmtId="0" fontId="15" fillId="0" borderId="1" xfId="0" applyFont="1" applyBorder="1" applyAlignment="1">
      <alignment horizontal="left"/>
    </xf>
    <xf numFmtId="0" fontId="15" fillId="0" borderId="47" xfId="0" applyFont="1" applyBorder="1" applyAlignment="1">
      <alignment horizontal="left"/>
    </xf>
    <xf numFmtId="0" fontId="15" fillId="0" borderId="2" xfId="0" applyFont="1" applyBorder="1" applyAlignment="1">
      <alignment horizontal="left"/>
    </xf>
    <xf numFmtId="0" fontId="15" fillId="0" borderId="3" xfId="0" applyFont="1" applyBorder="1" applyAlignment="1" applyProtection="1">
      <alignment horizontal="left"/>
      <protection locked="0"/>
    </xf>
    <xf numFmtId="0" fontId="15" fillId="0" borderId="21" xfId="0" applyFont="1" applyBorder="1" applyAlignment="1" applyProtection="1">
      <alignment horizontal="left"/>
      <protection locked="0"/>
    </xf>
    <xf numFmtId="0" fontId="15" fillId="0" borderId="4" xfId="0" applyFont="1" applyBorder="1" applyAlignment="1" applyProtection="1">
      <alignment horizontal="left"/>
      <protection locked="0"/>
    </xf>
    <xf numFmtId="49" fontId="15" fillId="0" borderId="3" xfId="0" applyNumberFormat="1" applyFont="1" applyBorder="1" applyAlignment="1" applyProtection="1">
      <alignment horizontal="left"/>
      <protection locked="0"/>
    </xf>
    <xf numFmtId="49" fontId="15" fillId="0" borderId="21" xfId="0" applyNumberFormat="1" applyFont="1" applyBorder="1" applyAlignment="1" applyProtection="1">
      <alignment horizontal="left"/>
      <protection locked="0"/>
    </xf>
    <xf numFmtId="49" fontId="15" fillId="0" borderId="4" xfId="0" applyNumberFormat="1" applyFont="1" applyBorder="1" applyAlignment="1" applyProtection="1">
      <alignment horizontal="left"/>
      <protection locked="0"/>
    </xf>
    <xf numFmtId="49" fontId="15" fillId="0" borderId="5" xfId="0" applyNumberFormat="1" applyFont="1" applyBorder="1" applyAlignment="1" applyProtection="1">
      <alignment horizontal="left"/>
      <protection locked="0"/>
    </xf>
    <xf numFmtId="49" fontId="15" fillId="0" borderId="32" xfId="0" applyNumberFormat="1" applyFont="1" applyBorder="1" applyAlignment="1" applyProtection="1">
      <alignment horizontal="left"/>
      <protection locked="0"/>
    </xf>
    <xf numFmtId="49" fontId="15" fillId="0" borderId="6" xfId="0" applyNumberFormat="1" applyFont="1" applyBorder="1" applyAlignment="1" applyProtection="1">
      <alignment horizontal="left"/>
      <protection locked="0"/>
    </xf>
    <xf numFmtId="0" fontId="17" fillId="0" borderId="26" xfId="0" applyFont="1" applyBorder="1" applyAlignment="1" applyProtection="1">
      <alignment horizontal="center"/>
      <protection hidden="1"/>
    </xf>
    <xf numFmtId="0" fontId="17" fillId="0" borderId="21" xfId="0" applyFont="1" applyBorder="1" applyAlignment="1" applyProtection="1">
      <alignment horizontal="left" vertical="top"/>
      <protection locked="0"/>
    </xf>
    <xf numFmtId="0" fontId="18" fillId="0" borderId="21" xfId="0" applyFont="1" applyBorder="1" applyAlignment="1">
      <alignment horizontal="center"/>
    </xf>
    <xf numFmtId="0" fontId="16" fillId="0" borderId="67" xfId="0" applyFont="1" applyBorder="1" applyAlignment="1" applyProtection="1">
      <alignment horizontal="center"/>
      <protection hidden="1"/>
    </xf>
    <xf numFmtId="0" fontId="16" fillId="0" borderId="68" xfId="0" applyFont="1" applyBorder="1" applyAlignment="1" applyProtection="1">
      <alignment horizontal="center"/>
      <protection hidden="1"/>
    </xf>
    <xf numFmtId="49" fontId="17" fillId="0" borderId="21" xfId="0" applyNumberFormat="1" applyFont="1" applyBorder="1" applyAlignment="1" applyProtection="1">
      <alignment horizontal="left" vertical="top"/>
      <protection locked="0"/>
    </xf>
    <xf numFmtId="167" fontId="16" fillId="0" borderId="13" xfId="1" applyNumberFormat="1" applyFont="1" applyBorder="1" applyAlignment="1" applyProtection="1">
      <alignment horizontal="center"/>
    </xf>
    <xf numFmtId="167" fontId="16" fillId="0" borderId="15" xfId="1" applyNumberFormat="1" applyFont="1" applyBorder="1" applyAlignment="1" applyProtection="1">
      <alignment horizontal="center"/>
    </xf>
    <xf numFmtId="10" fontId="17" fillId="0" borderId="21" xfId="0" applyNumberFormat="1" applyFont="1" applyBorder="1" applyAlignment="1" applyProtection="1">
      <alignment horizontal="left" vertical="top"/>
      <protection locked="0"/>
    </xf>
    <xf numFmtId="49" fontId="17" fillId="2" borderId="32" xfId="0" applyNumberFormat="1" applyFont="1" applyFill="1" applyBorder="1" applyAlignment="1" applyProtection="1">
      <alignment horizontal="left" vertical="top"/>
      <protection locked="0"/>
    </xf>
    <xf numFmtId="0" fontId="18" fillId="2" borderId="32" xfId="0" applyFont="1" applyFill="1" applyBorder="1" applyAlignment="1" applyProtection="1">
      <alignment horizontal="center"/>
      <protection locked="0"/>
    </xf>
    <xf numFmtId="176" fontId="15" fillId="0" borderId="17" xfId="0" applyNumberFormat="1" applyFont="1" applyBorder="1" applyAlignment="1" applyProtection="1">
      <alignment horizontal="left"/>
      <protection locked="0"/>
    </xf>
    <xf numFmtId="0" fontId="14" fillId="0" borderId="0" xfId="0" applyFont="1" applyAlignment="1" applyProtection="1">
      <alignment horizontal="center"/>
      <protection hidden="1"/>
    </xf>
    <xf numFmtId="14" fontId="11" fillId="0" borderId="0" xfId="0" applyNumberFormat="1" applyFont="1" applyAlignment="1" applyProtection="1">
      <alignment horizontal="center"/>
      <protection hidden="1"/>
    </xf>
    <xf numFmtId="49" fontId="17" fillId="0" borderId="16" xfId="0" applyNumberFormat="1" applyFont="1" applyBorder="1" applyAlignment="1" applyProtection="1">
      <alignment horizontal="left"/>
      <protection locked="0"/>
    </xf>
    <xf numFmtId="4" fontId="0" fillId="0" borderId="5" xfId="0" applyNumberFormat="1" applyBorder="1" applyAlignment="1" applyProtection="1">
      <alignment horizontal="center"/>
      <protection locked="0"/>
    </xf>
    <xf numFmtId="4" fontId="0" fillId="0" borderId="32" xfId="0" applyNumberFormat="1" applyBorder="1" applyAlignment="1" applyProtection="1">
      <alignment horizontal="center"/>
      <protection locked="0"/>
    </xf>
    <xf numFmtId="16" fontId="17" fillId="0" borderId="16" xfId="0" applyNumberFormat="1" applyFont="1" applyBorder="1" applyAlignment="1" applyProtection="1">
      <alignment horizontal="left"/>
      <protection locked="0"/>
    </xf>
    <xf numFmtId="164" fontId="16" fillId="0" borderId="13" xfId="1" applyNumberFormat="1" applyFont="1" applyBorder="1" applyAlignment="1" applyProtection="1">
      <alignment horizontal="center"/>
      <protection hidden="1"/>
    </xf>
    <xf numFmtId="164" fontId="16" fillId="0" borderId="15" xfId="1" applyNumberFormat="1" applyFont="1" applyBorder="1" applyAlignment="1" applyProtection="1">
      <alignment horizontal="center"/>
      <protection hidden="1"/>
    </xf>
  </cellXfs>
  <cellStyles count="3">
    <cellStyle name="Moeda" xfId="1" builtinId="4"/>
    <cellStyle name="Normal" xfId="0" builtinId="0"/>
    <cellStyle name="Porcentagem" xfId="2" builtinId="5"/>
  </cellStyles>
  <dxfs count="63">
    <dxf>
      <fill>
        <patternFill>
          <bgColor theme="0"/>
        </patternFill>
      </fill>
    </dxf>
    <dxf>
      <font>
        <color theme="1"/>
      </font>
    </dxf>
    <dxf>
      <font>
        <b/>
        <i/>
        <color rgb="FFFF0000"/>
      </font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patternFill>
          <bgColor rgb="FFFF0000"/>
        </patternFill>
      </fill>
    </dxf>
    <dxf>
      <font>
        <b/>
        <i/>
        <color auto="1"/>
      </font>
    </dxf>
    <dxf>
      <font>
        <b/>
        <i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0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5" formatCode="&quot;R$&quot;\ #,##0.00"/>
    </dxf>
    <dxf>
      <numFmt numFmtId="175" formatCode="&quot;R$&quot;\ #,##0.00"/>
    </dxf>
    <dxf>
      <numFmt numFmtId="175" formatCode="&quot;R$&quot;\ #,##0.00"/>
    </dxf>
    <dxf>
      <numFmt numFmtId="175" formatCode="&quot;R$&quot;\ #,##0.00"/>
    </dxf>
    <dxf>
      <numFmt numFmtId="175" formatCode="&quot;R$&quot;\ #,##0.00"/>
    </dxf>
    <dxf>
      <font>
        <color theme="9" tint="0.39994506668294322"/>
      </font>
      <fill>
        <patternFill>
          <bgColor theme="9" tint="0.39994506668294322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ont>
        <b/>
        <i/>
      </font>
      <fill>
        <patternFill>
          <bgColor rgb="FFFF0000"/>
        </patternFill>
      </fill>
    </dxf>
    <dxf>
      <font>
        <b/>
        <i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0"/>
    </dxf>
    <dxf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0"/>
    </dxf>
    <dxf>
      <border outline="0">
        <top style="thin">
          <color rgb="FF9BC2E6"/>
        </top>
      </border>
    </dxf>
    <dxf>
      <border outline="0">
        <left style="thin">
          <color rgb="FF9BC2E6"/>
        </left>
        <top style="thin">
          <color rgb="FF9BC2E6"/>
        </top>
        <bottom style="medium">
          <color rgb="FF000000"/>
        </bottom>
      </border>
    </dxf>
    <dxf>
      <fill>
        <patternFill patternType="none">
          <fgColor rgb="FF000000"/>
          <bgColor auto="1"/>
        </patternFill>
      </fill>
      <protection locked="1" hidden="0"/>
    </dxf>
    <dxf>
      <border outline="0">
        <bottom style="thin">
          <color rgb="FF9BC2E6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protection locked="1" hidden="0"/>
    </dxf>
    <dxf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protection locked="1" hidden="0"/>
    </dxf>
    <dxf>
      <fill>
        <patternFill patternType="none">
          <fgColor indexed="64"/>
          <bgColor auto="1"/>
        </patternFill>
      </fill>
      <protection locked="1" hidden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  <protection locked="1" hidden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protection locked="1" hidden="0"/>
    </dxf>
  </dxfs>
  <tableStyles count="0" defaultTableStyle="TableStyleMedium2" defaultPivotStyle="PivotStyleLight16"/>
  <colors>
    <mruColors>
      <color rgb="FF1EEE28"/>
      <color rgb="FF767171"/>
      <color rgb="FF99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'BANCO DE DADOS 05JUN24'!$N$4</c:f>
              <c:strCache>
                <c:ptCount val="1"/>
                <c:pt idx="0">
                  <c:v>R$/alq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0.25124118986041455"/>
                  <c:y val="-0.3239791830034539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'BANCO DE DADOS 05JUN24'!$M$5:$M$11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7.5</c:v>
                </c:pt>
                <c:pt idx="6">
                  <c:v>10</c:v>
                </c:pt>
              </c:numCache>
            </c:numRef>
          </c:xVal>
          <c:yVal>
            <c:numRef>
              <c:f>'BANCO DE DADOS 05JUN24'!$N$5:$N$11</c:f>
              <c:numCache>
                <c:formatCode>_("R$"* #,##0.00_);_("R$"* \(#,##0.00\);_("R$"* "-"??_);_(@_)</c:formatCode>
                <c:ptCount val="7"/>
                <c:pt idx="0">
                  <c:v>416</c:v>
                </c:pt>
                <c:pt idx="1">
                  <c:v>208</c:v>
                </c:pt>
                <c:pt idx="2">
                  <c:v>137</c:v>
                </c:pt>
                <c:pt idx="3">
                  <c:v>104</c:v>
                </c:pt>
                <c:pt idx="4">
                  <c:v>83</c:v>
                </c:pt>
                <c:pt idx="5">
                  <c:v>55.4</c:v>
                </c:pt>
                <c:pt idx="6">
                  <c:v>49.2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E7-4CAC-8A76-11B7452A55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329392"/>
        <c:axId val="683328080"/>
      </c:scatterChart>
      <c:valAx>
        <c:axId val="683329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3328080"/>
        <c:crosses val="autoZero"/>
        <c:crossBetween val="midCat"/>
      </c:valAx>
      <c:valAx>
        <c:axId val="683328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83329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0.23708510530150287"/>
                  <c:y val="0.1720024077919629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8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'BANCO DE DADOS 05JUN24'!$M$17:$M$19</c:f>
              <c:numCache>
                <c:formatCode>General</c:formatCode>
                <c:ptCount val="3"/>
                <c:pt idx="0">
                  <c:v>1</c:v>
                </c:pt>
                <c:pt idx="1">
                  <c:v>2</c:v>
                </c:pt>
                <c:pt idx="2">
                  <c:v>3</c:v>
                </c:pt>
              </c:numCache>
            </c:numRef>
          </c:xVal>
          <c:yVal>
            <c:numRef>
              <c:f>'BANCO DE DADOS 05JUN24'!$N$17:$N$19</c:f>
              <c:numCache>
                <c:formatCode>_("R$"* #,##0.00_);_("R$"* \(#,##0.00\);_("R$"* "-"??_);_(@_)</c:formatCode>
                <c:ptCount val="3"/>
                <c:pt idx="0">
                  <c:v>457</c:v>
                </c:pt>
                <c:pt idx="1">
                  <c:v>361</c:v>
                </c:pt>
                <c:pt idx="2">
                  <c:v>330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2B-47F4-B7C5-A2DCB6026D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613856"/>
        <c:axId val="723610248"/>
      </c:scatterChart>
      <c:valAx>
        <c:axId val="723613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23610248"/>
        <c:crosses val="autoZero"/>
        <c:crossBetween val="midCat"/>
      </c:valAx>
      <c:valAx>
        <c:axId val="723610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236138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-0.18416404199475064"/>
                  <c:y val="-2.908865558471857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'BANCO DE DADOS 05JUN24'!$M$20:$M$23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7</c:v>
                </c:pt>
                <c:pt idx="3">
                  <c:v>10</c:v>
                </c:pt>
              </c:numCache>
            </c:numRef>
          </c:xVal>
          <c:yVal>
            <c:numRef>
              <c:f>'BANCO DE DADOS 05JUN24'!$N$20:$N$23</c:f>
              <c:numCache>
                <c:formatCode>_("R$"* #,##0.00_);_("R$"* \(#,##0.00\);_("R$"* "-"??_);_(@_)</c:formatCode>
                <c:ptCount val="4"/>
                <c:pt idx="0">
                  <c:v>314</c:v>
                </c:pt>
                <c:pt idx="1">
                  <c:v>304</c:v>
                </c:pt>
                <c:pt idx="2">
                  <c:v>294</c:v>
                </c:pt>
                <c:pt idx="3">
                  <c:v>285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23-41A2-A2D7-066CC872A6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0572520"/>
        <c:axId val="770579736"/>
      </c:scatterChart>
      <c:valAx>
        <c:axId val="770572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70579736"/>
        <c:crosses val="autoZero"/>
        <c:crossBetween val="midCat"/>
      </c:valAx>
      <c:valAx>
        <c:axId val="770579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705725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wer"/>
            <c:dispRSqr val="1"/>
            <c:dispEq val="1"/>
            <c:trendlineLbl>
              <c:layout>
                <c:manualLayout>
                  <c:x val="-0.10404259319033921"/>
                  <c:y val="-0.3012332942817383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2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'BANCO DE DADOS 05JUN24'!$M$34:$M$43</c:f>
              <c:numCache>
                <c:formatCode>General</c:formatCode>
                <c:ptCount val="1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8</c:v>
                </c:pt>
                <c:pt idx="7">
                  <c:v>10</c:v>
                </c:pt>
                <c:pt idx="8">
                  <c:v>15</c:v>
                </c:pt>
                <c:pt idx="9">
                  <c:v>20</c:v>
                </c:pt>
              </c:numCache>
            </c:numRef>
          </c:xVal>
          <c:yVal>
            <c:numRef>
              <c:f>'BANCO DE DADOS 05JUN24'!$N$34:$N$43</c:f>
              <c:numCache>
                <c:formatCode>_("R$"* #,##0.00_);_("R$"* \(#,##0.00\);_("R$"* "-"??_);_(@_)</c:formatCode>
                <c:ptCount val="10"/>
                <c:pt idx="0">
                  <c:v>494</c:v>
                </c:pt>
                <c:pt idx="1">
                  <c:v>250</c:v>
                </c:pt>
                <c:pt idx="2">
                  <c:v>168</c:v>
                </c:pt>
                <c:pt idx="3">
                  <c:v>127</c:v>
                </c:pt>
                <c:pt idx="4">
                  <c:v>103</c:v>
                </c:pt>
                <c:pt idx="5">
                  <c:v>86.6</c:v>
                </c:pt>
                <c:pt idx="6">
                  <c:v>66.3</c:v>
                </c:pt>
                <c:pt idx="7">
                  <c:v>54</c:v>
                </c:pt>
                <c:pt idx="8">
                  <c:v>38</c:v>
                </c:pt>
                <c:pt idx="9">
                  <c:v>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BC-449E-AD21-8F72B54138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9172640"/>
        <c:axId val="769170016"/>
      </c:scatterChart>
      <c:valAx>
        <c:axId val="769172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9170016"/>
        <c:crosses val="autoZero"/>
        <c:crossBetween val="midCat"/>
      </c:valAx>
      <c:valAx>
        <c:axId val="76917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691726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21200021872265967"/>
                  <c:y val="-1.393237492264821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</c:trendlineLbl>
          </c:trendline>
          <c:xVal>
            <c:numRef>
              <c:f>'BANCO DE DADOS 05JUN24'!$D$31:$D$36</c:f>
              <c:numCache>
                <c:formatCode>General</c:formatCode>
                <c:ptCount val="6"/>
                <c:pt idx="0">
                  <c:v>100</c:v>
                </c:pt>
                <c:pt idx="1">
                  <c:v>124.2</c:v>
                </c:pt>
                <c:pt idx="2">
                  <c:v>148.4</c:v>
                </c:pt>
                <c:pt idx="3">
                  <c:v>172.6</c:v>
                </c:pt>
                <c:pt idx="4">
                  <c:v>196.8</c:v>
                </c:pt>
                <c:pt idx="5">
                  <c:v>221</c:v>
                </c:pt>
              </c:numCache>
            </c:numRef>
          </c:xVal>
          <c:yVal>
            <c:numRef>
              <c:f>'BANCO DE DADOS 05JUN24'!$H$31:$H$36</c:f>
              <c:numCache>
                <c:formatCode>General</c:formatCode>
                <c:ptCount val="6"/>
                <c:pt idx="0">
                  <c:v>1</c:v>
                </c:pt>
                <c:pt idx="1">
                  <c:v>1.1279999999999999</c:v>
                </c:pt>
                <c:pt idx="2">
                  <c:v>1.264</c:v>
                </c:pt>
                <c:pt idx="3">
                  <c:v>1.3959999999999999</c:v>
                </c:pt>
                <c:pt idx="4">
                  <c:v>1.528</c:v>
                </c:pt>
                <c:pt idx="5">
                  <c:v>1.66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C-444F-AB7B-89F946BDAE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2871544"/>
        <c:axId val="632871904"/>
      </c:scatterChart>
      <c:valAx>
        <c:axId val="632871544"/>
        <c:scaling>
          <c:orientation val="minMax"/>
        </c:scaling>
        <c:delete val="0"/>
        <c:axPos val="b"/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2871904"/>
        <c:crosses val="autoZero"/>
        <c:crossBetween val="midCat"/>
      </c:valAx>
      <c:valAx>
        <c:axId val="632871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32871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#'PEDIDO DESBLOQ'!A1"/><Relationship Id="rId18" Type="http://schemas.openxmlformats.org/officeDocument/2006/relationships/image" Target="../media/image12.svg"/><Relationship Id="rId26" Type="http://schemas.openxmlformats.org/officeDocument/2006/relationships/image" Target="../media/image18.svg"/><Relationship Id="rId3" Type="http://schemas.openxmlformats.org/officeDocument/2006/relationships/image" Target="../media/image2.svg"/><Relationship Id="rId21" Type="http://schemas.openxmlformats.org/officeDocument/2006/relationships/image" Target="../media/image14.svg"/><Relationship Id="rId7" Type="http://schemas.openxmlformats.org/officeDocument/2006/relationships/hyperlink" Target="#'PEDIDO COMPACTA'!A1"/><Relationship Id="rId12" Type="http://schemas.openxmlformats.org/officeDocument/2006/relationships/image" Target="../media/image8.svg"/><Relationship Id="rId17" Type="http://schemas.openxmlformats.org/officeDocument/2006/relationships/image" Target="../media/image11.png"/><Relationship Id="rId25" Type="http://schemas.openxmlformats.org/officeDocument/2006/relationships/image" Target="../media/image17.png"/><Relationship Id="rId2" Type="http://schemas.openxmlformats.org/officeDocument/2006/relationships/image" Target="../media/image1.png"/><Relationship Id="rId16" Type="http://schemas.openxmlformats.org/officeDocument/2006/relationships/hyperlink" Target="#EQUALIZA!A1"/><Relationship Id="rId20" Type="http://schemas.openxmlformats.org/officeDocument/2006/relationships/image" Target="../media/image13.png"/><Relationship Id="rId1" Type="http://schemas.openxmlformats.org/officeDocument/2006/relationships/hyperlink" Target="#'PEDIDO DRONE'!A1"/><Relationship Id="rId6" Type="http://schemas.openxmlformats.org/officeDocument/2006/relationships/image" Target="../media/image4.svg"/><Relationship Id="rId11" Type="http://schemas.openxmlformats.org/officeDocument/2006/relationships/image" Target="../media/image7.png"/><Relationship Id="rId24" Type="http://schemas.openxmlformats.org/officeDocument/2006/relationships/hyperlink" Target="#'INPUT DADOS'!A1"/><Relationship Id="rId5" Type="http://schemas.openxmlformats.org/officeDocument/2006/relationships/image" Target="../media/image3.png"/><Relationship Id="rId15" Type="http://schemas.openxmlformats.org/officeDocument/2006/relationships/image" Target="../media/image10.svg"/><Relationship Id="rId23" Type="http://schemas.openxmlformats.org/officeDocument/2006/relationships/image" Target="../media/image16.svg"/><Relationship Id="rId10" Type="http://schemas.openxmlformats.org/officeDocument/2006/relationships/hyperlink" Target="#'INPUT CONFERENCIA'!A1"/><Relationship Id="rId19" Type="http://schemas.openxmlformats.org/officeDocument/2006/relationships/hyperlink" Target="#'INPUT ATV'!A1"/><Relationship Id="rId4" Type="http://schemas.openxmlformats.org/officeDocument/2006/relationships/hyperlink" Target="#'INPUT FOLHA '!A1"/><Relationship Id="rId9" Type="http://schemas.openxmlformats.org/officeDocument/2006/relationships/image" Target="../media/image6.svg"/><Relationship Id="rId14" Type="http://schemas.openxmlformats.org/officeDocument/2006/relationships/image" Target="../media/image9.png"/><Relationship Id="rId22" Type="http://schemas.openxmlformats.org/officeDocument/2006/relationships/image" Target="../media/image1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5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0.emf"/><Relationship Id="rId5" Type="http://schemas.openxmlformats.org/officeDocument/2006/relationships/image" Target="../media/image19.emf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PEDIDO VIA EMPRESA'!A1"/><Relationship Id="rId2" Type="http://schemas.openxmlformats.org/officeDocument/2006/relationships/hyperlink" Target="#'PEDIDO VIA CLIENTE'!A1"/><Relationship Id="rId1" Type="http://schemas.openxmlformats.org/officeDocument/2006/relationships/hyperlink" Target="#GERAL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INPUT DADOS'!A1"/><Relationship Id="rId2" Type="http://schemas.openxmlformats.org/officeDocument/2006/relationships/hyperlink" Target="#GERAL!A1"/><Relationship Id="rId1" Type="http://schemas.openxmlformats.org/officeDocument/2006/relationships/image" Target="../media/image23.jpeg"/><Relationship Id="rId4" Type="http://schemas.openxmlformats.org/officeDocument/2006/relationships/hyperlink" Target="#'PEDIDO VIA EMPRESA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'INPUT DADOS'!A1"/><Relationship Id="rId2" Type="http://schemas.openxmlformats.org/officeDocument/2006/relationships/hyperlink" Target="#GERAL!A1"/><Relationship Id="rId1" Type="http://schemas.openxmlformats.org/officeDocument/2006/relationships/image" Target="../media/image24.jpeg"/><Relationship Id="rId4" Type="http://schemas.openxmlformats.org/officeDocument/2006/relationships/hyperlink" Target="#'PEDIDO VIA CLIENTE'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'PEDIDO CONFERENCIA'!A1"/><Relationship Id="rId1" Type="http://schemas.openxmlformats.org/officeDocument/2006/relationships/hyperlink" Target="#GERAL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'INPUT CONFERENCIA'!A1"/><Relationship Id="rId2" Type="http://schemas.openxmlformats.org/officeDocument/2006/relationships/hyperlink" Target="#GERAL!A1"/><Relationship Id="rId1" Type="http://schemas.openxmlformats.org/officeDocument/2006/relationships/image" Target="../media/image23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GERAL!A1"/><Relationship Id="rId1" Type="http://schemas.openxmlformats.org/officeDocument/2006/relationships/image" Target="../media/image25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GERAL!A1"/><Relationship Id="rId1" Type="http://schemas.openxmlformats.org/officeDocument/2006/relationships/image" Target="../media/image26.jpe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PEDIDO FOLHA EMPRESA'!A1"/><Relationship Id="rId2" Type="http://schemas.openxmlformats.org/officeDocument/2006/relationships/hyperlink" Target="#'PEDIDO FOLHA CLIENTE'!A1"/><Relationship Id="rId1" Type="http://schemas.openxmlformats.org/officeDocument/2006/relationships/hyperlink" Target="#GERAL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INPUT FOLHA '!A1"/><Relationship Id="rId2" Type="http://schemas.openxmlformats.org/officeDocument/2006/relationships/hyperlink" Target="#GERAL!A1"/><Relationship Id="rId1" Type="http://schemas.openxmlformats.org/officeDocument/2006/relationships/image" Target="../media/image23.jpeg"/><Relationship Id="rId4" Type="http://schemas.openxmlformats.org/officeDocument/2006/relationships/hyperlink" Target="#'PEDIDO FOLHA EMPRESA'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INPUT FOLHA '!A1"/><Relationship Id="rId2" Type="http://schemas.openxmlformats.org/officeDocument/2006/relationships/hyperlink" Target="#GERAL!A1"/><Relationship Id="rId1" Type="http://schemas.openxmlformats.org/officeDocument/2006/relationships/image" Target="../media/image23.jpeg"/><Relationship Id="rId4" Type="http://schemas.openxmlformats.org/officeDocument/2006/relationships/hyperlink" Target="#'PEDIDO FOLHA CLIENTE'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GERAL!A1"/><Relationship Id="rId1" Type="http://schemas.openxmlformats.org/officeDocument/2006/relationships/hyperlink" Target="#'PEDIDO ATV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INPUT ATV'!C2"/><Relationship Id="rId2" Type="http://schemas.openxmlformats.org/officeDocument/2006/relationships/hyperlink" Target="#GERAL!A1"/><Relationship Id="rId1" Type="http://schemas.openxmlformats.org/officeDocument/2006/relationships/image" Target="../media/image23.jpeg"/><Relationship Id="rId4" Type="http://schemas.openxmlformats.org/officeDocument/2006/relationships/hyperlink" Target="#'PEDIDO ATV CLIENTE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INPUT ATV'!A1"/><Relationship Id="rId2" Type="http://schemas.openxmlformats.org/officeDocument/2006/relationships/hyperlink" Target="#GERAL!A1"/><Relationship Id="rId1" Type="http://schemas.openxmlformats.org/officeDocument/2006/relationships/image" Target="../media/image23.jpeg"/><Relationship Id="rId4" Type="http://schemas.openxmlformats.org/officeDocument/2006/relationships/hyperlink" Target="#'PEDIDO ATV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'INPUT DADOS'!B5"/><Relationship Id="rId2" Type="http://schemas.openxmlformats.org/officeDocument/2006/relationships/hyperlink" Target="#GERAL!A1"/><Relationship Id="rId1" Type="http://schemas.openxmlformats.org/officeDocument/2006/relationships/image" Target="../media/image23.jpeg"/><Relationship Id="rId5" Type="http://schemas.openxmlformats.org/officeDocument/2006/relationships/hyperlink" Target="#'INPUT FOLHA '!B7"/><Relationship Id="rId4" Type="http://schemas.openxmlformats.org/officeDocument/2006/relationships/hyperlink" Target="#'INPUT CONFERENCIA'!B8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hyperlink" Target="#GERAL!A1"/><Relationship Id="rId1" Type="http://schemas.openxmlformats.org/officeDocument/2006/relationships/image" Target="../media/image27.jpe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0.jpeg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5" Type="http://schemas.openxmlformats.org/officeDocument/2006/relationships/hyperlink" Target="#GERAL!A1"/><Relationship Id="rId4" Type="http://schemas.openxmlformats.org/officeDocument/2006/relationships/hyperlink" Target="#'PEDIDO PULVE'!E13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hyperlink" Target="#'INPUT PULVE_DRONE'!B3"/><Relationship Id="rId2" Type="http://schemas.openxmlformats.org/officeDocument/2006/relationships/hyperlink" Target="#GERAL!A1"/><Relationship Id="rId1" Type="http://schemas.openxmlformats.org/officeDocument/2006/relationships/image" Target="../media/image23.jpeg"/><Relationship Id="rId4" Type="http://schemas.openxmlformats.org/officeDocument/2006/relationships/image" Target="../media/image31.jp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hyperlink" Target="#GERAL!A1"/><Relationship Id="rId1" Type="http://schemas.openxmlformats.org/officeDocument/2006/relationships/image" Target="../media/image23.jpe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jpeg"/><Relationship Id="rId1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399903</xdr:colOff>
      <xdr:row>0</xdr:row>
      <xdr:rowOff>181775</xdr:rowOff>
    </xdr:from>
    <xdr:to>
      <xdr:col>22</xdr:col>
      <xdr:colOff>538055</xdr:colOff>
      <xdr:row>24</xdr:row>
      <xdr:rowOff>112500</xdr:rowOff>
    </xdr:to>
    <xdr:sp macro="[0]!ZOOM_TELA1" textlink="">
      <xdr:nvSpPr>
        <xdr:cNvPr id="27" name="Retângulo 26">
          <a:extLst>
            <a:ext uri="{FF2B5EF4-FFF2-40B4-BE49-F238E27FC236}">
              <a16:creationId xmlns:a16="http://schemas.microsoft.com/office/drawing/2014/main" id="{D53744D8-D30E-4010-9A43-64F77A9670D0}"/>
            </a:ext>
          </a:extLst>
        </xdr:cNvPr>
        <xdr:cNvSpPr/>
      </xdr:nvSpPr>
      <xdr:spPr>
        <a:xfrm>
          <a:off x="399903" y="181775"/>
          <a:ext cx="13345652" cy="4430725"/>
        </a:xfrm>
        <a:prstGeom prst="rect">
          <a:avLst/>
        </a:prstGeom>
        <a:noFill/>
        <a:ln w="952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2000" b="1"/>
        </a:p>
      </xdr:txBody>
    </xdr:sp>
    <xdr:clientData/>
  </xdr:twoCellAnchor>
  <xdr:twoCellAnchor>
    <xdr:from>
      <xdr:col>1</xdr:col>
      <xdr:colOff>11870</xdr:colOff>
      <xdr:row>12</xdr:row>
      <xdr:rowOff>146830</xdr:rowOff>
    </xdr:from>
    <xdr:to>
      <xdr:col>6</xdr:col>
      <xdr:colOff>52203</xdr:colOff>
      <xdr:row>22</xdr:row>
      <xdr:rowOff>117404</xdr:rowOff>
    </xdr:to>
    <xdr:grpSp>
      <xdr:nvGrpSpPr>
        <xdr:cNvPr id="12" name="Agrupar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3603A6-08FC-D323-79D3-E485161645B6}"/>
            </a:ext>
          </a:extLst>
        </xdr:cNvPr>
        <xdr:cNvGrpSpPr/>
      </xdr:nvGrpSpPr>
      <xdr:grpSpPr>
        <a:xfrm>
          <a:off x="600820" y="2415380"/>
          <a:ext cx="3159589" cy="1861032"/>
          <a:chOff x="604370" y="2396830"/>
          <a:chExt cx="3175333" cy="1845574"/>
        </a:xfrm>
      </xdr:grpSpPr>
      <xdr:sp macro="" textlink="">
        <xdr:nvSpPr>
          <xdr:cNvPr id="20" name="Bisel 2">
            <a:extLst>
              <a:ext uri="{FF2B5EF4-FFF2-40B4-BE49-F238E27FC236}">
                <a16:creationId xmlns:a16="http://schemas.microsoft.com/office/drawing/2014/main" id="{3C7577A8-6BBA-4164-AE69-C0239EDA30FD}"/>
              </a:ext>
            </a:extLst>
          </xdr:cNvPr>
          <xdr:cNvSpPr/>
        </xdr:nvSpPr>
        <xdr:spPr>
          <a:xfrm>
            <a:off x="604370" y="2396830"/>
            <a:ext cx="3175333" cy="1845574"/>
          </a:xfrm>
          <a:prstGeom prst="bevel">
            <a:avLst/>
          </a:prstGeom>
          <a:gradFill flip="none" rotWithShape="1">
            <a:gsLst>
              <a:gs pos="0">
                <a:schemeClr val="accent6">
                  <a:lumMod val="40000"/>
                  <a:lumOff val="60000"/>
                </a:schemeClr>
              </a:gs>
              <a:gs pos="100000">
                <a:srgbClr val="1EEE28"/>
              </a:gs>
            </a:gsLst>
            <a:path path="circle">
              <a:fillToRect l="100000" t="100000"/>
            </a:path>
            <a:tileRect r="-100000" b="-100000"/>
          </a:gra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2000" b="1">
                <a:solidFill>
                  <a:schemeClr val="accent6">
                    <a:lumMod val="50000"/>
                  </a:schemeClr>
                </a:solidFill>
              </a:rPr>
              <a:t>MAPEAMENTO </a:t>
            </a:r>
          </a:p>
          <a:p>
            <a:pPr algn="ctr"/>
            <a:r>
              <a:rPr lang="pt-BR" sz="2000" b="1" baseline="0">
                <a:solidFill>
                  <a:schemeClr val="accent6">
                    <a:lumMod val="50000"/>
                  </a:schemeClr>
                </a:solidFill>
              </a:rPr>
              <a:t>POR DRONE</a:t>
            </a:r>
            <a:endParaRPr lang="pt-BR" sz="2000" b="1">
              <a:solidFill>
                <a:schemeClr val="accent6">
                  <a:lumMod val="50000"/>
                </a:schemeClr>
              </a:solidFill>
            </a:endParaRPr>
          </a:p>
        </xdr:txBody>
      </xdr:sp>
      <xdr:pic>
        <xdr:nvPicPr>
          <xdr:cNvPr id="5" name="Gráfico 4" descr="Avião">
            <a:extLst>
              <a:ext uri="{FF2B5EF4-FFF2-40B4-BE49-F238E27FC236}">
                <a16:creationId xmlns:a16="http://schemas.microsoft.com/office/drawing/2014/main" id="{DE942C0E-EFDD-4B46-81D9-6CBCE51607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888850" y="3319184"/>
            <a:ext cx="705630" cy="746126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449580</xdr:colOff>
      <xdr:row>2</xdr:row>
      <xdr:rowOff>60960</xdr:rowOff>
    </xdr:from>
    <xdr:to>
      <xdr:col>17</xdr:col>
      <xdr:colOff>31980</xdr:colOff>
      <xdr:row>12</xdr:row>
      <xdr:rowOff>32160</xdr:rowOff>
    </xdr:to>
    <xdr:grpSp>
      <xdr:nvGrpSpPr>
        <xdr:cNvPr id="14" name="Agrupar 13">
          <a:extLst>
            <a:ext uri="{FF2B5EF4-FFF2-40B4-BE49-F238E27FC236}">
              <a16:creationId xmlns:a16="http://schemas.microsoft.com/office/drawing/2014/main" id="{A53FB95E-57BC-42A6-9CA0-C6BD3B6EA53A}"/>
            </a:ext>
          </a:extLst>
        </xdr:cNvPr>
        <xdr:cNvGrpSpPr/>
      </xdr:nvGrpSpPr>
      <xdr:grpSpPr>
        <a:xfrm>
          <a:off x="7102538" y="439052"/>
          <a:ext cx="3116102" cy="1861658"/>
          <a:chOff x="7155180" y="422910"/>
          <a:chExt cx="3240000" cy="1780950"/>
        </a:xfrm>
        <a:gradFill flip="none" rotWithShape="1">
          <a:gsLst>
            <a:gs pos="0">
              <a:schemeClr val="accent6">
                <a:lumMod val="40000"/>
                <a:lumOff val="60000"/>
              </a:schemeClr>
            </a:gs>
            <a:gs pos="100000">
              <a:srgbClr val="1EEE28"/>
            </a:gs>
          </a:gsLst>
          <a:path path="circle">
            <a:fillToRect l="100000" t="100000"/>
          </a:path>
          <a:tileRect r="-100000" b="-100000"/>
        </a:gradFill>
      </xdr:grpSpPr>
      <xdr:sp macro="" textlink="">
        <xdr:nvSpPr>
          <xdr:cNvPr id="3" name="Bisel 2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7155180" y="422910"/>
            <a:ext cx="3240000" cy="1780950"/>
          </a:xfrm>
          <a:prstGeom prst="bevel">
            <a:avLst/>
          </a:prstGeom>
          <a:grpFill/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2000" b="1">
                <a:solidFill>
                  <a:schemeClr val="accent6">
                    <a:lumMod val="50000"/>
                  </a:schemeClr>
                </a:solidFill>
              </a:rPr>
              <a:t>ANALISE</a:t>
            </a:r>
          </a:p>
          <a:p>
            <a:pPr algn="ctr"/>
            <a:r>
              <a:rPr lang="pt-BR" sz="2000" b="1" baseline="0">
                <a:solidFill>
                  <a:schemeClr val="accent6">
                    <a:lumMod val="50000"/>
                  </a:schemeClr>
                </a:solidFill>
              </a:rPr>
              <a:t>DE FOLHA</a:t>
            </a:r>
            <a:endParaRPr lang="pt-BR" sz="2000" b="1">
              <a:solidFill>
                <a:schemeClr val="accent6">
                  <a:lumMod val="50000"/>
                </a:schemeClr>
              </a:solidFill>
            </a:endParaRPr>
          </a:p>
        </xdr:txBody>
      </xdr:sp>
      <xdr:pic>
        <xdr:nvPicPr>
          <xdr:cNvPr id="19" name="Gráfico 18" descr="Folha">
            <a:extLst>
              <a:ext uri="{FF2B5EF4-FFF2-40B4-BE49-F238E27FC236}">
                <a16:creationId xmlns:a16="http://schemas.microsoft.com/office/drawing/2014/main" id="{26247DC9-2D1B-414E-ABDD-30D868AAC8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8393430" y="1299210"/>
            <a:ext cx="720000" cy="72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153646</xdr:colOff>
      <xdr:row>12</xdr:row>
      <xdr:rowOff>144780</xdr:rowOff>
    </xdr:from>
    <xdr:to>
      <xdr:col>11</xdr:col>
      <xdr:colOff>345646</xdr:colOff>
      <xdr:row>22</xdr:row>
      <xdr:rowOff>115980</xdr:rowOff>
    </xdr:to>
    <xdr:grpSp>
      <xdr:nvGrpSpPr>
        <xdr:cNvPr id="22" name="Agrupar 21">
          <a:extLst>
            <a:ext uri="{FF2B5EF4-FFF2-40B4-BE49-F238E27FC236}">
              <a16:creationId xmlns:a16="http://schemas.microsoft.com/office/drawing/2014/main" id="{FC6FB7F8-671C-41F0-8844-D033ED7B095E}"/>
            </a:ext>
          </a:extLst>
        </xdr:cNvPr>
        <xdr:cNvGrpSpPr/>
      </xdr:nvGrpSpPr>
      <xdr:grpSpPr>
        <a:xfrm>
          <a:off x="3861852" y="2413330"/>
          <a:ext cx="3136752" cy="1861658"/>
          <a:chOff x="2156460" y="2316480"/>
          <a:chExt cx="3240000" cy="1780950"/>
        </a:xfrm>
        <a:gradFill flip="none" rotWithShape="1">
          <a:gsLst>
            <a:gs pos="0">
              <a:schemeClr val="accent6">
                <a:lumMod val="40000"/>
                <a:lumOff val="60000"/>
              </a:schemeClr>
            </a:gs>
            <a:gs pos="100000">
              <a:srgbClr val="1EEE28"/>
            </a:gs>
          </a:gsLst>
          <a:path path="circle">
            <a:fillToRect l="100000" t="100000"/>
          </a:path>
          <a:tileRect r="-100000" b="-100000"/>
        </a:gradFill>
      </xdr:grpSpPr>
      <xdr:sp macro="" textlink="">
        <xdr:nvSpPr>
          <xdr:cNvPr id="11" name="Bisel 6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C933BF39-EC13-43A4-BC6E-72C529F5E10F}"/>
              </a:ext>
            </a:extLst>
          </xdr:cNvPr>
          <xdr:cNvSpPr/>
        </xdr:nvSpPr>
        <xdr:spPr>
          <a:xfrm>
            <a:off x="2156460" y="2316480"/>
            <a:ext cx="3240000" cy="1780950"/>
          </a:xfrm>
          <a:prstGeom prst="bevel">
            <a:avLst/>
          </a:prstGeom>
          <a:grpFill/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2000" b="1" baseline="0">
                <a:solidFill>
                  <a:schemeClr val="accent6">
                    <a:lumMod val="50000"/>
                  </a:schemeClr>
                </a:solidFill>
              </a:rPr>
              <a:t>COMPACTAÇÃO</a:t>
            </a:r>
          </a:p>
          <a:p>
            <a:pPr algn="ctr"/>
            <a:r>
              <a:rPr lang="pt-BR" sz="2000" b="1" baseline="0">
                <a:solidFill>
                  <a:schemeClr val="accent6">
                    <a:lumMod val="50000"/>
                  </a:schemeClr>
                </a:solidFill>
              </a:rPr>
              <a:t>DO SOLO</a:t>
            </a:r>
            <a:endParaRPr lang="pt-BR" sz="1100" b="1">
              <a:solidFill>
                <a:schemeClr val="accent6">
                  <a:lumMod val="50000"/>
                </a:schemeClr>
              </a:solidFill>
            </a:endParaRPr>
          </a:p>
        </xdr:txBody>
      </xdr:sp>
      <xdr:pic>
        <xdr:nvPicPr>
          <xdr:cNvPr id="23" name="Gráfico 22" descr="Voz">
            <a:extLst>
              <a:ext uri="{FF2B5EF4-FFF2-40B4-BE49-F238E27FC236}">
                <a16:creationId xmlns:a16="http://schemas.microsoft.com/office/drawing/2014/main" id="{EF3E5707-24B5-47DC-AA36-A15AAC6A13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3369946" y="3216859"/>
            <a:ext cx="727701" cy="72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144780</xdr:colOff>
      <xdr:row>2</xdr:row>
      <xdr:rowOff>53340</xdr:rowOff>
    </xdr:from>
    <xdr:to>
      <xdr:col>11</xdr:col>
      <xdr:colOff>336780</xdr:colOff>
      <xdr:row>12</xdr:row>
      <xdr:rowOff>24540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64AE7D51-7CD1-4270-A8DC-F0C247200150}"/>
            </a:ext>
          </a:extLst>
        </xdr:cNvPr>
        <xdr:cNvGrpSpPr/>
      </xdr:nvGrpSpPr>
      <xdr:grpSpPr>
        <a:xfrm>
          <a:off x="3852986" y="431432"/>
          <a:ext cx="3136752" cy="1861658"/>
          <a:chOff x="3802380" y="415290"/>
          <a:chExt cx="3240000" cy="1780950"/>
        </a:xfrm>
        <a:gradFill flip="none" rotWithShape="1">
          <a:gsLst>
            <a:gs pos="0">
              <a:schemeClr val="accent6">
                <a:lumMod val="40000"/>
                <a:lumOff val="60000"/>
              </a:schemeClr>
            </a:gs>
            <a:gs pos="100000">
              <a:srgbClr val="1EEE28"/>
            </a:gs>
          </a:gsLst>
          <a:path path="circle">
            <a:fillToRect l="100000" t="100000"/>
          </a:path>
          <a:tileRect r="-100000" b="-100000"/>
        </a:gradFill>
      </xdr:grpSpPr>
      <xdr:sp macro="" textlink="">
        <xdr:nvSpPr>
          <xdr:cNvPr id="4" name="Bisel 3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3802380" y="415290"/>
            <a:ext cx="3240000" cy="1780950"/>
          </a:xfrm>
          <a:prstGeom prst="bevel">
            <a:avLst/>
          </a:prstGeom>
          <a:grpFill/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2000" b="1">
                <a:solidFill>
                  <a:schemeClr val="accent6">
                    <a:lumMod val="50000"/>
                  </a:schemeClr>
                </a:solidFill>
              </a:rPr>
              <a:t>ANALISE</a:t>
            </a:r>
            <a:r>
              <a:rPr lang="pt-BR" sz="2000" b="1" baseline="0">
                <a:solidFill>
                  <a:schemeClr val="accent6">
                    <a:lumMod val="50000"/>
                  </a:schemeClr>
                </a:solidFill>
              </a:rPr>
              <a:t> DE SOLO</a:t>
            </a:r>
          </a:p>
          <a:p>
            <a:pPr algn="ctr"/>
            <a:r>
              <a:rPr lang="pt-BR" sz="2000" b="1" baseline="0">
                <a:solidFill>
                  <a:schemeClr val="accent6">
                    <a:lumMod val="50000"/>
                  </a:schemeClr>
                </a:solidFill>
              </a:rPr>
              <a:t>(CONFERÊNCIA)</a:t>
            </a:r>
            <a:endParaRPr lang="pt-BR" sz="2000" b="1">
              <a:solidFill>
                <a:schemeClr val="accent6">
                  <a:lumMod val="50000"/>
                </a:schemeClr>
              </a:solidFill>
            </a:endParaRPr>
          </a:p>
        </xdr:txBody>
      </xdr:sp>
      <xdr:pic>
        <xdr:nvPicPr>
          <xdr:cNvPr id="25" name="Gráfico 24" descr="Lupa">
            <a:extLst>
              <a:ext uri="{FF2B5EF4-FFF2-40B4-BE49-F238E27FC236}">
                <a16:creationId xmlns:a16="http://schemas.microsoft.com/office/drawing/2014/main" id="{CA3FA6D4-5E14-4938-A73D-ED41496B86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5088256" y="1268730"/>
            <a:ext cx="727579" cy="72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134521</xdr:colOff>
      <xdr:row>12</xdr:row>
      <xdr:rowOff>146318</xdr:rowOff>
    </xdr:from>
    <xdr:to>
      <xdr:col>22</xdr:col>
      <xdr:colOff>312600</xdr:colOff>
      <xdr:row>22</xdr:row>
      <xdr:rowOff>117518</xdr:rowOff>
    </xdr:to>
    <xdr:grpSp>
      <xdr:nvGrpSpPr>
        <xdr:cNvPr id="29" name="Agrupar 28">
          <a:extLst>
            <a:ext uri="{FF2B5EF4-FFF2-40B4-BE49-F238E27FC236}">
              <a16:creationId xmlns:a16="http://schemas.microsoft.com/office/drawing/2014/main" id="{9182A841-AE8F-41FD-80DB-4E28C9DF1997}"/>
            </a:ext>
          </a:extLst>
        </xdr:cNvPr>
        <xdr:cNvGrpSpPr/>
      </xdr:nvGrpSpPr>
      <xdr:grpSpPr>
        <a:xfrm>
          <a:off x="10321181" y="2414868"/>
          <a:ext cx="3122831" cy="1861658"/>
          <a:chOff x="12184380" y="2308860"/>
          <a:chExt cx="3240000" cy="1780950"/>
        </a:xfrm>
        <a:gradFill flip="none" rotWithShape="1">
          <a:gsLst>
            <a:gs pos="0">
              <a:schemeClr val="accent6">
                <a:lumMod val="40000"/>
                <a:lumOff val="60000"/>
              </a:schemeClr>
            </a:gs>
            <a:gs pos="100000">
              <a:srgbClr val="1EEE28"/>
            </a:gs>
          </a:gsLst>
          <a:path path="circle">
            <a:fillToRect l="100000" t="100000"/>
          </a:path>
          <a:tileRect r="-100000" b="-100000"/>
        </a:gradFill>
      </xdr:grpSpPr>
      <xdr:sp macro="" textlink="">
        <xdr:nvSpPr>
          <xdr:cNvPr id="6" name="Bisel 5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12184380" y="2308860"/>
            <a:ext cx="3240000" cy="1780950"/>
          </a:xfrm>
          <a:prstGeom prst="bevel">
            <a:avLst/>
          </a:prstGeom>
          <a:grpFill/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2000" b="1">
                <a:solidFill>
                  <a:schemeClr val="accent6">
                    <a:lumMod val="50000"/>
                  </a:schemeClr>
                </a:solidFill>
              </a:rPr>
              <a:t>PEDIDO</a:t>
            </a:r>
            <a:r>
              <a:rPr lang="pt-BR" sz="2000" b="1" baseline="0">
                <a:solidFill>
                  <a:schemeClr val="accent6">
                    <a:lumMod val="50000"/>
                  </a:schemeClr>
                </a:solidFill>
              </a:rPr>
              <a:t> </a:t>
            </a:r>
          </a:p>
          <a:p>
            <a:pPr algn="ctr"/>
            <a:r>
              <a:rPr lang="pt-BR" sz="2000" b="1" baseline="0">
                <a:solidFill>
                  <a:schemeClr val="accent6">
                    <a:lumMod val="50000"/>
                  </a:schemeClr>
                </a:solidFill>
              </a:rPr>
              <a:t>EM BRANCO</a:t>
            </a:r>
          </a:p>
        </xdr:txBody>
      </xdr:sp>
      <xdr:pic>
        <xdr:nvPicPr>
          <xdr:cNvPr id="28" name="Gráfico 27" descr="Área de Transferência">
            <a:extLst>
              <a:ext uri="{FF2B5EF4-FFF2-40B4-BE49-F238E27FC236}">
                <a16:creationId xmlns:a16="http://schemas.microsoft.com/office/drawing/2014/main" id="{9FF47CD2-31BE-4ACD-AAD7-3A57A3BF1C8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13500736" y="3133725"/>
            <a:ext cx="727579" cy="72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137160</xdr:colOff>
      <xdr:row>2</xdr:row>
      <xdr:rowOff>60960</xdr:rowOff>
    </xdr:from>
    <xdr:to>
      <xdr:col>22</xdr:col>
      <xdr:colOff>329160</xdr:colOff>
      <xdr:row>12</xdr:row>
      <xdr:rowOff>32160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F5F996CA-7C41-47C4-BA0B-3406D9AC18AC}"/>
            </a:ext>
          </a:extLst>
        </xdr:cNvPr>
        <xdr:cNvGrpSpPr/>
      </xdr:nvGrpSpPr>
      <xdr:grpSpPr>
        <a:xfrm>
          <a:off x="10323820" y="439052"/>
          <a:ext cx="3136752" cy="1861658"/>
          <a:chOff x="10500360" y="422910"/>
          <a:chExt cx="3240000" cy="1780950"/>
        </a:xfrm>
        <a:gradFill flip="none" rotWithShape="1">
          <a:gsLst>
            <a:gs pos="0">
              <a:schemeClr val="accent6">
                <a:lumMod val="40000"/>
                <a:lumOff val="60000"/>
              </a:schemeClr>
            </a:gs>
            <a:gs pos="100000">
              <a:srgbClr val="1EEE28"/>
            </a:gs>
          </a:gsLst>
          <a:path path="circle">
            <a:fillToRect l="100000" t="100000"/>
          </a:path>
          <a:tileRect r="-100000" b="-100000"/>
        </a:gradFill>
      </xdr:grpSpPr>
      <xdr:sp macro="" textlink="">
        <xdr:nvSpPr>
          <xdr:cNvPr id="8" name="Bisel 2">
            <a:hlinkClick xmlns:r="http://schemas.openxmlformats.org/officeDocument/2006/relationships" r:id="rId16"/>
            <a:extLst>
              <a:ext uri="{FF2B5EF4-FFF2-40B4-BE49-F238E27FC236}">
                <a16:creationId xmlns:a16="http://schemas.microsoft.com/office/drawing/2014/main" id="{CD0D0BFB-781B-4DF1-A5C5-E658B89A57DE}"/>
              </a:ext>
            </a:extLst>
          </xdr:cNvPr>
          <xdr:cNvSpPr/>
        </xdr:nvSpPr>
        <xdr:spPr>
          <a:xfrm>
            <a:off x="10500360" y="422910"/>
            <a:ext cx="3240000" cy="1780950"/>
          </a:xfrm>
          <a:prstGeom prst="bevel">
            <a:avLst/>
          </a:prstGeom>
          <a:grpFill/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2000" b="1">
                <a:solidFill>
                  <a:schemeClr val="accent6">
                    <a:lumMod val="50000"/>
                  </a:schemeClr>
                </a:solidFill>
              </a:rPr>
              <a:t>EQUALIZA</a:t>
            </a:r>
          </a:p>
        </xdr:txBody>
      </xdr:sp>
      <xdr:pic>
        <xdr:nvPicPr>
          <xdr:cNvPr id="30" name="Gráfico 29" descr="Gráfico de barras">
            <a:extLst>
              <a:ext uri="{FF2B5EF4-FFF2-40B4-BE49-F238E27FC236}">
                <a16:creationId xmlns:a16="http://schemas.microsoft.com/office/drawing/2014/main" id="{9CD4F09B-B976-4F64-B09D-D920853879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11761388" y="1217782"/>
            <a:ext cx="727579" cy="7200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427380</xdr:colOff>
      <xdr:row>12</xdr:row>
      <xdr:rowOff>144780</xdr:rowOff>
    </xdr:from>
    <xdr:to>
      <xdr:col>17</xdr:col>
      <xdr:colOff>33225</xdr:colOff>
      <xdr:row>22</xdr:row>
      <xdr:rowOff>115980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1C653FA2-DDD9-4DB9-8C56-25EFC4264DC4}"/>
            </a:ext>
          </a:extLst>
        </xdr:cNvPr>
        <xdr:cNvGrpSpPr/>
      </xdr:nvGrpSpPr>
      <xdr:grpSpPr>
        <a:xfrm>
          <a:off x="7080338" y="2413330"/>
          <a:ext cx="3139547" cy="1861658"/>
          <a:chOff x="5418846" y="2452761"/>
          <a:chExt cx="3122769" cy="1894517"/>
        </a:xfrm>
        <a:gradFill flip="none" rotWithShape="1">
          <a:gsLst>
            <a:gs pos="0">
              <a:schemeClr val="accent6">
                <a:lumMod val="40000"/>
                <a:lumOff val="60000"/>
              </a:schemeClr>
            </a:gs>
            <a:gs pos="100000">
              <a:srgbClr val="1EEE28"/>
            </a:gs>
          </a:gsLst>
          <a:path path="circle">
            <a:fillToRect l="100000" t="100000"/>
          </a:path>
          <a:tileRect r="-100000" b="-100000"/>
        </a:gradFill>
      </xdr:grpSpPr>
      <xdr:grpSp>
        <xdr:nvGrpSpPr>
          <xdr:cNvPr id="24" name="Agrupar 23">
            <a:extLst>
              <a:ext uri="{FF2B5EF4-FFF2-40B4-BE49-F238E27FC236}">
                <a16:creationId xmlns:a16="http://schemas.microsoft.com/office/drawing/2014/main" id="{712F1E08-BF21-4C42-9F60-90248E0BDC18}"/>
              </a:ext>
            </a:extLst>
          </xdr:cNvPr>
          <xdr:cNvGrpSpPr/>
        </xdr:nvGrpSpPr>
        <xdr:grpSpPr>
          <a:xfrm>
            <a:off x="5418846" y="2452761"/>
            <a:ext cx="3122769" cy="1894517"/>
            <a:chOff x="5501640" y="2316480"/>
            <a:chExt cx="3240000" cy="1780950"/>
          </a:xfrm>
          <a:grpFill/>
        </xdr:grpSpPr>
        <xdr:sp macro="" textlink="">
          <xdr:nvSpPr>
            <xdr:cNvPr id="10" name="Bisel 4">
              <a:hlinkClick xmlns:r="http://schemas.openxmlformats.org/officeDocument/2006/relationships" r:id="rId19"/>
              <a:extLst>
                <a:ext uri="{FF2B5EF4-FFF2-40B4-BE49-F238E27FC236}">
                  <a16:creationId xmlns:a16="http://schemas.microsoft.com/office/drawing/2014/main" id="{44711DF8-502A-4DE9-A031-4278E8AE9AF3}"/>
                </a:ext>
              </a:extLst>
            </xdr:cNvPr>
            <xdr:cNvSpPr/>
          </xdr:nvSpPr>
          <xdr:spPr>
            <a:xfrm>
              <a:off x="5501640" y="2316480"/>
              <a:ext cx="3240000" cy="1780950"/>
            </a:xfrm>
            <a:prstGeom prst="bevel">
              <a:avLst/>
            </a:prstGeom>
            <a:grpFill/>
            <a:ln w="635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2000" b="1" baseline="0">
                  <a:solidFill>
                    <a:schemeClr val="accent6">
                      <a:lumMod val="50000"/>
                    </a:schemeClr>
                  </a:solidFill>
                </a:rPr>
                <a:t>ATV</a:t>
              </a:r>
            </a:p>
            <a:p>
              <a:pPr algn="ctr"/>
              <a:r>
                <a:rPr lang="pt-BR" sz="2000" b="1" baseline="0">
                  <a:solidFill>
                    <a:schemeClr val="accent6">
                      <a:lumMod val="50000"/>
                    </a:schemeClr>
                  </a:solidFill>
                </a:rPr>
                <a:t>+</a:t>
              </a:r>
            </a:p>
            <a:p>
              <a:pPr algn="ctr"/>
              <a:r>
                <a:rPr lang="pt-BR" sz="2000" b="1" baseline="0">
                  <a:solidFill>
                    <a:schemeClr val="accent6">
                      <a:lumMod val="50000"/>
                    </a:schemeClr>
                  </a:solidFill>
                </a:rPr>
                <a:t>CAMA DE FRANGO</a:t>
              </a:r>
            </a:p>
          </xdr:txBody>
        </xdr:sp>
        <xdr:pic>
          <xdr:nvPicPr>
            <xdr:cNvPr id="17" name="Gráfico 16" descr="Caminhão de lixo">
              <a:extLst>
                <a:ext uri="{FF2B5EF4-FFF2-40B4-BE49-F238E27FC236}">
                  <a16:creationId xmlns:a16="http://schemas.microsoft.com/office/drawing/2014/main" id="{292B2EE2-E141-4716-ACEE-656AA402412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7420372" y="3330014"/>
              <a:ext cx="727579" cy="720000"/>
            </a:xfrm>
            <a:prstGeom prst="rect">
              <a:avLst/>
            </a:prstGeom>
          </xdr:spPr>
        </xdr:pic>
      </xdr:grpSp>
      <xdr:pic>
        <xdr:nvPicPr>
          <xdr:cNvPr id="15" name="Gráfico 14" descr="Galo">
            <a:extLst>
              <a:ext uri="{FF2B5EF4-FFF2-40B4-BE49-F238E27FC236}">
                <a16:creationId xmlns:a16="http://schemas.microsoft.com/office/drawing/2014/main" id="{99665BD5-A642-4A2F-9DD6-E28ECB1491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3"/>
              </a:ext>
            </a:extLst>
          </a:blip>
          <a:stretch>
            <a:fillRect/>
          </a:stretch>
        </xdr:blipFill>
        <xdr:spPr>
          <a:xfrm>
            <a:off x="6141814" y="3566844"/>
            <a:ext cx="571479" cy="624619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31288</xdr:colOff>
      <xdr:row>2</xdr:row>
      <xdr:rowOff>54879</xdr:rowOff>
    </xdr:from>
    <xdr:to>
      <xdr:col>6</xdr:col>
      <xdr:colOff>68298</xdr:colOff>
      <xdr:row>12</xdr:row>
      <xdr:rowOff>37500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1BFACFFA-9B15-BEA3-B2CB-0B776FACE49B}"/>
            </a:ext>
          </a:extLst>
        </xdr:cNvPr>
        <xdr:cNvGrpSpPr/>
      </xdr:nvGrpSpPr>
      <xdr:grpSpPr>
        <a:xfrm>
          <a:off x="620238" y="432971"/>
          <a:ext cx="3156266" cy="1873079"/>
          <a:chOff x="623788" y="429879"/>
          <a:chExt cx="3172010" cy="1857621"/>
        </a:xfrm>
      </xdr:grpSpPr>
      <xdr:sp macro="" textlink="">
        <xdr:nvSpPr>
          <xdr:cNvPr id="9" name="Bisel 1">
            <a:hlinkClick xmlns:r="http://schemas.openxmlformats.org/officeDocument/2006/relationships" r:id="rId24"/>
            <a:extLst>
              <a:ext uri="{FF2B5EF4-FFF2-40B4-BE49-F238E27FC236}">
                <a16:creationId xmlns:a16="http://schemas.microsoft.com/office/drawing/2014/main" id="{91307989-3163-4724-BABD-5D3CE65109CB}"/>
              </a:ext>
            </a:extLst>
          </xdr:cNvPr>
          <xdr:cNvSpPr/>
        </xdr:nvSpPr>
        <xdr:spPr>
          <a:xfrm>
            <a:off x="623788" y="429879"/>
            <a:ext cx="3172010" cy="1846200"/>
          </a:xfrm>
          <a:prstGeom prst="bevel">
            <a:avLst/>
          </a:prstGeom>
          <a:gradFill flip="none" rotWithShape="1">
            <a:gsLst>
              <a:gs pos="0">
                <a:schemeClr val="accent6">
                  <a:lumMod val="40000"/>
                  <a:lumOff val="60000"/>
                </a:schemeClr>
              </a:gs>
              <a:gs pos="100000">
                <a:srgbClr val="1EEE28"/>
              </a:gs>
            </a:gsLst>
            <a:path path="circle">
              <a:fillToRect l="100000" t="100000"/>
            </a:path>
            <a:tileRect r="-100000" b="-100000"/>
          </a:gradFill>
          <a:ln w="6350">
            <a:solidFill>
              <a:sysClr val="windowText" lastClr="00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pt-BR" sz="1100" b="1">
              <a:solidFill>
                <a:schemeClr val="accent6">
                  <a:lumMod val="50000"/>
                </a:schemeClr>
              </a:solidFill>
            </a:endParaRPr>
          </a:p>
          <a:p>
            <a:pPr algn="ctr"/>
            <a:r>
              <a:rPr lang="pt-BR" sz="2000" b="1">
                <a:solidFill>
                  <a:schemeClr val="accent6">
                    <a:lumMod val="50000"/>
                  </a:schemeClr>
                </a:solidFill>
              </a:rPr>
              <a:t>MAPEAMENTO DA FERTILIDADE</a:t>
            </a:r>
            <a:r>
              <a:rPr lang="pt-BR" sz="2000" b="1" baseline="0">
                <a:solidFill>
                  <a:schemeClr val="accent6">
                    <a:lumMod val="50000"/>
                  </a:schemeClr>
                </a:solidFill>
              </a:rPr>
              <a:t> DO SOLO (A.P.)</a:t>
            </a:r>
            <a:endParaRPr lang="pt-BR" sz="2000" b="1">
              <a:solidFill>
                <a:schemeClr val="accent6">
                  <a:lumMod val="50000"/>
                </a:schemeClr>
              </a:solidFill>
            </a:endParaRPr>
          </a:p>
        </xdr:txBody>
      </xdr:sp>
      <xdr:pic>
        <xdr:nvPicPr>
          <xdr:cNvPr id="31" name="Gráfico 30" descr="Britadeira">
            <a:extLst>
              <a:ext uri="{FF2B5EF4-FFF2-40B4-BE49-F238E27FC236}">
                <a16:creationId xmlns:a16="http://schemas.microsoft.com/office/drawing/2014/main" id="{53B8B0B7-B444-7A87-B917-311A738F4E5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5">
            <a:extLst>
              <a:ext uri="{96DAC541-7B7A-43D3-8B79-37D633B846F1}">
                <asvg:svgBlip xmlns:asvg="http://schemas.microsoft.com/office/drawing/2016/SVG/main" r:embed="rId26"/>
              </a:ext>
            </a:extLst>
          </a:blip>
          <a:stretch>
            <a:fillRect/>
          </a:stretch>
        </xdr:blipFill>
        <xdr:spPr>
          <a:xfrm>
            <a:off x="1927500" y="1770000"/>
            <a:ext cx="517500" cy="5175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50</xdr:row>
      <xdr:rowOff>187098</xdr:rowOff>
    </xdr:from>
    <xdr:to>
      <xdr:col>7</xdr:col>
      <xdr:colOff>742667</xdr:colOff>
      <xdr:row>74</xdr:row>
      <xdr:rowOff>65655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5BA49538-4953-77DF-AA01-157FDCE1A5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848169"/>
          <a:ext cx="11056881" cy="4450557"/>
        </a:xfrm>
        <a:prstGeom prst="rect">
          <a:avLst/>
        </a:prstGeom>
        <a:solidFill>
          <a:schemeClr val="accent2"/>
        </a:solidFill>
        <a:ln>
          <a:solidFill>
            <a:schemeClr val="accent1"/>
          </a:solidFill>
        </a:ln>
      </xdr:spPr>
    </xdr:pic>
    <xdr:clientData/>
  </xdr:twoCellAnchor>
  <xdr:twoCellAnchor editAs="oneCell">
    <xdr:from>
      <xdr:col>0</xdr:col>
      <xdr:colOff>108858</xdr:colOff>
      <xdr:row>65</xdr:row>
      <xdr:rowOff>149679</xdr:rowOff>
    </xdr:from>
    <xdr:to>
      <xdr:col>2</xdr:col>
      <xdr:colOff>898071</xdr:colOff>
      <xdr:row>98</xdr:row>
      <xdr:rowOff>131198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2753D36A-62B7-2154-410C-4E590AD4200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858" y="12668250"/>
          <a:ext cx="6082392" cy="6268019"/>
        </a:xfrm>
        <a:prstGeom prst="rect">
          <a:avLst/>
        </a:prstGeom>
        <a:solidFill>
          <a:schemeClr val="accent2"/>
        </a:solidFill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77390</xdr:colOff>
      <xdr:row>0</xdr:row>
      <xdr:rowOff>27383</xdr:rowOff>
    </xdr:from>
    <xdr:to>
      <xdr:col>21</xdr:col>
      <xdr:colOff>190499</xdr:colOff>
      <xdr:row>12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97FF656-F084-486C-A65D-5DE9ED3040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95249</xdr:colOff>
      <xdr:row>12</xdr:row>
      <xdr:rowOff>0</xdr:rowOff>
    </xdr:from>
    <xdr:to>
      <xdr:col>21</xdr:col>
      <xdr:colOff>149679</xdr:colOff>
      <xdr:row>22</xdr:row>
      <xdr:rowOff>81642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B385121-BD98-4A56-857C-CE7D466F3F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95251</xdr:colOff>
      <xdr:row>22</xdr:row>
      <xdr:rowOff>108858</xdr:rowOff>
    </xdr:from>
    <xdr:to>
      <xdr:col>21</xdr:col>
      <xdr:colOff>176893</xdr:colOff>
      <xdr:row>31</xdr:row>
      <xdr:rowOff>81644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8C06A966-7E69-47CE-A0A5-1CF83DE100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113109</xdr:colOff>
      <xdr:row>31</xdr:row>
      <xdr:rowOff>146446</xdr:rowOff>
    </xdr:from>
    <xdr:to>
      <xdr:col>20</xdr:col>
      <xdr:colOff>541734</xdr:colOff>
      <xdr:row>44</xdr:row>
      <xdr:rowOff>178593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EB53A982-6E2C-4CB7-B926-01AA3133DE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0</xdr:colOff>
      <xdr:row>50</xdr:row>
      <xdr:rowOff>187098</xdr:rowOff>
    </xdr:from>
    <xdr:to>
      <xdr:col>8</xdr:col>
      <xdr:colOff>280024</xdr:colOff>
      <xdr:row>74</xdr:row>
      <xdr:rowOff>65655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245BAB01-B0D1-498D-BBC2-DB40A1A60D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797823"/>
          <a:ext cx="11062324" cy="4450557"/>
        </a:xfrm>
        <a:prstGeom prst="rect">
          <a:avLst/>
        </a:prstGeom>
        <a:solidFill>
          <a:schemeClr val="accent2"/>
        </a:solidFill>
        <a:ln>
          <a:solidFill>
            <a:schemeClr val="accent1"/>
          </a:solidFill>
        </a:ln>
      </xdr:spPr>
    </xdr:pic>
    <xdr:clientData/>
  </xdr:twoCellAnchor>
  <xdr:twoCellAnchor editAs="oneCell">
    <xdr:from>
      <xdr:col>0</xdr:col>
      <xdr:colOff>108858</xdr:colOff>
      <xdr:row>65</xdr:row>
      <xdr:rowOff>149679</xdr:rowOff>
    </xdr:from>
    <xdr:to>
      <xdr:col>4</xdr:col>
      <xdr:colOff>0</xdr:colOff>
      <xdr:row>98</xdr:row>
      <xdr:rowOff>131198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68F7321B-9E36-4653-AA4D-16F06E0384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858" y="12617904"/>
          <a:ext cx="6082392" cy="6268019"/>
        </a:xfrm>
        <a:prstGeom prst="rect">
          <a:avLst/>
        </a:prstGeom>
        <a:solidFill>
          <a:schemeClr val="accent2"/>
        </a:solidFill>
      </xdr:spPr>
    </xdr:pic>
    <xdr:clientData/>
  </xdr:twoCellAnchor>
  <xdr:twoCellAnchor>
    <xdr:from>
      <xdr:col>6</xdr:col>
      <xdr:colOff>455837</xdr:colOff>
      <xdr:row>35</xdr:row>
      <xdr:rowOff>176893</xdr:rowOff>
    </xdr:from>
    <xdr:to>
      <xdr:col>9</xdr:col>
      <xdr:colOff>796016</xdr:colOff>
      <xdr:row>50</xdr:row>
      <xdr:rowOff>136070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E6085184-9EB5-452D-ACEE-D72AB4764D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118110</xdr:colOff>
      <xdr:row>0</xdr:row>
      <xdr:rowOff>123500</xdr:rowOff>
    </xdr:from>
    <xdr:to>
      <xdr:col>13</xdr:col>
      <xdr:colOff>2212</xdr:colOff>
      <xdr:row>6</xdr:row>
      <xdr:rowOff>106256</xdr:rowOff>
    </xdr:to>
    <xdr:sp macro="" textlink="">
      <xdr:nvSpPr>
        <xdr:cNvPr id="2" name="Bisel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1002661" y="123500"/>
          <a:ext cx="2880000" cy="1440000"/>
        </a:xfrm>
        <a:prstGeom prst="bevel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 b="1"/>
        </a:p>
        <a:p>
          <a:pPr algn="ctr"/>
          <a:r>
            <a:rPr lang="pt-BR" sz="2000" b="1"/>
            <a:t>VOLTAR</a:t>
          </a:r>
        </a:p>
        <a:p>
          <a:pPr algn="ctr"/>
          <a:r>
            <a:rPr lang="pt-BR" sz="2000" b="1"/>
            <a:t>GERAL</a:t>
          </a:r>
        </a:p>
      </xdr:txBody>
    </xdr:sp>
    <xdr:clientData/>
  </xdr:twoCellAnchor>
  <xdr:twoCellAnchor>
    <xdr:from>
      <xdr:col>8</xdr:col>
      <xdr:colOff>126251</xdr:colOff>
      <xdr:row>6</xdr:row>
      <xdr:rowOff>165752</xdr:rowOff>
    </xdr:from>
    <xdr:to>
      <xdr:col>13</xdr:col>
      <xdr:colOff>10353</xdr:colOff>
      <xdr:row>12</xdr:row>
      <xdr:rowOff>156650</xdr:rowOff>
    </xdr:to>
    <xdr:sp macro="" textlink="">
      <xdr:nvSpPr>
        <xdr:cNvPr id="3" name="Bisel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1010802" y="1622996"/>
          <a:ext cx="2880000" cy="1440000"/>
        </a:xfrm>
        <a:prstGeom prst="bevel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 b="1"/>
        </a:p>
        <a:p>
          <a:pPr algn="ctr"/>
          <a:r>
            <a:rPr lang="pt-BR" sz="2000" b="1"/>
            <a:t>PEDIDO</a:t>
          </a:r>
        </a:p>
        <a:p>
          <a:pPr algn="ctr"/>
          <a:r>
            <a:rPr lang="pt-BR" sz="2000" b="1"/>
            <a:t>CLIENTE</a:t>
          </a:r>
        </a:p>
      </xdr:txBody>
    </xdr:sp>
    <xdr:clientData/>
  </xdr:twoCellAnchor>
  <xdr:twoCellAnchor>
    <xdr:from>
      <xdr:col>8</xdr:col>
      <xdr:colOff>142533</xdr:colOff>
      <xdr:row>12</xdr:row>
      <xdr:rowOff>205399</xdr:rowOff>
    </xdr:from>
    <xdr:to>
      <xdr:col>13</xdr:col>
      <xdr:colOff>26635</xdr:colOff>
      <xdr:row>18</xdr:row>
      <xdr:rowOff>204437</xdr:rowOff>
    </xdr:to>
    <xdr:sp macro="" textlink="">
      <xdr:nvSpPr>
        <xdr:cNvPr id="5" name="Bisel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1027084" y="3111745"/>
          <a:ext cx="2880000" cy="1440000"/>
        </a:xfrm>
        <a:prstGeom prst="bevel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 b="1"/>
        </a:p>
        <a:p>
          <a:pPr algn="ctr"/>
          <a:r>
            <a:rPr lang="pt-BR" sz="2000" b="1"/>
            <a:t>PEDIDO</a:t>
          </a:r>
        </a:p>
        <a:p>
          <a:pPr algn="ctr"/>
          <a:r>
            <a:rPr lang="pt-BR" sz="2000" b="1"/>
            <a:t>EMPRESA</a:t>
          </a:r>
        </a:p>
      </xdr:txBody>
    </xdr:sp>
    <xdr:clientData/>
  </xdr:twoCellAnchor>
  <xdr:twoCellAnchor>
    <xdr:from>
      <xdr:col>3</xdr:col>
      <xdr:colOff>39080</xdr:colOff>
      <xdr:row>0</xdr:row>
      <xdr:rowOff>196363</xdr:rowOff>
    </xdr:from>
    <xdr:to>
      <xdr:col>7</xdr:col>
      <xdr:colOff>725715</xdr:colOff>
      <xdr:row>8</xdr:row>
      <xdr:rowOff>83039</xdr:rowOff>
    </xdr:to>
    <xdr:sp macro="" textlink="">
      <xdr:nvSpPr>
        <xdr:cNvPr id="6" name="Retângulo de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5013247" y="196363"/>
          <a:ext cx="5660801" cy="1832381"/>
        </a:xfrm>
        <a:prstGeom prst="roundRect">
          <a:avLst/>
        </a:prstGeom>
        <a:noFill/>
        <a:ln w="5715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2000" b="1"/>
        </a:p>
      </xdr:txBody>
    </xdr:sp>
    <xdr:clientData/>
  </xdr:twoCellAnchor>
  <xdr:twoCellAnchor>
    <xdr:from>
      <xdr:col>8</xdr:col>
      <xdr:colOff>153628</xdr:colOff>
      <xdr:row>19</xdr:row>
      <xdr:rowOff>9239</xdr:rowOff>
    </xdr:from>
    <xdr:to>
      <xdr:col>13</xdr:col>
      <xdr:colOff>37730</xdr:colOff>
      <xdr:row>25</xdr:row>
      <xdr:rowOff>136</xdr:rowOff>
    </xdr:to>
    <xdr:sp macro="[0]!LIMPA1" textlink="">
      <xdr:nvSpPr>
        <xdr:cNvPr id="13" name="Bisel 6">
          <a:extLst>
            <a:ext uri="{FF2B5EF4-FFF2-40B4-BE49-F238E27FC236}">
              <a16:creationId xmlns:a16="http://schemas.microsoft.com/office/drawing/2014/main" id="{D2A23DE6-4473-499D-8834-528C364921BC}"/>
            </a:ext>
          </a:extLst>
        </xdr:cNvPr>
        <xdr:cNvSpPr/>
      </xdr:nvSpPr>
      <xdr:spPr>
        <a:xfrm>
          <a:off x="11038179" y="4600777"/>
          <a:ext cx="2880000" cy="1440000"/>
        </a:xfrm>
        <a:prstGeom prst="bevel">
          <a:avLst>
            <a:gd name="adj" fmla="val 13972"/>
          </a:avLst>
        </a:prstGeom>
        <a:solidFill>
          <a:srgbClr val="99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i="1"/>
            <a:t>LIMPAR DADOS</a:t>
          </a:r>
        </a:p>
      </xdr:txBody>
    </xdr:sp>
    <xdr:clientData/>
  </xdr:twoCellAnchor>
  <xdr:twoCellAnchor>
    <xdr:from>
      <xdr:col>5</xdr:col>
      <xdr:colOff>9997</xdr:colOff>
      <xdr:row>10</xdr:row>
      <xdr:rowOff>48440</xdr:rowOff>
    </xdr:from>
    <xdr:to>
      <xdr:col>6</xdr:col>
      <xdr:colOff>667497</xdr:colOff>
      <xdr:row>16</xdr:row>
      <xdr:rowOff>55620</xdr:rowOff>
    </xdr:to>
    <xdr:sp macro="[0]!META" textlink="">
      <xdr:nvSpPr>
        <xdr:cNvPr id="14" name="Bisel 4">
          <a:extLst>
            <a:ext uri="{FF2B5EF4-FFF2-40B4-BE49-F238E27FC236}">
              <a16:creationId xmlns:a16="http://schemas.microsoft.com/office/drawing/2014/main" id="{0A90DF34-CCC9-4CB7-887F-D196B758015D}"/>
            </a:ext>
          </a:extLst>
        </xdr:cNvPr>
        <xdr:cNvSpPr/>
      </xdr:nvSpPr>
      <xdr:spPr>
        <a:xfrm>
          <a:off x="7027561" y="2482607"/>
          <a:ext cx="2880000" cy="1440000"/>
        </a:xfrm>
        <a:prstGeom prst="bevel">
          <a:avLst/>
        </a:prstGeom>
        <a:solidFill>
          <a:schemeClr val="tx1">
            <a:lumMod val="95000"/>
            <a:lumOff val="5000"/>
          </a:schemeClr>
        </a:solidFill>
        <a:ln>
          <a:solidFill>
            <a:schemeClr val="bg1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solidFill>
                <a:schemeClr val="bg1"/>
              </a:solidFill>
            </a:rPr>
            <a:t>CALCULAR VALOR PARA 40% ANÁLISES COMPLETAS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30480</xdr:colOff>
      <xdr:row>0</xdr:row>
      <xdr:rowOff>22860</xdr:rowOff>
    </xdr:from>
    <xdr:to>
      <xdr:col>7</xdr:col>
      <xdr:colOff>843280</xdr:colOff>
      <xdr:row>5</xdr:row>
      <xdr:rowOff>172169</xdr:rowOff>
    </xdr:to>
    <xdr:pic>
      <xdr:nvPicPr>
        <xdr:cNvPr id="2" name="Imagem 2" descr="Preciza_logo.jp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4120" y="22860"/>
          <a:ext cx="3078480" cy="113990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590127</xdr:colOff>
      <xdr:row>0</xdr:row>
      <xdr:rowOff>135466</xdr:rowOff>
    </xdr:from>
    <xdr:to>
      <xdr:col>15</xdr:col>
      <xdr:colOff>94044</xdr:colOff>
      <xdr:row>7</xdr:row>
      <xdr:rowOff>157299</xdr:rowOff>
    </xdr:to>
    <xdr:sp macro="" textlink="">
      <xdr:nvSpPr>
        <xdr:cNvPr id="3" name="Bisel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8749877" y="135466"/>
          <a:ext cx="2880000" cy="1440000"/>
        </a:xfrm>
        <a:prstGeom prst="bevel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 b="1"/>
        </a:p>
        <a:p>
          <a:pPr algn="ctr"/>
          <a:r>
            <a:rPr lang="pt-BR" sz="2000" b="1"/>
            <a:t>VOLTAR</a:t>
          </a:r>
        </a:p>
        <a:p>
          <a:pPr algn="ctr"/>
          <a:r>
            <a:rPr lang="pt-BR" sz="2000" b="1"/>
            <a:t>GERAL</a:t>
          </a:r>
        </a:p>
      </xdr:txBody>
    </xdr:sp>
    <xdr:clientData/>
  </xdr:twoCellAnchor>
  <xdr:twoCellAnchor>
    <xdr:from>
      <xdr:col>11</xdr:col>
      <xdr:colOff>590126</xdr:colOff>
      <xdr:row>8</xdr:row>
      <xdr:rowOff>20530</xdr:rowOff>
    </xdr:from>
    <xdr:to>
      <xdr:col>15</xdr:col>
      <xdr:colOff>94043</xdr:colOff>
      <xdr:row>15</xdr:row>
      <xdr:rowOff>31780</xdr:rowOff>
    </xdr:to>
    <xdr:sp macro="" textlink="">
      <xdr:nvSpPr>
        <xdr:cNvPr id="4" name="Bisel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8749876" y="1639780"/>
          <a:ext cx="2880000" cy="1440000"/>
        </a:xfrm>
        <a:prstGeom prst="bevel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INPUT DADOS</a:t>
          </a:r>
        </a:p>
      </xdr:txBody>
    </xdr:sp>
    <xdr:clientData/>
  </xdr:twoCellAnchor>
  <xdr:twoCellAnchor>
    <xdr:from>
      <xdr:col>11</xdr:col>
      <xdr:colOff>590126</xdr:colOff>
      <xdr:row>15</xdr:row>
      <xdr:rowOff>99273</xdr:rowOff>
    </xdr:from>
    <xdr:to>
      <xdr:col>15</xdr:col>
      <xdr:colOff>94043</xdr:colOff>
      <xdr:row>22</xdr:row>
      <xdr:rowOff>110523</xdr:rowOff>
    </xdr:to>
    <xdr:sp macro="" textlink="">
      <xdr:nvSpPr>
        <xdr:cNvPr id="5" name="Bisel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8749876" y="3147273"/>
          <a:ext cx="2880000" cy="1440000"/>
        </a:xfrm>
        <a:prstGeom prst="bevel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 b="1"/>
        </a:p>
        <a:p>
          <a:pPr algn="ctr"/>
          <a:r>
            <a:rPr lang="pt-BR" sz="2000" b="1"/>
            <a:t>PEDIDO</a:t>
          </a:r>
        </a:p>
        <a:p>
          <a:pPr algn="ctr"/>
          <a:r>
            <a:rPr lang="pt-BR" sz="2000" b="1"/>
            <a:t>EMPRESA</a:t>
          </a:r>
        </a:p>
      </xdr:txBody>
    </xdr:sp>
    <xdr:clientData/>
  </xdr:twoCellAnchor>
  <xdr:twoCellAnchor>
    <xdr:from>
      <xdr:col>11</xdr:col>
      <xdr:colOff>590125</xdr:colOff>
      <xdr:row>23</xdr:row>
      <xdr:rowOff>4024</xdr:rowOff>
    </xdr:from>
    <xdr:to>
      <xdr:col>15</xdr:col>
      <xdr:colOff>94042</xdr:colOff>
      <xdr:row>30</xdr:row>
      <xdr:rowOff>15274</xdr:rowOff>
    </xdr:to>
    <xdr:sp macro="[0]!LIMPAR_PEDIDO_AP" textlink="">
      <xdr:nvSpPr>
        <xdr:cNvPr id="6" name="Bisel 4">
          <a:extLst>
            <a:ext uri="{FF2B5EF4-FFF2-40B4-BE49-F238E27FC236}">
              <a16:creationId xmlns:a16="http://schemas.microsoft.com/office/drawing/2014/main" id="{06FC89A1-5F71-40C1-AEB3-D847530E1049}"/>
            </a:ext>
          </a:extLst>
        </xdr:cNvPr>
        <xdr:cNvSpPr/>
      </xdr:nvSpPr>
      <xdr:spPr>
        <a:xfrm>
          <a:off x="8749875" y="4681857"/>
          <a:ext cx="2880000" cy="1440000"/>
        </a:xfrm>
        <a:prstGeom prst="bevel">
          <a:avLst/>
        </a:prstGeom>
        <a:solidFill>
          <a:srgbClr val="99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LIMPAR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30480</xdr:colOff>
      <xdr:row>0</xdr:row>
      <xdr:rowOff>22860</xdr:rowOff>
    </xdr:from>
    <xdr:to>
      <xdr:col>8</xdr:col>
      <xdr:colOff>49530</xdr:colOff>
      <xdr:row>5</xdr:row>
      <xdr:rowOff>172169</xdr:rowOff>
    </xdr:to>
    <xdr:pic>
      <xdr:nvPicPr>
        <xdr:cNvPr id="2" name="Imagem 2" descr="Preciza_logo.jp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6520" y="22860"/>
          <a:ext cx="3078480" cy="113990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537209</xdr:colOff>
      <xdr:row>3</xdr:row>
      <xdr:rowOff>5290</xdr:rowOff>
    </xdr:from>
    <xdr:to>
      <xdr:col>16</xdr:col>
      <xdr:colOff>284542</xdr:colOff>
      <xdr:row>10</xdr:row>
      <xdr:rowOff>56757</xdr:rowOff>
    </xdr:to>
    <xdr:sp macro="" textlink="">
      <xdr:nvSpPr>
        <xdr:cNvPr id="3" name="Bisel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8758342" y="589490"/>
          <a:ext cx="2880000" cy="1440000"/>
        </a:xfrm>
        <a:prstGeom prst="bevel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 b="1"/>
        </a:p>
        <a:p>
          <a:pPr algn="ctr"/>
          <a:r>
            <a:rPr lang="pt-BR" sz="2000" b="1"/>
            <a:t>VOLTAR</a:t>
          </a:r>
        </a:p>
        <a:p>
          <a:pPr algn="ctr"/>
          <a:r>
            <a:rPr lang="pt-BR" sz="2000" b="1"/>
            <a:t>GERAL</a:t>
          </a:r>
        </a:p>
      </xdr:txBody>
    </xdr:sp>
    <xdr:clientData/>
  </xdr:twoCellAnchor>
  <xdr:twoCellAnchor>
    <xdr:from>
      <xdr:col>11</xdr:col>
      <xdr:colOff>537209</xdr:colOff>
      <xdr:row>10</xdr:row>
      <xdr:rowOff>95038</xdr:rowOff>
    </xdr:from>
    <xdr:to>
      <xdr:col>16</xdr:col>
      <xdr:colOff>284542</xdr:colOff>
      <xdr:row>17</xdr:row>
      <xdr:rowOff>171904</xdr:rowOff>
    </xdr:to>
    <xdr:sp macro="" textlink="">
      <xdr:nvSpPr>
        <xdr:cNvPr id="4" name="Bisel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8758342" y="2067771"/>
          <a:ext cx="2880000" cy="1440000"/>
        </a:xfrm>
        <a:prstGeom prst="bevel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INPUT DADOS</a:t>
          </a:r>
        </a:p>
      </xdr:txBody>
    </xdr:sp>
    <xdr:clientData/>
  </xdr:twoCellAnchor>
  <xdr:twoCellAnchor>
    <xdr:from>
      <xdr:col>11</xdr:col>
      <xdr:colOff>537209</xdr:colOff>
      <xdr:row>18</xdr:row>
      <xdr:rowOff>5927</xdr:rowOff>
    </xdr:from>
    <xdr:to>
      <xdr:col>16</xdr:col>
      <xdr:colOff>284542</xdr:colOff>
      <xdr:row>25</xdr:row>
      <xdr:rowOff>65860</xdr:rowOff>
    </xdr:to>
    <xdr:sp macro="" textlink="">
      <xdr:nvSpPr>
        <xdr:cNvPr id="5" name="Bisel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8758342" y="3536527"/>
          <a:ext cx="2880000" cy="1440000"/>
        </a:xfrm>
        <a:prstGeom prst="bevel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 b="1"/>
        </a:p>
        <a:p>
          <a:pPr algn="ctr"/>
          <a:r>
            <a:rPr lang="pt-BR" sz="2000" b="1"/>
            <a:t>PEDIDO</a:t>
          </a:r>
        </a:p>
        <a:p>
          <a:pPr algn="ctr"/>
          <a:r>
            <a:rPr lang="pt-BR" sz="2000" b="1"/>
            <a:t>CLIENTE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346344</xdr:colOff>
      <xdr:row>4</xdr:row>
      <xdr:rowOff>35310</xdr:rowOff>
    </xdr:from>
    <xdr:to>
      <xdr:col>15</xdr:col>
      <xdr:colOff>178344</xdr:colOff>
      <xdr:row>11</xdr:row>
      <xdr:rowOff>26270</xdr:rowOff>
    </xdr:to>
    <xdr:sp macro="" textlink="">
      <xdr:nvSpPr>
        <xdr:cNvPr id="2" name="Bisel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992375" y="850336"/>
          <a:ext cx="2777876" cy="1414800"/>
        </a:xfrm>
        <a:prstGeom prst="bevel">
          <a:avLst/>
        </a:prstGeom>
        <a:solidFill>
          <a:srgbClr val="00B05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VOLTAR</a:t>
          </a:r>
        </a:p>
        <a:p>
          <a:pPr algn="ctr"/>
          <a:r>
            <a:rPr lang="pt-BR" sz="2000" b="1"/>
            <a:t>GERAL</a:t>
          </a:r>
        </a:p>
      </xdr:txBody>
    </xdr:sp>
    <xdr:clientData/>
  </xdr:twoCellAnchor>
  <xdr:twoCellAnchor>
    <xdr:from>
      <xdr:col>10</xdr:col>
      <xdr:colOff>356235</xdr:colOff>
      <xdr:row>19</xdr:row>
      <xdr:rowOff>59054</xdr:rowOff>
    </xdr:from>
    <xdr:to>
      <xdr:col>15</xdr:col>
      <xdr:colOff>188235</xdr:colOff>
      <xdr:row>26</xdr:row>
      <xdr:rowOff>98879</xdr:rowOff>
    </xdr:to>
    <xdr:sp macro="" textlink="">
      <xdr:nvSpPr>
        <xdr:cNvPr id="3" name="Bisel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1167110" y="3726179"/>
          <a:ext cx="2880000" cy="1440000"/>
        </a:xfrm>
        <a:prstGeom prst="bevel">
          <a:avLst/>
        </a:prstGeom>
        <a:solidFill>
          <a:srgbClr val="0070C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PEDIDO</a:t>
          </a:r>
        </a:p>
        <a:p>
          <a:pPr algn="ctr"/>
          <a:r>
            <a:rPr lang="pt-BR" sz="2000" b="1"/>
            <a:t>CLIENTE</a:t>
          </a:r>
        </a:p>
      </xdr:txBody>
    </xdr:sp>
    <xdr:clientData/>
  </xdr:twoCellAnchor>
  <xdr:twoCellAnchor>
    <xdr:from>
      <xdr:col>10</xdr:col>
      <xdr:colOff>352424</xdr:colOff>
      <xdr:row>11</xdr:row>
      <xdr:rowOff>123824</xdr:rowOff>
    </xdr:from>
    <xdr:to>
      <xdr:col>15</xdr:col>
      <xdr:colOff>184424</xdr:colOff>
      <xdr:row>18</xdr:row>
      <xdr:rowOff>163649</xdr:rowOff>
    </xdr:to>
    <xdr:sp macro="[0]!LIMPA_CONF1" textlink="">
      <xdr:nvSpPr>
        <xdr:cNvPr id="4" name="Bisel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1163299" y="2190749"/>
          <a:ext cx="2880000" cy="1440000"/>
        </a:xfrm>
        <a:prstGeom prst="bevel">
          <a:avLst/>
        </a:prstGeom>
        <a:solidFill>
          <a:srgbClr val="990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LIMPAR </a:t>
          </a:r>
          <a:r>
            <a:rPr lang="pt-BR" sz="2000" b="1" baseline="0"/>
            <a:t>DADOS</a:t>
          </a:r>
          <a:endParaRPr lang="pt-BR" sz="2000" b="1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30480</xdr:colOff>
      <xdr:row>0</xdr:row>
      <xdr:rowOff>22860</xdr:rowOff>
    </xdr:from>
    <xdr:to>
      <xdr:col>8</xdr:col>
      <xdr:colOff>411480</xdr:colOff>
      <xdr:row>5</xdr:row>
      <xdr:rowOff>172169</xdr:rowOff>
    </xdr:to>
    <xdr:pic>
      <xdr:nvPicPr>
        <xdr:cNvPr id="2" name="Imagem 2" descr="Preciza_logo.jp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4120" y="22860"/>
          <a:ext cx="3154680" cy="113990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527685</xdr:colOff>
      <xdr:row>3</xdr:row>
      <xdr:rowOff>13335</xdr:rowOff>
    </xdr:from>
    <xdr:to>
      <xdr:col>16</xdr:col>
      <xdr:colOff>264435</xdr:colOff>
      <xdr:row>10</xdr:row>
      <xdr:rowOff>24585</xdr:rowOff>
    </xdr:to>
    <xdr:sp macro="" textlink="">
      <xdr:nvSpPr>
        <xdr:cNvPr id="3" name="Bisel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8538210" y="613410"/>
          <a:ext cx="2880000" cy="1440000"/>
        </a:xfrm>
        <a:prstGeom prst="bevel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 b="1"/>
        </a:p>
        <a:p>
          <a:pPr algn="ctr"/>
          <a:r>
            <a:rPr lang="pt-BR" sz="2000" b="1"/>
            <a:t>VOLTAR</a:t>
          </a:r>
        </a:p>
        <a:p>
          <a:pPr algn="ctr"/>
          <a:r>
            <a:rPr lang="pt-BR" sz="2000" b="1"/>
            <a:t>GERAL</a:t>
          </a:r>
        </a:p>
      </xdr:txBody>
    </xdr:sp>
    <xdr:clientData/>
  </xdr:twoCellAnchor>
  <xdr:twoCellAnchor>
    <xdr:from>
      <xdr:col>11</xdr:col>
      <xdr:colOff>527685</xdr:colOff>
      <xdr:row>10</xdr:row>
      <xdr:rowOff>91440</xdr:rowOff>
    </xdr:from>
    <xdr:to>
      <xdr:col>16</xdr:col>
      <xdr:colOff>264435</xdr:colOff>
      <xdr:row>17</xdr:row>
      <xdr:rowOff>131265</xdr:rowOff>
    </xdr:to>
    <xdr:sp macro="" textlink="">
      <xdr:nvSpPr>
        <xdr:cNvPr id="4" name="Bisel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8538210" y="2120265"/>
          <a:ext cx="2880000" cy="1440000"/>
        </a:xfrm>
        <a:prstGeom prst="bevel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 b="1"/>
        </a:p>
        <a:p>
          <a:pPr algn="ctr"/>
          <a:r>
            <a:rPr lang="pt-BR" sz="2000" b="1"/>
            <a:t>INPUT</a:t>
          </a:r>
        </a:p>
        <a:p>
          <a:pPr algn="ctr"/>
          <a:r>
            <a:rPr lang="pt-BR" sz="2000" b="1"/>
            <a:t>CONFERÊNCIA</a:t>
          </a:r>
        </a:p>
      </xdr:txBody>
    </xdr:sp>
    <xdr:clientData/>
  </xdr:twoCellAnchor>
  <xdr:twoCellAnchor>
    <xdr:from>
      <xdr:col>11</xdr:col>
      <xdr:colOff>520276</xdr:colOff>
      <xdr:row>18</xdr:row>
      <xdr:rowOff>3603</xdr:rowOff>
    </xdr:from>
    <xdr:to>
      <xdr:col>16</xdr:col>
      <xdr:colOff>257026</xdr:colOff>
      <xdr:row>25</xdr:row>
      <xdr:rowOff>26495</xdr:rowOff>
    </xdr:to>
    <xdr:sp macro="[0]!LIMPA_CONF_PED" textlink="">
      <xdr:nvSpPr>
        <xdr:cNvPr id="5" name="Bisel 3">
          <a:extLst>
            <a:ext uri="{FF2B5EF4-FFF2-40B4-BE49-F238E27FC236}">
              <a16:creationId xmlns:a16="http://schemas.microsoft.com/office/drawing/2014/main" id="{36096C91-85E4-4CCF-AD38-7D756F2E942C}"/>
            </a:ext>
          </a:extLst>
        </xdr:cNvPr>
        <xdr:cNvSpPr/>
      </xdr:nvSpPr>
      <xdr:spPr>
        <a:xfrm>
          <a:off x="8521276" y="3534203"/>
          <a:ext cx="2869417" cy="1402959"/>
        </a:xfrm>
        <a:prstGeom prst="bevel">
          <a:avLst/>
        </a:prstGeom>
        <a:solidFill>
          <a:srgbClr val="99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LIMPAR DADOS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30480</xdr:colOff>
      <xdr:row>0</xdr:row>
      <xdr:rowOff>22860</xdr:rowOff>
    </xdr:from>
    <xdr:to>
      <xdr:col>8</xdr:col>
      <xdr:colOff>121920</xdr:colOff>
      <xdr:row>5</xdr:row>
      <xdr:rowOff>111209</xdr:rowOff>
    </xdr:to>
    <xdr:pic>
      <xdr:nvPicPr>
        <xdr:cNvPr id="2" name="Imagem 2" descr="Preciza_logo.jpg">
          <a:extLst>
            <a:ext uri="{FF2B5EF4-FFF2-40B4-BE49-F238E27FC236}">
              <a16:creationId xmlns:a16="http://schemas.microsoft.com/office/drawing/2014/main" id="{C2DB499D-606C-4DD7-99A4-D9E2AB1E0F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0" y="22860"/>
          <a:ext cx="2880360" cy="106370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527685</xdr:colOff>
      <xdr:row>3</xdr:row>
      <xdr:rowOff>13335</xdr:rowOff>
    </xdr:from>
    <xdr:to>
      <xdr:col>16</xdr:col>
      <xdr:colOff>264435</xdr:colOff>
      <xdr:row>10</xdr:row>
      <xdr:rowOff>24585</xdr:rowOff>
    </xdr:to>
    <xdr:sp macro="" textlink="">
      <xdr:nvSpPr>
        <xdr:cNvPr id="3" name="Bisel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4AC79FC-73DE-4B31-8260-38EFA1E21D95}"/>
            </a:ext>
          </a:extLst>
        </xdr:cNvPr>
        <xdr:cNvSpPr/>
      </xdr:nvSpPr>
      <xdr:spPr>
        <a:xfrm>
          <a:off x="8513445" y="607695"/>
          <a:ext cx="2860950" cy="1420950"/>
        </a:xfrm>
        <a:prstGeom prst="bevel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 b="1"/>
        </a:p>
        <a:p>
          <a:pPr algn="ctr"/>
          <a:r>
            <a:rPr lang="pt-BR" sz="2000" b="1"/>
            <a:t>VOLTAR</a:t>
          </a:r>
        </a:p>
        <a:p>
          <a:pPr algn="ctr"/>
          <a:r>
            <a:rPr lang="pt-BR" sz="2000" b="1"/>
            <a:t>GERAL</a:t>
          </a:r>
        </a:p>
      </xdr:txBody>
    </xdr:sp>
    <xdr:clientData/>
  </xdr:twoCellAnchor>
  <xdr:twoCellAnchor>
    <xdr:from>
      <xdr:col>11</xdr:col>
      <xdr:colOff>527685</xdr:colOff>
      <xdr:row>10</xdr:row>
      <xdr:rowOff>97155</xdr:rowOff>
    </xdr:from>
    <xdr:to>
      <xdr:col>16</xdr:col>
      <xdr:colOff>264435</xdr:colOff>
      <xdr:row>17</xdr:row>
      <xdr:rowOff>131265</xdr:rowOff>
    </xdr:to>
    <xdr:sp macro="[0]!LIMPA_DRONE" textlink="">
      <xdr:nvSpPr>
        <xdr:cNvPr id="4" name="Bisel 2">
          <a:extLst>
            <a:ext uri="{FF2B5EF4-FFF2-40B4-BE49-F238E27FC236}">
              <a16:creationId xmlns:a16="http://schemas.microsoft.com/office/drawing/2014/main" id="{031AFC13-A086-485B-A3B6-3A47C8778FCF}"/>
            </a:ext>
          </a:extLst>
        </xdr:cNvPr>
        <xdr:cNvSpPr/>
      </xdr:nvSpPr>
      <xdr:spPr>
        <a:xfrm>
          <a:off x="8513445" y="2101215"/>
          <a:ext cx="2860950" cy="1420950"/>
        </a:xfrm>
        <a:prstGeom prst="bevel">
          <a:avLst/>
        </a:prstGeom>
        <a:solidFill>
          <a:srgbClr val="99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LIMPAR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30480</xdr:colOff>
      <xdr:row>0</xdr:row>
      <xdr:rowOff>22860</xdr:rowOff>
    </xdr:from>
    <xdr:to>
      <xdr:col>8</xdr:col>
      <xdr:colOff>70485</xdr:colOff>
      <xdr:row>5</xdr:row>
      <xdr:rowOff>107399</xdr:rowOff>
    </xdr:to>
    <xdr:pic>
      <xdr:nvPicPr>
        <xdr:cNvPr id="2" name="Imagem 2" descr="Preciza_logo.jpg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0" y="22860"/>
          <a:ext cx="3230880" cy="113990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527685</xdr:colOff>
      <xdr:row>3</xdr:row>
      <xdr:rowOff>13335</xdr:rowOff>
    </xdr:from>
    <xdr:to>
      <xdr:col>16</xdr:col>
      <xdr:colOff>264435</xdr:colOff>
      <xdr:row>10</xdr:row>
      <xdr:rowOff>24585</xdr:rowOff>
    </xdr:to>
    <xdr:sp macro="" textlink="">
      <xdr:nvSpPr>
        <xdr:cNvPr id="3" name="Bisel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8513445" y="607695"/>
          <a:ext cx="2860950" cy="1420950"/>
        </a:xfrm>
        <a:prstGeom prst="bevel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 b="1"/>
        </a:p>
        <a:p>
          <a:pPr algn="ctr"/>
          <a:r>
            <a:rPr lang="pt-BR" sz="2000" b="1"/>
            <a:t>VOLTAR</a:t>
          </a:r>
        </a:p>
        <a:p>
          <a:pPr algn="ctr"/>
          <a:r>
            <a:rPr lang="pt-BR" sz="2000" b="1"/>
            <a:t>GERAL</a:t>
          </a:r>
        </a:p>
      </xdr:txBody>
    </xdr:sp>
    <xdr:clientData/>
  </xdr:twoCellAnchor>
  <xdr:twoCellAnchor>
    <xdr:from>
      <xdr:col>11</xdr:col>
      <xdr:colOff>535305</xdr:colOff>
      <xdr:row>10</xdr:row>
      <xdr:rowOff>127635</xdr:rowOff>
    </xdr:from>
    <xdr:to>
      <xdr:col>16</xdr:col>
      <xdr:colOff>272055</xdr:colOff>
      <xdr:row>17</xdr:row>
      <xdr:rowOff>161745</xdr:rowOff>
    </xdr:to>
    <xdr:sp macro="[0]!limpa_compacta" textlink="">
      <xdr:nvSpPr>
        <xdr:cNvPr id="4" name="Bisel 2">
          <a:extLst>
            <a:ext uri="{FF2B5EF4-FFF2-40B4-BE49-F238E27FC236}">
              <a16:creationId xmlns:a16="http://schemas.microsoft.com/office/drawing/2014/main" id="{0F6C2E04-0033-4524-AE8D-951AE3750C9E}"/>
            </a:ext>
          </a:extLst>
        </xdr:cNvPr>
        <xdr:cNvSpPr/>
      </xdr:nvSpPr>
      <xdr:spPr>
        <a:xfrm>
          <a:off x="8521065" y="2131695"/>
          <a:ext cx="2860950" cy="1420950"/>
        </a:xfrm>
        <a:prstGeom prst="bevel">
          <a:avLst/>
        </a:prstGeom>
        <a:solidFill>
          <a:srgbClr val="99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LIMPAR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112136</xdr:colOff>
      <xdr:row>0</xdr:row>
      <xdr:rowOff>149610</xdr:rowOff>
    </xdr:from>
    <xdr:to>
      <xdr:col>15</xdr:col>
      <xdr:colOff>553736</xdr:colOff>
      <xdr:row>7</xdr:row>
      <xdr:rowOff>132285</xdr:rowOff>
    </xdr:to>
    <xdr:sp macro="" textlink="">
      <xdr:nvSpPr>
        <xdr:cNvPr id="2" name="Bisel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3002043" y="149610"/>
          <a:ext cx="2791693" cy="1460385"/>
        </a:xfrm>
        <a:prstGeom prst="bevel">
          <a:avLst/>
        </a:prstGeom>
        <a:solidFill>
          <a:srgbClr val="00B05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VOLTAR</a:t>
          </a:r>
        </a:p>
        <a:p>
          <a:pPr algn="ctr"/>
          <a:r>
            <a:rPr lang="pt-BR" sz="2000" b="1"/>
            <a:t>GERAL</a:t>
          </a:r>
        </a:p>
      </xdr:txBody>
    </xdr:sp>
    <xdr:clientData/>
  </xdr:twoCellAnchor>
  <xdr:twoCellAnchor>
    <xdr:from>
      <xdr:col>11</xdr:col>
      <xdr:colOff>122027</xdr:colOff>
      <xdr:row>7</xdr:row>
      <xdr:rowOff>192404</xdr:rowOff>
    </xdr:from>
    <xdr:to>
      <xdr:col>15</xdr:col>
      <xdr:colOff>563627</xdr:colOff>
      <xdr:row>15</xdr:row>
      <xdr:rowOff>32204</xdr:rowOff>
    </xdr:to>
    <xdr:sp macro="" textlink="">
      <xdr:nvSpPr>
        <xdr:cNvPr id="3" name="Bisel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3011934" y="1670114"/>
          <a:ext cx="2791693" cy="1406529"/>
        </a:xfrm>
        <a:prstGeom prst="bevel">
          <a:avLst/>
        </a:prstGeom>
        <a:solidFill>
          <a:srgbClr val="0070C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PEDIDO</a:t>
          </a:r>
        </a:p>
        <a:p>
          <a:pPr algn="ctr"/>
          <a:r>
            <a:rPr lang="pt-BR" sz="2000" b="1"/>
            <a:t>CLIENTE</a:t>
          </a:r>
        </a:p>
      </xdr:txBody>
    </xdr:sp>
    <xdr:clientData/>
  </xdr:twoCellAnchor>
  <xdr:twoCellAnchor>
    <xdr:from>
      <xdr:col>11</xdr:col>
      <xdr:colOff>128734</xdr:colOff>
      <xdr:row>15</xdr:row>
      <xdr:rowOff>81369</xdr:rowOff>
    </xdr:from>
    <xdr:to>
      <xdr:col>15</xdr:col>
      <xdr:colOff>570334</xdr:colOff>
      <xdr:row>22</xdr:row>
      <xdr:rowOff>121194</xdr:rowOff>
    </xdr:to>
    <xdr:sp macro="" textlink="">
      <xdr:nvSpPr>
        <xdr:cNvPr id="4" name="Bisel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13018641" y="3125808"/>
          <a:ext cx="2791693" cy="1410713"/>
        </a:xfrm>
        <a:prstGeom prst="bevel">
          <a:avLst/>
        </a:prstGeom>
        <a:solidFill>
          <a:srgbClr val="0070C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PEDIDO</a:t>
          </a:r>
          <a:endParaRPr lang="pt-BR" sz="2000" b="1" baseline="0"/>
        </a:p>
        <a:p>
          <a:pPr algn="ctr"/>
          <a:r>
            <a:rPr lang="pt-BR" sz="2000" b="1" baseline="0"/>
            <a:t>EMPRESA</a:t>
          </a:r>
          <a:endParaRPr lang="pt-BR" sz="4000" b="1"/>
        </a:p>
      </xdr:txBody>
    </xdr:sp>
    <xdr:clientData/>
  </xdr:twoCellAnchor>
  <xdr:twoCellAnchor>
    <xdr:from>
      <xdr:col>11</xdr:col>
      <xdr:colOff>128734</xdr:colOff>
      <xdr:row>22</xdr:row>
      <xdr:rowOff>186144</xdr:rowOff>
    </xdr:from>
    <xdr:to>
      <xdr:col>15</xdr:col>
      <xdr:colOff>570334</xdr:colOff>
      <xdr:row>30</xdr:row>
      <xdr:rowOff>6894</xdr:rowOff>
    </xdr:to>
    <xdr:sp macro="[0]!Limpa_Folha" textlink="">
      <xdr:nvSpPr>
        <xdr:cNvPr id="5" name="Bisel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>
        <a:xfrm>
          <a:off x="13018641" y="4601471"/>
          <a:ext cx="2791693" cy="1423087"/>
        </a:xfrm>
        <a:prstGeom prst="bevel">
          <a:avLst/>
        </a:prstGeom>
        <a:solidFill>
          <a:srgbClr val="990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LIMPAR</a:t>
          </a:r>
        </a:p>
        <a:p>
          <a:pPr algn="ctr"/>
          <a:r>
            <a:rPr lang="pt-BR" sz="2000" b="1"/>
            <a:t>DADOS</a:t>
          </a:r>
          <a:endParaRPr lang="pt-BR" sz="4000" b="1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30480</xdr:colOff>
      <xdr:row>0</xdr:row>
      <xdr:rowOff>22860</xdr:rowOff>
    </xdr:from>
    <xdr:to>
      <xdr:col>8</xdr:col>
      <xdr:colOff>525780</xdr:colOff>
      <xdr:row>5</xdr:row>
      <xdr:rowOff>172169</xdr:rowOff>
    </xdr:to>
    <xdr:pic>
      <xdr:nvPicPr>
        <xdr:cNvPr id="2" name="Imagem 2" descr="Preciza_logo.jp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0" y="22860"/>
          <a:ext cx="3307080" cy="113990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139065</xdr:colOff>
      <xdr:row>3</xdr:row>
      <xdr:rowOff>129540</xdr:rowOff>
    </xdr:from>
    <xdr:to>
      <xdr:col>16</xdr:col>
      <xdr:colOff>504465</xdr:colOff>
      <xdr:row>10</xdr:row>
      <xdr:rowOff>140790</xdr:rowOff>
    </xdr:to>
    <xdr:sp macro="" textlink="">
      <xdr:nvSpPr>
        <xdr:cNvPr id="3" name="Bisel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8816340" y="729615"/>
          <a:ext cx="2880000" cy="1440000"/>
        </a:xfrm>
        <a:prstGeom prst="bevel">
          <a:avLst/>
        </a:prstGeom>
        <a:solidFill>
          <a:srgbClr val="00B05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 b="1"/>
        </a:p>
        <a:p>
          <a:pPr algn="ctr"/>
          <a:r>
            <a:rPr lang="pt-BR" sz="2000" b="1"/>
            <a:t>VOLTAR</a:t>
          </a:r>
        </a:p>
        <a:p>
          <a:pPr algn="ctr"/>
          <a:r>
            <a:rPr lang="pt-BR" sz="2000" b="1"/>
            <a:t>GERAL</a:t>
          </a:r>
        </a:p>
      </xdr:txBody>
    </xdr:sp>
    <xdr:clientData/>
  </xdr:twoCellAnchor>
  <xdr:twoCellAnchor>
    <xdr:from>
      <xdr:col>12</xdr:col>
      <xdr:colOff>139065</xdr:colOff>
      <xdr:row>10</xdr:row>
      <xdr:rowOff>188594</xdr:rowOff>
    </xdr:from>
    <xdr:to>
      <xdr:col>16</xdr:col>
      <xdr:colOff>504465</xdr:colOff>
      <xdr:row>18</xdr:row>
      <xdr:rowOff>28394</xdr:rowOff>
    </xdr:to>
    <xdr:sp macro="" textlink="">
      <xdr:nvSpPr>
        <xdr:cNvPr id="4" name="Bisel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8816340" y="2217419"/>
          <a:ext cx="2880000" cy="1440000"/>
        </a:xfrm>
        <a:prstGeom prst="bevel">
          <a:avLst/>
        </a:prstGeom>
        <a:solidFill>
          <a:srgbClr val="0070C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 b="1"/>
        </a:p>
        <a:p>
          <a:pPr algn="ctr"/>
          <a:r>
            <a:rPr lang="pt-BR" sz="2000" b="1"/>
            <a:t>INPUT</a:t>
          </a:r>
        </a:p>
        <a:p>
          <a:pPr algn="ctr"/>
          <a:r>
            <a:rPr lang="pt-BR" sz="2000" b="1"/>
            <a:t>FOLHA</a:t>
          </a:r>
        </a:p>
      </xdr:txBody>
    </xdr:sp>
    <xdr:clientData/>
  </xdr:twoCellAnchor>
  <xdr:twoCellAnchor>
    <xdr:from>
      <xdr:col>12</xdr:col>
      <xdr:colOff>148590</xdr:colOff>
      <xdr:row>18</xdr:row>
      <xdr:rowOff>74294</xdr:rowOff>
    </xdr:from>
    <xdr:to>
      <xdr:col>16</xdr:col>
      <xdr:colOff>513990</xdr:colOff>
      <xdr:row>25</xdr:row>
      <xdr:rowOff>95069</xdr:rowOff>
    </xdr:to>
    <xdr:sp macro="" textlink="">
      <xdr:nvSpPr>
        <xdr:cNvPr id="5" name="Bisel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8825865" y="3703319"/>
          <a:ext cx="2880000" cy="1440000"/>
        </a:xfrm>
        <a:prstGeom prst="bevel">
          <a:avLst/>
        </a:prstGeom>
        <a:solidFill>
          <a:srgbClr val="0070C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PEDIDO</a:t>
          </a:r>
        </a:p>
        <a:p>
          <a:pPr algn="ctr"/>
          <a:r>
            <a:rPr lang="pt-BR" sz="2000" b="1"/>
            <a:t>EMPRESA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30480</xdr:colOff>
      <xdr:row>0</xdr:row>
      <xdr:rowOff>22860</xdr:rowOff>
    </xdr:from>
    <xdr:to>
      <xdr:col>8</xdr:col>
      <xdr:colOff>261620</xdr:colOff>
      <xdr:row>5</xdr:row>
      <xdr:rowOff>172169</xdr:rowOff>
    </xdr:to>
    <xdr:pic>
      <xdr:nvPicPr>
        <xdr:cNvPr id="2" name="Imagem 2" descr="Preciza_logo.jp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0" y="22860"/>
          <a:ext cx="3383280" cy="113990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19050</xdr:colOff>
      <xdr:row>5</xdr:row>
      <xdr:rowOff>66675</xdr:rowOff>
    </xdr:from>
    <xdr:to>
      <xdr:col>16</xdr:col>
      <xdr:colOff>384450</xdr:colOff>
      <xdr:row>12</xdr:row>
      <xdr:rowOff>77925</xdr:rowOff>
    </xdr:to>
    <xdr:sp macro="" textlink="">
      <xdr:nvSpPr>
        <xdr:cNvPr id="3" name="Bisel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9039225" y="1066800"/>
          <a:ext cx="2880000" cy="1440000"/>
        </a:xfrm>
        <a:prstGeom prst="bevel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 b="1"/>
        </a:p>
        <a:p>
          <a:pPr algn="ctr"/>
          <a:r>
            <a:rPr lang="pt-BR" sz="2000" b="1"/>
            <a:t>VOLTAR</a:t>
          </a:r>
        </a:p>
        <a:p>
          <a:pPr algn="ctr"/>
          <a:r>
            <a:rPr lang="pt-BR" sz="2000" b="1"/>
            <a:t>GERAL</a:t>
          </a:r>
        </a:p>
      </xdr:txBody>
    </xdr:sp>
    <xdr:clientData/>
  </xdr:twoCellAnchor>
  <xdr:twoCellAnchor>
    <xdr:from>
      <xdr:col>12</xdr:col>
      <xdr:colOff>19050</xdr:colOff>
      <xdr:row>12</xdr:row>
      <xdr:rowOff>125729</xdr:rowOff>
    </xdr:from>
    <xdr:to>
      <xdr:col>16</xdr:col>
      <xdr:colOff>384450</xdr:colOff>
      <xdr:row>19</xdr:row>
      <xdr:rowOff>165554</xdr:rowOff>
    </xdr:to>
    <xdr:sp macro="" textlink="">
      <xdr:nvSpPr>
        <xdr:cNvPr id="4" name="Bisel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9039225" y="2554604"/>
          <a:ext cx="2880000" cy="1440000"/>
        </a:xfrm>
        <a:prstGeom prst="bevel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 b="1"/>
        </a:p>
        <a:p>
          <a:pPr algn="ctr"/>
          <a:r>
            <a:rPr lang="pt-BR" sz="2000" b="1"/>
            <a:t>INPUT</a:t>
          </a:r>
        </a:p>
        <a:p>
          <a:pPr algn="ctr"/>
          <a:r>
            <a:rPr lang="pt-BR" sz="2000" b="1"/>
            <a:t>FOLHA</a:t>
          </a:r>
        </a:p>
      </xdr:txBody>
    </xdr:sp>
    <xdr:clientData/>
  </xdr:twoCellAnchor>
  <xdr:twoCellAnchor>
    <xdr:from>
      <xdr:col>12</xdr:col>
      <xdr:colOff>28575</xdr:colOff>
      <xdr:row>20</xdr:row>
      <xdr:rowOff>11430</xdr:rowOff>
    </xdr:from>
    <xdr:to>
      <xdr:col>16</xdr:col>
      <xdr:colOff>393975</xdr:colOff>
      <xdr:row>27</xdr:row>
      <xdr:rowOff>32205</xdr:rowOff>
    </xdr:to>
    <xdr:sp macro="" textlink="">
      <xdr:nvSpPr>
        <xdr:cNvPr id="5" name="Bisel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9048750" y="4040505"/>
          <a:ext cx="2880000" cy="1440000"/>
        </a:xfrm>
        <a:prstGeom prst="bevel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PEDIDO</a:t>
          </a:r>
        </a:p>
        <a:p>
          <a:pPr algn="ctr"/>
          <a:r>
            <a:rPr lang="pt-BR" sz="2000" b="1"/>
            <a:t>CLIENTE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863874</xdr:colOff>
      <xdr:row>19</xdr:row>
      <xdr:rowOff>41687</xdr:rowOff>
    </xdr:from>
    <xdr:to>
      <xdr:col>5</xdr:col>
      <xdr:colOff>1020845</xdr:colOff>
      <xdr:row>25</xdr:row>
      <xdr:rowOff>136981</xdr:rowOff>
    </xdr:to>
    <xdr:sp macro="" textlink="">
      <xdr:nvSpPr>
        <xdr:cNvPr id="2" name="Bisel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774727" y="4759363"/>
          <a:ext cx="2880000" cy="1440000"/>
        </a:xfrm>
        <a:prstGeom prst="bevel">
          <a:avLst/>
        </a:prstGeom>
        <a:solidFill>
          <a:srgbClr val="0070C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PEDIDO</a:t>
          </a:r>
          <a:r>
            <a:rPr lang="pt-BR" sz="2000" b="1" baseline="0"/>
            <a:t> ATV</a:t>
          </a:r>
          <a:endParaRPr lang="pt-BR" sz="2000" b="1"/>
        </a:p>
      </xdr:txBody>
    </xdr:sp>
    <xdr:clientData/>
  </xdr:twoCellAnchor>
  <xdr:twoCellAnchor>
    <xdr:from>
      <xdr:col>1</xdr:col>
      <xdr:colOff>297425</xdr:colOff>
      <xdr:row>19</xdr:row>
      <xdr:rowOff>39899</xdr:rowOff>
    </xdr:from>
    <xdr:to>
      <xdr:col>3</xdr:col>
      <xdr:colOff>812984</xdr:colOff>
      <xdr:row>25</xdr:row>
      <xdr:rowOff>135193</xdr:rowOff>
    </xdr:to>
    <xdr:sp macro="" textlink="">
      <xdr:nvSpPr>
        <xdr:cNvPr id="3" name="Bisel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1843837" y="4757575"/>
          <a:ext cx="2880000" cy="1440000"/>
        </a:xfrm>
        <a:prstGeom prst="bevel">
          <a:avLst/>
        </a:prstGeom>
        <a:solidFill>
          <a:srgbClr val="00B05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VOLTAR</a:t>
          </a:r>
          <a:r>
            <a:rPr lang="pt-BR" sz="2000" b="1" baseline="0"/>
            <a:t> GERAL</a:t>
          </a:r>
          <a:endParaRPr lang="pt-BR" sz="2000" b="1"/>
        </a:p>
      </xdr:txBody>
    </xdr:sp>
    <xdr:clientData/>
  </xdr:twoCellAnchor>
  <xdr:twoCellAnchor>
    <xdr:from>
      <xdr:col>5</xdr:col>
      <xdr:colOff>1061738</xdr:colOff>
      <xdr:row>19</xdr:row>
      <xdr:rowOff>41365</xdr:rowOff>
    </xdr:from>
    <xdr:to>
      <xdr:col>9</xdr:col>
      <xdr:colOff>748061</xdr:colOff>
      <xdr:row>25</xdr:row>
      <xdr:rowOff>136659</xdr:rowOff>
    </xdr:to>
    <xdr:sp macro="[0]!LIMPA_ATV" textlink="">
      <xdr:nvSpPr>
        <xdr:cNvPr id="4" name="Bisel 1">
          <a:extLst>
            <a:ext uri="{FF2B5EF4-FFF2-40B4-BE49-F238E27FC236}">
              <a16:creationId xmlns:a16="http://schemas.microsoft.com/office/drawing/2014/main" id="{59DDB23B-199A-452F-9FBE-6042466538FB}"/>
            </a:ext>
          </a:extLst>
        </xdr:cNvPr>
        <xdr:cNvSpPr/>
      </xdr:nvSpPr>
      <xdr:spPr>
        <a:xfrm>
          <a:off x="7695620" y="4759041"/>
          <a:ext cx="2880000" cy="1440000"/>
        </a:xfrm>
        <a:prstGeom prst="bevel">
          <a:avLst/>
        </a:prstGeom>
        <a:solidFill>
          <a:srgbClr val="990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LIMPAR</a:t>
          </a:r>
          <a:r>
            <a:rPr lang="pt-BR" sz="2000" b="1" baseline="0"/>
            <a:t> DADOS</a:t>
          </a:r>
          <a:endParaRPr lang="pt-BR" sz="2000" b="1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30480</xdr:colOff>
      <xdr:row>0</xdr:row>
      <xdr:rowOff>22860</xdr:rowOff>
    </xdr:from>
    <xdr:to>
      <xdr:col>8</xdr:col>
      <xdr:colOff>411480</xdr:colOff>
      <xdr:row>5</xdr:row>
      <xdr:rowOff>172169</xdr:rowOff>
    </xdr:to>
    <xdr:pic>
      <xdr:nvPicPr>
        <xdr:cNvPr id="2" name="Imagem 2" descr="Preciza_logo.jpg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0" y="22860"/>
          <a:ext cx="3154680" cy="113990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556260</xdr:colOff>
      <xdr:row>3</xdr:row>
      <xdr:rowOff>0</xdr:rowOff>
    </xdr:from>
    <xdr:to>
      <xdr:col>16</xdr:col>
      <xdr:colOff>333832</xdr:colOff>
      <xdr:row>10</xdr:row>
      <xdr:rowOff>35743</xdr:rowOff>
    </xdr:to>
    <xdr:sp macro="" textlink="">
      <xdr:nvSpPr>
        <xdr:cNvPr id="3" name="Bisel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8524603" y="587829"/>
          <a:ext cx="2880000" cy="1440000"/>
        </a:xfrm>
        <a:prstGeom prst="bevel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 b="1"/>
        </a:p>
        <a:p>
          <a:pPr algn="ctr"/>
          <a:r>
            <a:rPr lang="pt-BR" sz="2000" b="1"/>
            <a:t>VOLTAR</a:t>
          </a:r>
        </a:p>
        <a:p>
          <a:pPr algn="ctr"/>
          <a:r>
            <a:rPr lang="pt-BR" sz="2000" b="1"/>
            <a:t>GERAL</a:t>
          </a:r>
        </a:p>
      </xdr:txBody>
    </xdr:sp>
    <xdr:clientData/>
  </xdr:twoCellAnchor>
  <xdr:twoCellAnchor>
    <xdr:from>
      <xdr:col>11</xdr:col>
      <xdr:colOff>556260</xdr:colOff>
      <xdr:row>10</xdr:row>
      <xdr:rowOff>90082</xdr:rowOff>
    </xdr:from>
    <xdr:to>
      <xdr:col>16</xdr:col>
      <xdr:colOff>333832</xdr:colOff>
      <xdr:row>17</xdr:row>
      <xdr:rowOff>158482</xdr:rowOff>
    </xdr:to>
    <xdr:sp macro="" textlink="">
      <xdr:nvSpPr>
        <xdr:cNvPr id="4" name="Bisel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8524603" y="2082168"/>
          <a:ext cx="2880000" cy="1440000"/>
        </a:xfrm>
        <a:prstGeom prst="bevel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INPUT DADOS</a:t>
          </a:r>
        </a:p>
      </xdr:txBody>
    </xdr:sp>
    <xdr:clientData/>
  </xdr:twoCellAnchor>
  <xdr:twoCellAnchor>
    <xdr:from>
      <xdr:col>11</xdr:col>
      <xdr:colOff>541787</xdr:colOff>
      <xdr:row>25</xdr:row>
      <xdr:rowOff>106162</xdr:rowOff>
    </xdr:from>
    <xdr:to>
      <xdr:col>16</xdr:col>
      <xdr:colOff>319359</xdr:colOff>
      <xdr:row>32</xdr:row>
      <xdr:rowOff>160707</xdr:rowOff>
    </xdr:to>
    <xdr:sp macro="[0]!LIMPA_PEDIDO_ATV" textlink="">
      <xdr:nvSpPr>
        <xdr:cNvPr id="5" name="Bisel 3">
          <a:extLst>
            <a:ext uri="{FF2B5EF4-FFF2-40B4-BE49-F238E27FC236}">
              <a16:creationId xmlns:a16="http://schemas.microsoft.com/office/drawing/2014/main" id="{53FDE779-AB3C-409B-A781-DCE98409AA6F}"/>
            </a:ext>
          </a:extLst>
        </xdr:cNvPr>
        <xdr:cNvSpPr/>
      </xdr:nvSpPr>
      <xdr:spPr>
        <a:xfrm>
          <a:off x="8476112" y="5154412"/>
          <a:ext cx="2825572" cy="1473770"/>
        </a:xfrm>
        <a:prstGeom prst="bevel">
          <a:avLst/>
        </a:prstGeom>
        <a:solidFill>
          <a:srgbClr val="99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LIMPA DADOS</a:t>
          </a:r>
        </a:p>
      </xdr:txBody>
    </xdr:sp>
    <xdr:clientData/>
  </xdr:twoCellAnchor>
  <xdr:twoCellAnchor>
    <xdr:from>
      <xdr:col>11</xdr:col>
      <xdr:colOff>533128</xdr:colOff>
      <xdr:row>18</xdr:row>
      <xdr:rowOff>5718</xdr:rowOff>
    </xdr:from>
    <xdr:to>
      <xdr:col>16</xdr:col>
      <xdr:colOff>310700</xdr:colOff>
      <xdr:row>25</xdr:row>
      <xdr:rowOff>55068</xdr:rowOff>
    </xdr:to>
    <xdr:sp macro="" textlink="">
      <xdr:nvSpPr>
        <xdr:cNvPr id="6" name="Bisel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86309B2-3254-4D41-B7B9-F5D772FAC5FA}"/>
            </a:ext>
          </a:extLst>
        </xdr:cNvPr>
        <xdr:cNvSpPr/>
      </xdr:nvSpPr>
      <xdr:spPr>
        <a:xfrm>
          <a:off x="8467453" y="3634743"/>
          <a:ext cx="2825572" cy="1468575"/>
        </a:xfrm>
        <a:prstGeom prst="bevel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PEDIDO CLIENTE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30480</xdr:colOff>
      <xdr:row>0</xdr:row>
      <xdr:rowOff>22860</xdr:rowOff>
    </xdr:from>
    <xdr:to>
      <xdr:col>8</xdr:col>
      <xdr:colOff>411480</xdr:colOff>
      <xdr:row>5</xdr:row>
      <xdr:rowOff>172169</xdr:rowOff>
    </xdr:to>
    <xdr:pic>
      <xdr:nvPicPr>
        <xdr:cNvPr id="2" name="Imagem 2" descr="Preciza_logo.jpg">
          <a:extLst>
            <a:ext uri="{FF2B5EF4-FFF2-40B4-BE49-F238E27FC236}">
              <a16:creationId xmlns:a16="http://schemas.microsoft.com/office/drawing/2014/main" id="{E409E159-C0FA-4B52-9724-ADAD09E279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3655" y="22860"/>
          <a:ext cx="3152775" cy="11494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556260</xdr:colOff>
      <xdr:row>3</xdr:row>
      <xdr:rowOff>0</xdr:rowOff>
    </xdr:from>
    <xdr:to>
      <xdr:col>16</xdr:col>
      <xdr:colOff>333832</xdr:colOff>
      <xdr:row>10</xdr:row>
      <xdr:rowOff>35743</xdr:rowOff>
    </xdr:to>
    <xdr:sp macro="" textlink="">
      <xdr:nvSpPr>
        <xdr:cNvPr id="3" name="Bisel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5320D57-C660-4B8B-806A-44376F150DA9}"/>
            </a:ext>
          </a:extLst>
        </xdr:cNvPr>
        <xdr:cNvSpPr/>
      </xdr:nvSpPr>
      <xdr:spPr>
        <a:xfrm>
          <a:off x="8490585" y="600075"/>
          <a:ext cx="2825572" cy="1464493"/>
        </a:xfrm>
        <a:prstGeom prst="bevel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 b="1"/>
        </a:p>
        <a:p>
          <a:pPr algn="ctr"/>
          <a:r>
            <a:rPr lang="pt-BR" sz="2000" b="1"/>
            <a:t>VOLTAR</a:t>
          </a:r>
        </a:p>
        <a:p>
          <a:pPr algn="ctr"/>
          <a:r>
            <a:rPr lang="pt-BR" sz="2000" b="1"/>
            <a:t>GERAL</a:t>
          </a:r>
        </a:p>
      </xdr:txBody>
    </xdr:sp>
    <xdr:clientData/>
  </xdr:twoCellAnchor>
  <xdr:twoCellAnchor>
    <xdr:from>
      <xdr:col>11</xdr:col>
      <xdr:colOff>556260</xdr:colOff>
      <xdr:row>10</xdr:row>
      <xdr:rowOff>90082</xdr:rowOff>
    </xdr:from>
    <xdr:to>
      <xdr:col>16</xdr:col>
      <xdr:colOff>333832</xdr:colOff>
      <xdr:row>17</xdr:row>
      <xdr:rowOff>158482</xdr:rowOff>
    </xdr:to>
    <xdr:sp macro="" textlink="">
      <xdr:nvSpPr>
        <xdr:cNvPr id="4" name="Bisel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ACA1D12-A5E0-4956-9C7F-EB813B509DEC}"/>
            </a:ext>
          </a:extLst>
        </xdr:cNvPr>
        <xdr:cNvSpPr/>
      </xdr:nvSpPr>
      <xdr:spPr>
        <a:xfrm>
          <a:off x="8490585" y="2118907"/>
          <a:ext cx="2825572" cy="1468575"/>
        </a:xfrm>
        <a:prstGeom prst="bevel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INPUT DADOS</a:t>
          </a:r>
        </a:p>
      </xdr:txBody>
    </xdr:sp>
    <xdr:clientData/>
  </xdr:twoCellAnchor>
  <xdr:twoCellAnchor>
    <xdr:from>
      <xdr:col>11</xdr:col>
      <xdr:colOff>533128</xdr:colOff>
      <xdr:row>18</xdr:row>
      <xdr:rowOff>5718</xdr:rowOff>
    </xdr:from>
    <xdr:to>
      <xdr:col>16</xdr:col>
      <xdr:colOff>310700</xdr:colOff>
      <xdr:row>25</xdr:row>
      <xdr:rowOff>55068</xdr:rowOff>
    </xdr:to>
    <xdr:sp macro="" textlink="">
      <xdr:nvSpPr>
        <xdr:cNvPr id="6" name="Bisel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EA196C1-1871-41EA-A79E-5BDCE57220AD}"/>
            </a:ext>
          </a:extLst>
        </xdr:cNvPr>
        <xdr:cNvSpPr/>
      </xdr:nvSpPr>
      <xdr:spPr>
        <a:xfrm>
          <a:off x="8467453" y="3634743"/>
          <a:ext cx="2825572" cy="1468575"/>
        </a:xfrm>
        <a:prstGeom prst="bevel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PEDIDO EMPRESA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735330</xdr:colOff>
      <xdr:row>0</xdr:row>
      <xdr:rowOff>0</xdr:rowOff>
    </xdr:from>
    <xdr:to>
      <xdr:col>7</xdr:col>
      <xdr:colOff>423122</xdr:colOff>
      <xdr:row>5</xdr:row>
      <xdr:rowOff>190500</xdr:rowOff>
    </xdr:to>
    <xdr:pic>
      <xdr:nvPicPr>
        <xdr:cNvPr id="2" name="Imagem 2" descr="Preciza_logo.jpg">
          <a:extLst>
            <a:ext uri="{FF2B5EF4-FFF2-40B4-BE49-F238E27FC236}">
              <a16:creationId xmlns:a16="http://schemas.microsoft.com/office/drawing/2014/main" id="{18FEADF6-EEEA-42DD-BF2B-556397693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0" y="0"/>
          <a:ext cx="3339465" cy="1181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356235</xdr:colOff>
      <xdr:row>5</xdr:row>
      <xdr:rowOff>85724</xdr:rowOff>
    </xdr:from>
    <xdr:to>
      <xdr:col>17</xdr:col>
      <xdr:colOff>92985</xdr:colOff>
      <xdr:row>12</xdr:row>
      <xdr:rowOff>96974</xdr:rowOff>
    </xdr:to>
    <xdr:sp macro="" textlink="">
      <xdr:nvSpPr>
        <xdr:cNvPr id="3" name="Bisel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BF4E92C-3A29-4AA4-AE7A-3E560DDAC3B6}"/>
            </a:ext>
          </a:extLst>
        </xdr:cNvPr>
        <xdr:cNvSpPr/>
      </xdr:nvSpPr>
      <xdr:spPr>
        <a:xfrm>
          <a:off x="9058275" y="1076324"/>
          <a:ext cx="2860950" cy="1420950"/>
        </a:xfrm>
        <a:prstGeom prst="bevel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VOLTAR</a:t>
          </a:r>
        </a:p>
        <a:p>
          <a:pPr algn="ctr"/>
          <a:r>
            <a:rPr lang="pt-BR" sz="2000" b="1"/>
            <a:t>GERAL</a:t>
          </a:r>
        </a:p>
      </xdr:txBody>
    </xdr:sp>
    <xdr:clientData/>
  </xdr:twoCellAnchor>
  <xdr:twoCellAnchor>
    <xdr:from>
      <xdr:col>12</xdr:col>
      <xdr:colOff>356235</xdr:colOff>
      <xdr:row>12</xdr:row>
      <xdr:rowOff>139064</xdr:rowOff>
    </xdr:from>
    <xdr:to>
      <xdr:col>17</xdr:col>
      <xdr:colOff>92985</xdr:colOff>
      <xdr:row>19</xdr:row>
      <xdr:rowOff>173174</xdr:rowOff>
    </xdr:to>
    <xdr:sp macro="[0]!LIMPA_EQUALIZA" textlink="">
      <xdr:nvSpPr>
        <xdr:cNvPr id="4" name="Bisel 6">
          <a:extLst>
            <a:ext uri="{FF2B5EF4-FFF2-40B4-BE49-F238E27FC236}">
              <a16:creationId xmlns:a16="http://schemas.microsoft.com/office/drawing/2014/main" id="{EE31557B-6A9D-4E5C-9E1C-9C3B75739664}"/>
            </a:ext>
          </a:extLst>
        </xdr:cNvPr>
        <xdr:cNvSpPr/>
      </xdr:nvSpPr>
      <xdr:spPr>
        <a:xfrm>
          <a:off x="9058275" y="2539364"/>
          <a:ext cx="2860950" cy="1420950"/>
        </a:xfrm>
        <a:prstGeom prst="bevel">
          <a:avLst/>
        </a:prstGeom>
        <a:solidFill>
          <a:srgbClr val="990000"/>
        </a:solidFill>
        <a:ln w="190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LIMPAR</a:t>
          </a:r>
        </a:p>
      </xdr:txBody>
    </xdr:sp>
    <xdr:clientData/>
  </xdr:twoCellAnchor>
  <xdr:twoCellAnchor>
    <xdr:from>
      <xdr:col>12</xdr:col>
      <xdr:colOff>349634</xdr:colOff>
      <xdr:row>20</xdr:row>
      <xdr:rowOff>152401</xdr:rowOff>
    </xdr:from>
    <xdr:to>
      <xdr:col>14</xdr:col>
      <xdr:colOff>471974</xdr:colOff>
      <xdr:row>22</xdr:row>
      <xdr:rowOff>182895</xdr:rowOff>
    </xdr:to>
    <xdr:sp macro="" textlink="">
      <xdr:nvSpPr>
        <xdr:cNvPr id="5" name="Retângulo: Biselad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BBBC1EC-15B0-6F34-8C61-76E7ACF2ECE0}"/>
            </a:ext>
          </a:extLst>
        </xdr:cNvPr>
        <xdr:cNvSpPr/>
      </xdr:nvSpPr>
      <xdr:spPr>
        <a:xfrm>
          <a:off x="10036559" y="4181476"/>
          <a:ext cx="1341540" cy="449594"/>
        </a:xfrm>
        <a:prstGeom prst="bevel">
          <a:avLst/>
        </a:prstGeom>
        <a:solidFill>
          <a:srgbClr val="92D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Me mostre AP</a:t>
          </a:r>
        </a:p>
      </xdr:txBody>
    </xdr:sp>
    <xdr:clientData/>
  </xdr:twoCellAnchor>
  <xdr:twoCellAnchor>
    <xdr:from>
      <xdr:col>12</xdr:col>
      <xdr:colOff>353479</xdr:colOff>
      <xdr:row>23</xdr:row>
      <xdr:rowOff>39584</xdr:rowOff>
    </xdr:from>
    <xdr:to>
      <xdr:col>14</xdr:col>
      <xdr:colOff>475819</xdr:colOff>
      <xdr:row>25</xdr:row>
      <xdr:rowOff>89534</xdr:rowOff>
    </xdr:to>
    <xdr:sp macro="" textlink="">
      <xdr:nvSpPr>
        <xdr:cNvPr id="6" name="Retângulo: Biselad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AE10C8E-5B98-4822-A1EB-E9340351B62F}"/>
            </a:ext>
          </a:extLst>
        </xdr:cNvPr>
        <xdr:cNvSpPr/>
      </xdr:nvSpPr>
      <xdr:spPr>
        <a:xfrm>
          <a:off x="10040404" y="4687784"/>
          <a:ext cx="1341540" cy="450000"/>
        </a:xfrm>
        <a:prstGeom prst="bevel">
          <a:avLst/>
        </a:prstGeom>
        <a:solidFill>
          <a:schemeClr val="bg2">
            <a:lumMod val="5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Me mostre Confere</a:t>
          </a:r>
        </a:p>
      </xdr:txBody>
    </xdr:sp>
    <xdr:clientData/>
  </xdr:twoCellAnchor>
  <xdr:twoCellAnchor>
    <xdr:from>
      <xdr:col>12</xdr:col>
      <xdr:colOff>367635</xdr:colOff>
      <xdr:row>25</xdr:row>
      <xdr:rowOff>137107</xdr:rowOff>
    </xdr:from>
    <xdr:to>
      <xdr:col>14</xdr:col>
      <xdr:colOff>489975</xdr:colOff>
      <xdr:row>27</xdr:row>
      <xdr:rowOff>187057</xdr:rowOff>
    </xdr:to>
    <xdr:sp macro="" textlink="">
      <xdr:nvSpPr>
        <xdr:cNvPr id="7" name="Retângulo: Biselad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0F98365-EAE9-455D-8481-9FEE370A5AEF}"/>
            </a:ext>
          </a:extLst>
        </xdr:cNvPr>
        <xdr:cNvSpPr/>
      </xdr:nvSpPr>
      <xdr:spPr>
        <a:xfrm>
          <a:off x="10054560" y="5185357"/>
          <a:ext cx="1341540" cy="450000"/>
        </a:xfrm>
        <a:prstGeom prst="bevel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/>
            <a:t>Me mostre Folha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30480</xdr:colOff>
      <xdr:row>0</xdr:row>
      <xdr:rowOff>22860</xdr:rowOff>
    </xdr:from>
    <xdr:ext cx="3079750" cy="1043940"/>
    <xdr:pic>
      <xdr:nvPicPr>
        <xdr:cNvPr id="2" name="Imagem 2" descr="Preciza_logo.jpg">
          <a:extLst>
            <a:ext uri="{FF2B5EF4-FFF2-40B4-BE49-F238E27FC236}">
              <a16:creationId xmlns:a16="http://schemas.microsoft.com/office/drawing/2014/main" id="{4C0C9E87-DF3B-4237-9A0F-A6196BBCD0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49880" y="22860"/>
          <a:ext cx="3079750" cy="10439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11</xdr:col>
      <xdr:colOff>336127</xdr:colOff>
      <xdr:row>6</xdr:row>
      <xdr:rowOff>29633</xdr:rowOff>
    </xdr:from>
    <xdr:to>
      <xdr:col>15</xdr:col>
      <xdr:colOff>160247</xdr:colOff>
      <xdr:row>13</xdr:row>
      <xdr:rowOff>47233</xdr:rowOff>
    </xdr:to>
    <xdr:sp macro="" textlink="">
      <xdr:nvSpPr>
        <xdr:cNvPr id="3" name="Bisel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C498F5F-EF69-4885-94A8-FDD155B5E636}"/>
            </a:ext>
          </a:extLst>
        </xdr:cNvPr>
        <xdr:cNvSpPr/>
      </xdr:nvSpPr>
      <xdr:spPr>
        <a:xfrm>
          <a:off x="7041727" y="1172633"/>
          <a:ext cx="2262520" cy="1351100"/>
        </a:xfrm>
        <a:prstGeom prst="bevel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 b="1"/>
        </a:p>
        <a:p>
          <a:pPr algn="ctr"/>
          <a:r>
            <a:rPr lang="pt-BR" sz="2000" b="1"/>
            <a:t>VOLTAR</a:t>
          </a:r>
        </a:p>
        <a:p>
          <a:pPr algn="ctr"/>
          <a:r>
            <a:rPr lang="pt-BR" sz="2000" b="1"/>
            <a:t>GERAL</a:t>
          </a:r>
        </a:p>
      </xdr:txBody>
    </xdr:sp>
    <xdr:clientData/>
  </xdr:twoCellAnchor>
  <xdr:twoCellAnchor>
    <xdr:from>
      <xdr:col>11</xdr:col>
      <xdr:colOff>325541</xdr:colOff>
      <xdr:row>13</xdr:row>
      <xdr:rowOff>109858</xdr:rowOff>
    </xdr:from>
    <xdr:to>
      <xdr:col>15</xdr:col>
      <xdr:colOff>158749</xdr:colOff>
      <xdr:row>20</xdr:row>
      <xdr:rowOff>190957</xdr:rowOff>
    </xdr:to>
    <xdr:sp macro="[0]!Limpa_Pedido_lallemand" textlink="">
      <xdr:nvSpPr>
        <xdr:cNvPr id="4" name="Bisel 4">
          <a:extLst>
            <a:ext uri="{FF2B5EF4-FFF2-40B4-BE49-F238E27FC236}">
              <a16:creationId xmlns:a16="http://schemas.microsoft.com/office/drawing/2014/main" id="{CED561F5-83DA-401D-96F9-7CEC146120FE}"/>
            </a:ext>
          </a:extLst>
        </xdr:cNvPr>
        <xdr:cNvSpPr/>
      </xdr:nvSpPr>
      <xdr:spPr>
        <a:xfrm>
          <a:off x="7031141" y="2586358"/>
          <a:ext cx="2271608" cy="1414599"/>
        </a:xfrm>
        <a:prstGeom prst="bevel">
          <a:avLst/>
        </a:prstGeom>
        <a:solidFill>
          <a:srgbClr val="99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LIMPAR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6747</xdr:colOff>
      <xdr:row>5</xdr:row>
      <xdr:rowOff>146050</xdr:rowOff>
    </xdr:from>
    <xdr:to>
      <xdr:col>9</xdr:col>
      <xdr:colOff>186590</xdr:colOff>
      <xdr:row>9</xdr:row>
      <xdr:rowOff>208925</xdr:rowOff>
    </xdr:to>
    <xdr:sp macro="[0]!Drone_limpa" textlink="">
      <xdr:nvSpPr>
        <xdr:cNvPr id="4" name="Retângulo: Biselado 3">
          <a:extLst>
            <a:ext uri="{FF2B5EF4-FFF2-40B4-BE49-F238E27FC236}">
              <a16:creationId xmlns:a16="http://schemas.microsoft.com/office/drawing/2014/main" id="{67E92A5E-883A-4935-B923-410207A89E84}"/>
            </a:ext>
          </a:extLst>
        </xdr:cNvPr>
        <xdr:cNvSpPr/>
      </xdr:nvSpPr>
      <xdr:spPr>
        <a:xfrm>
          <a:off x="6961981" y="1237456"/>
          <a:ext cx="2700000" cy="936000"/>
        </a:xfrm>
        <a:prstGeom prst="bevel">
          <a:avLst/>
        </a:prstGeom>
        <a:solidFill>
          <a:srgbClr val="C0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/>
            <a:t>LIMPAR</a:t>
          </a:r>
        </a:p>
      </xdr:txBody>
    </xdr:sp>
    <xdr:clientData/>
  </xdr:twoCellAnchor>
  <xdr:twoCellAnchor>
    <xdr:from>
      <xdr:col>10</xdr:col>
      <xdr:colOff>20252</xdr:colOff>
      <xdr:row>1</xdr:row>
      <xdr:rowOff>57740</xdr:rowOff>
    </xdr:from>
    <xdr:to>
      <xdr:col>23</xdr:col>
      <xdr:colOff>522435</xdr:colOff>
      <xdr:row>46</xdr:row>
      <xdr:rowOff>133940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27E875DF-0801-14A0-7D03-E75F701030F5}"/>
            </a:ext>
          </a:extLst>
        </xdr:cNvPr>
        <xdr:cNvGrpSpPr/>
      </xdr:nvGrpSpPr>
      <xdr:grpSpPr>
        <a:xfrm>
          <a:off x="10176910" y="298372"/>
          <a:ext cx="8453051" cy="6462963"/>
          <a:chOff x="9790742" y="273770"/>
          <a:chExt cx="8416770" cy="6085788"/>
        </a:xfrm>
      </xdr:grpSpPr>
      <xdr:pic>
        <xdr:nvPicPr>
          <xdr:cNvPr id="5" name="Imagem 4">
            <a:extLst>
              <a:ext uri="{FF2B5EF4-FFF2-40B4-BE49-F238E27FC236}">
                <a16:creationId xmlns:a16="http://schemas.microsoft.com/office/drawing/2014/main" id="{2E675868-E6B5-AF34-D1EF-2F606DBB71F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r="5712"/>
          <a:stretch/>
        </xdr:blipFill>
        <xdr:spPr>
          <a:xfrm>
            <a:off x="9790742" y="273770"/>
            <a:ext cx="8416770" cy="6085788"/>
          </a:xfrm>
          <a:prstGeom prst="rect">
            <a:avLst/>
          </a:prstGeom>
        </xdr:spPr>
      </xdr:pic>
      <xdr:sp macro="" textlink="">
        <xdr:nvSpPr>
          <xdr:cNvPr id="6" name="CaixaDeTexto 5">
            <a:extLst>
              <a:ext uri="{FF2B5EF4-FFF2-40B4-BE49-F238E27FC236}">
                <a16:creationId xmlns:a16="http://schemas.microsoft.com/office/drawing/2014/main" id="{56DBA9E3-45EA-69B0-A284-0B45EDD5351C}"/>
              </a:ext>
            </a:extLst>
          </xdr:cNvPr>
          <xdr:cNvSpPr txBox="1"/>
        </xdr:nvSpPr>
        <xdr:spPr>
          <a:xfrm>
            <a:off x="9856136" y="5641788"/>
            <a:ext cx="4821369" cy="663873"/>
          </a:xfrm>
          <a:prstGeom prst="rect">
            <a:avLst/>
          </a:prstGeom>
          <a:solidFill>
            <a:schemeClr val="accent2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100"/>
              <a:t>Nesse exemplo, o valor final é de R$ 360,00</a:t>
            </a:r>
          </a:p>
          <a:p>
            <a:r>
              <a:rPr lang="pt-BR" sz="1100"/>
              <a:t>Distância</a:t>
            </a:r>
            <a:r>
              <a:rPr lang="pt-BR" sz="1100" baseline="0"/>
              <a:t> maior que 1200 metros, ou presença de algum obstáculo entre 2 áreas,</a:t>
            </a:r>
          </a:p>
          <a:p>
            <a:r>
              <a:rPr lang="pt-BR" sz="1100" baseline="0"/>
              <a:t>justifica mais de 1 pontos de RTK.</a:t>
            </a:r>
          </a:p>
        </xdr:txBody>
      </xdr:sp>
      <xdr:pic>
        <xdr:nvPicPr>
          <xdr:cNvPr id="7" name="Imagem 6">
            <a:extLst>
              <a:ext uri="{FF2B5EF4-FFF2-40B4-BE49-F238E27FC236}">
                <a16:creationId xmlns:a16="http://schemas.microsoft.com/office/drawing/2014/main" id="{26C65061-CD85-37AF-DDA6-5FB3A9AEEC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5040970" y="377599"/>
            <a:ext cx="2262936" cy="1527260"/>
          </a:xfrm>
          <a:prstGeom prst="rect">
            <a:avLst/>
          </a:prstGeom>
          <a:solidFill>
            <a:srgbClr val="FFFFFF">
              <a:shade val="85000"/>
            </a:srgbClr>
          </a:solidFill>
          <a:ln w="28575" cap="sq">
            <a:solidFill>
              <a:srgbClr val="FFFFFF"/>
            </a:solidFill>
            <a:miter lim="800000"/>
          </a:ln>
          <a:effectLst>
            <a:outerShdw blurRad="55000" dist="18000" dir="5400000" algn="tl" rotWithShape="0">
              <a:srgbClr val="000000">
                <a:alpha val="40000"/>
              </a:srgbClr>
            </a:outerShdw>
          </a:effectLst>
          <a:scene3d>
            <a:camera prst="orthographicFront"/>
            <a:lightRig rig="twoPt" dir="t">
              <a:rot lat="0" lon="0" rev="7200000"/>
            </a:lightRig>
          </a:scene3d>
          <a:sp3d>
            <a:bevelT w="25400" h="19050"/>
            <a:contourClr>
              <a:srgbClr val="FFFFFF"/>
            </a:contourClr>
          </a:sp3d>
        </xdr:spPr>
      </xdr:pic>
      <xdr:pic>
        <xdr:nvPicPr>
          <xdr:cNvPr id="8" name="Imagem 7">
            <a:extLst>
              <a:ext uri="{FF2B5EF4-FFF2-40B4-BE49-F238E27FC236}">
                <a16:creationId xmlns:a16="http://schemas.microsoft.com/office/drawing/2014/main" id="{06C1FCD5-A742-66BE-A451-E6565A2CEF9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852147" y="3700165"/>
            <a:ext cx="3082100" cy="1889710"/>
          </a:xfrm>
          <a:prstGeom prst="rect">
            <a:avLst/>
          </a:prstGeom>
          <a:solidFill>
            <a:srgbClr val="FFFFFF">
              <a:shade val="85000"/>
            </a:srgbClr>
          </a:solidFill>
          <a:ln w="19050" cap="sq">
            <a:solidFill>
              <a:srgbClr val="FFFFFF"/>
            </a:solidFill>
            <a:miter lim="800000"/>
          </a:ln>
          <a:effectLst>
            <a:outerShdw blurRad="55000" dist="18000" dir="5400000" algn="tl" rotWithShape="0">
              <a:srgbClr val="000000">
                <a:alpha val="40000"/>
              </a:srgbClr>
            </a:outerShdw>
          </a:effectLst>
          <a:scene3d>
            <a:camera prst="orthographicFront"/>
            <a:lightRig rig="twoPt" dir="t">
              <a:rot lat="0" lon="0" rev="7200000"/>
            </a:lightRig>
          </a:scene3d>
          <a:sp3d>
            <a:bevelT w="25400" h="19050"/>
            <a:contourClr>
              <a:srgbClr val="FFFFFF"/>
            </a:contourClr>
          </a:sp3d>
        </xdr:spPr>
      </xdr:pic>
      <xdr:sp macro="" textlink="">
        <xdr:nvSpPr>
          <xdr:cNvPr id="9" name="Seta: para Baixo 8">
            <a:extLst>
              <a:ext uri="{FF2B5EF4-FFF2-40B4-BE49-F238E27FC236}">
                <a16:creationId xmlns:a16="http://schemas.microsoft.com/office/drawing/2014/main" id="{CEEC3629-7245-524A-FEE3-B1C86EF52B39}"/>
              </a:ext>
            </a:extLst>
          </xdr:cNvPr>
          <xdr:cNvSpPr/>
        </xdr:nvSpPr>
        <xdr:spPr>
          <a:xfrm rot="5947862">
            <a:off x="13861733" y="3191206"/>
            <a:ext cx="856600" cy="2611748"/>
          </a:xfrm>
          <a:prstGeom prst="downArrow">
            <a:avLst/>
          </a:prstGeom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100000">
                <a:srgbClr val="FFFF00">
                  <a:alpha val="30000"/>
                </a:srgbClr>
              </a:gs>
            </a:gsLst>
            <a:lin ang="5400000" scaled="1"/>
          </a:gra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000" b="1"/>
          </a:p>
        </xdr:txBody>
      </xdr:sp>
      <xdr:sp macro="" textlink="">
        <xdr:nvSpPr>
          <xdr:cNvPr id="10" name="CaixaDeTexto 9">
            <a:extLst>
              <a:ext uri="{FF2B5EF4-FFF2-40B4-BE49-F238E27FC236}">
                <a16:creationId xmlns:a16="http://schemas.microsoft.com/office/drawing/2014/main" id="{EA41681D-1A13-EB04-35D4-0098E6E0E609}"/>
              </a:ext>
            </a:extLst>
          </xdr:cNvPr>
          <xdr:cNvSpPr txBox="1"/>
        </xdr:nvSpPr>
        <xdr:spPr>
          <a:xfrm>
            <a:off x="9960784" y="3762463"/>
            <a:ext cx="1952462" cy="476132"/>
          </a:xfrm>
          <a:prstGeom prst="rect">
            <a:avLst/>
          </a:prstGeom>
          <a:solidFill>
            <a:schemeClr val="tx1">
              <a:lumMod val="95000"/>
              <a:lumOff val="5000"/>
              <a:alpha val="50196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1100" b="1">
                <a:solidFill>
                  <a:schemeClr val="bg1"/>
                </a:solidFill>
              </a:rPr>
              <a:t>Detalhes para os postes de luz</a:t>
            </a:r>
          </a:p>
          <a:p>
            <a:r>
              <a:rPr lang="pt-BR" sz="1100" b="1">
                <a:solidFill>
                  <a:schemeClr val="bg1"/>
                </a:solidFill>
              </a:rPr>
              <a:t>(Difícil visualização)</a:t>
            </a:r>
          </a:p>
        </xdr:txBody>
      </xdr:sp>
      <xdr:sp macro="" textlink="">
        <xdr:nvSpPr>
          <xdr:cNvPr id="2" name="Seta: para Baixo 1">
            <a:extLst>
              <a:ext uri="{FF2B5EF4-FFF2-40B4-BE49-F238E27FC236}">
                <a16:creationId xmlns:a16="http://schemas.microsoft.com/office/drawing/2014/main" id="{3979FF24-422D-4E00-809C-6967DC140EF4}"/>
              </a:ext>
            </a:extLst>
          </xdr:cNvPr>
          <xdr:cNvSpPr/>
        </xdr:nvSpPr>
        <xdr:spPr>
          <a:xfrm rot="16200000">
            <a:off x="13446149" y="-161487"/>
            <a:ext cx="639516" cy="2118716"/>
          </a:xfrm>
          <a:prstGeom prst="downArrow">
            <a:avLst/>
          </a:prstGeom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100000">
                <a:srgbClr val="FFFF00">
                  <a:alpha val="30000"/>
                </a:srgbClr>
              </a:gs>
            </a:gsLst>
            <a:lin ang="5400000" scaled="1"/>
          </a:gra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pt-BR" sz="2000" b="1"/>
          </a:p>
        </xdr:txBody>
      </xdr:sp>
    </xdr:grpSp>
    <xdr:clientData/>
  </xdr:twoCellAnchor>
  <xdr:twoCellAnchor>
    <xdr:from>
      <xdr:col>5</xdr:col>
      <xdr:colOff>16670</xdr:colOff>
      <xdr:row>10</xdr:row>
      <xdr:rowOff>46830</xdr:rowOff>
    </xdr:from>
    <xdr:to>
      <xdr:col>9</xdr:col>
      <xdr:colOff>196513</xdr:colOff>
      <xdr:row>28</xdr:row>
      <xdr:rowOff>101287</xdr:rowOff>
    </xdr:to>
    <xdr:sp macro="[0]!Drone_limpa" textlink="">
      <xdr:nvSpPr>
        <xdr:cNvPr id="12" name="Retângulo: Biselad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F8D60E5-7617-450A-A0A4-C01530522160}"/>
            </a:ext>
          </a:extLst>
        </xdr:cNvPr>
        <xdr:cNvSpPr/>
      </xdr:nvSpPr>
      <xdr:spPr>
        <a:xfrm>
          <a:off x="7025065" y="2252619"/>
          <a:ext cx="2716501" cy="946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PEDIDO DRONE</a:t>
          </a:r>
        </a:p>
      </xdr:txBody>
    </xdr:sp>
    <xdr:clientData/>
  </xdr:twoCellAnchor>
  <xdr:twoCellAnchor>
    <xdr:from>
      <xdr:col>5</xdr:col>
      <xdr:colOff>9922</xdr:colOff>
      <xdr:row>1</xdr:row>
      <xdr:rowOff>19844</xdr:rowOff>
    </xdr:from>
    <xdr:to>
      <xdr:col>9</xdr:col>
      <xdr:colOff>189765</xdr:colOff>
      <xdr:row>5</xdr:row>
      <xdr:rowOff>102563</xdr:rowOff>
    </xdr:to>
    <xdr:sp macro="" textlink="">
      <xdr:nvSpPr>
        <xdr:cNvPr id="13" name="Bisel 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325FEF6-8846-46BA-9148-C9CF66CE989B}"/>
            </a:ext>
          </a:extLst>
        </xdr:cNvPr>
        <xdr:cNvSpPr/>
      </xdr:nvSpPr>
      <xdr:spPr>
        <a:xfrm>
          <a:off x="6965156" y="257969"/>
          <a:ext cx="2700000" cy="936000"/>
        </a:xfrm>
        <a:prstGeom prst="bevel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 b="1"/>
        </a:p>
        <a:p>
          <a:pPr algn="ctr"/>
          <a:r>
            <a:rPr lang="pt-BR" sz="2000" b="1"/>
            <a:t>VOLTAR</a:t>
          </a:r>
        </a:p>
        <a:p>
          <a:pPr algn="ctr"/>
          <a:r>
            <a:rPr lang="pt-BR" sz="2000" b="1"/>
            <a:t>GERAL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30480</xdr:colOff>
      <xdr:row>0</xdr:row>
      <xdr:rowOff>22860</xdr:rowOff>
    </xdr:from>
    <xdr:to>
      <xdr:col>7</xdr:col>
      <xdr:colOff>843280</xdr:colOff>
      <xdr:row>5</xdr:row>
      <xdr:rowOff>172169</xdr:rowOff>
    </xdr:to>
    <xdr:pic>
      <xdr:nvPicPr>
        <xdr:cNvPr id="2" name="Imagem 2" descr="Preciza_logo.jpg">
          <a:extLst>
            <a:ext uri="{FF2B5EF4-FFF2-40B4-BE49-F238E27FC236}">
              <a16:creationId xmlns:a16="http://schemas.microsoft.com/office/drawing/2014/main" id="{9C2CAAD1-EE6E-4E00-A02D-BAE961673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11730" y="22860"/>
          <a:ext cx="3079750" cy="114943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590127</xdr:colOff>
      <xdr:row>0</xdr:row>
      <xdr:rowOff>135466</xdr:rowOff>
    </xdr:from>
    <xdr:to>
      <xdr:col>15</xdr:col>
      <xdr:colOff>94044</xdr:colOff>
      <xdr:row>7</xdr:row>
      <xdr:rowOff>157299</xdr:rowOff>
    </xdr:to>
    <xdr:sp macro="" textlink="">
      <xdr:nvSpPr>
        <xdr:cNvPr id="3" name="Bisel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C626FDA-ABE5-4A0A-A7D4-4347AD3794CF}"/>
            </a:ext>
          </a:extLst>
        </xdr:cNvPr>
        <xdr:cNvSpPr/>
      </xdr:nvSpPr>
      <xdr:spPr>
        <a:xfrm>
          <a:off x="8734002" y="135466"/>
          <a:ext cx="2866242" cy="1431533"/>
        </a:xfrm>
        <a:prstGeom prst="bevel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pt-BR" sz="1100" b="1"/>
        </a:p>
        <a:p>
          <a:pPr algn="ctr"/>
          <a:r>
            <a:rPr lang="pt-BR" sz="2000" b="1"/>
            <a:t>VOLTAR</a:t>
          </a:r>
        </a:p>
        <a:p>
          <a:pPr algn="ctr"/>
          <a:r>
            <a:rPr lang="pt-BR" sz="2000" b="1"/>
            <a:t>GERAL</a:t>
          </a:r>
        </a:p>
      </xdr:txBody>
    </xdr:sp>
    <xdr:clientData/>
  </xdr:twoCellAnchor>
  <xdr:twoCellAnchor>
    <xdr:from>
      <xdr:col>11</xdr:col>
      <xdr:colOff>590126</xdr:colOff>
      <xdr:row>8</xdr:row>
      <xdr:rowOff>20530</xdr:rowOff>
    </xdr:from>
    <xdr:to>
      <xdr:col>15</xdr:col>
      <xdr:colOff>94043</xdr:colOff>
      <xdr:row>15</xdr:row>
      <xdr:rowOff>31780</xdr:rowOff>
    </xdr:to>
    <xdr:sp macro="" textlink="">
      <xdr:nvSpPr>
        <xdr:cNvPr id="4" name="Bisel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45C795-5064-4B7B-9B50-750BAA64E383}"/>
            </a:ext>
          </a:extLst>
        </xdr:cNvPr>
        <xdr:cNvSpPr/>
      </xdr:nvSpPr>
      <xdr:spPr>
        <a:xfrm>
          <a:off x="8734001" y="1630255"/>
          <a:ext cx="2866242" cy="1430475"/>
        </a:xfrm>
        <a:prstGeom prst="bevel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INPUT DADOS</a:t>
          </a:r>
        </a:p>
        <a:p>
          <a:pPr algn="ctr"/>
          <a:r>
            <a:rPr lang="pt-BR" sz="2000" b="1"/>
            <a:t>PULVERIZAÇÃO</a:t>
          </a:r>
        </a:p>
      </xdr:txBody>
    </xdr:sp>
    <xdr:clientData/>
  </xdr:twoCellAnchor>
  <xdr:twoCellAnchor>
    <xdr:from>
      <xdr:col>11</xdr:col>
      <xdr:colOff>590125</xdr:colOff>
      <xdr:row>15</xdr:row>
      <xdr:rowOff>78107</xdr:rowOff>
    </xdr:from>
    <xdr:to>
      <xdr:col>15</xdr:col>
      <xdr:colOff>94042</xdr:colOff>
      <xdr:row>22</xdr:row>
      <xdr:rowOff>89357</xdr:rowOff>
    </xdr:to>
    <xdr:sp macro="[0]!DRONE_PULVE_LIMPA" textlink="">
      <xdr:nvSpPr>
        <xdr:cNvPr id="6" name="Bisel 4">
          <a:extLst>
            <a:ext uri="{FF2B5EF4-FFF2-40B4-BE49-F238E27FC236}">
              <a16:creationId xmlns:a16="http://schemas.microsoft.com/office/drawing/2014/main" id="{E7930004-5047-4F33-9F02-4248D99466A3}"/>
            </a:ext>
          </a:extLst>
        </xdr:cNvPr>
        <xdr:cNvSpPr/>
      </xdr:nvSpPr>
      <xdr:spPr>
        <a:xfrm>
          <a:off x="8876875" y="3126107"/>
          <a:ext cx="2880000" cy="1440000"/>
        </a:xfrm>
        <a:prstGeom prst="bevel">
          <a:avLst/>
        </a:prstGeom>
        <a:solidFill>
          <a:srgbClr val="99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LIMPAR</a:t>
          </a:r>
        </a:p>
      </xdr:txBody>
    </xdr:sp>
    <xdr:clientData/>
  </xdr:twoCellAnchor>
  <xdr:twoCellAnchor>
    <xdr:from>
      <xdr:col>5</xdr:col>
      <xdr:colOff>264584</xdr:colOff>
      <xdr:row>53</xdr:row>
      <xdr:rowOff>126996</xdr:rowOff>
    </xdr:from>
    <xdr:to>
      <xdr:col>7</xdr:col>
      <xdr:colOff>181151</xdr:colOff>
      <xdr:row>60</xdr:row>
      <xdr:rowOff>106506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2F530D74-1175-CB52-557C-922E00A7F6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323" t="23885" r="23458" b="49916"/>
        <a:stretch/>
      </xdr:blipFill>
      <xdr:spPr>
        <a:xfrm>
          <a:off x="3608917" y="10900829"/>
          <a:ext cx="1398234" cy="138709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>
    <xdr:from>
      <xdr:col>7</xdr:col>
      <xdr:colOff>254000</xdr:colOff>
      <xdr:row>53</xdr:row>
      <xdr:rowOff>137582</xdr:rowOff>
    </xdr:from>
    <xdr:to>
      <xdr:col>10</xdr:col>
      <xdr:colOff>0</xdr:colOff>
      <xdr:row>60</xdr:row>
      <xdr:rowOff>116415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5045B286-4EE5-0520-6FF3-801574C20C3B}"/>
            </a:ext>
          </a:extLst>
        </xdr:cNvPr>
        <xdr:cNvSpPr/>
      </xdr:nvSpPr>
      <xdr:spPr>
        <a:xfrm>
          <a:off x="5080000" y="10911415"/>
          <a:ext cx="2751667" cy="1386417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1">
              <a:solidFill>
                <a:sysClr val="windowText" lastClr="000000"/>
              </a:solidFill>
            </a:rPr>
            <a:t>Dados da conta - Pagamento DRONE: Banco: 748 - Banco Cooperativo Sicredi S.A. - BansicrediAgência: 0731 Conta: 23358-6</a:t>
          </a:r>
        </a:p>
        <a:p>
          <a:pPr algn="ctr"/>
          <a:r>
            <a:rPr lang="pt-BR" sz="1000" b="1">
              <a:solidFill>
                <a:sysClr val="windowText" lastClr="000000"/>
              </a:solidFill>
            </a:rPr>
            <a:t>Razão Social: MICROBIOMA SOLUCOES EM BIOTECNOLOGIA LTDA</a:t>
          </a:r>
        </a:p>
        <a:p>
          <a:pPr algn="ctr"/>
          <a:r>
            <a:rPr lang="pt-BR" sz="1000" b="1">
              <a:solidFill>
                <a:sysClr val="windowText" lastClr="000000"/>
              </a:solidFill>
            </a:rPr>
            <a:t>CNPJ: 33.700.050/0001-30</a:t>
          </a:r>
        </a:p>
        <a:p>
          <a:pPr algn="ctr"/>
          <a:r>
            <a:rPr lang="pt-BR" sz="1000" b="1">
              <a:solidFill>
                <a:sysClr val="windowText" lastClr="000000"/>
              </a:solidFill>
            </a:rPr>
            <a:t>Chave pixMicrobioma@outlook.com 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735330</xdr:colOff>
      <xdr:row>0</xdr:row>
      <xdr:rowOff>0</xdr:rowOff>
    </xdr:from>
    <xdr:to>
      <xdr:col>8</xdr:col>
      <xdr:colOff>257175</xdr:colOff>
      <xdr:row>5</xdr:row>
      <xdr:rowOff>192318</xdr:rowOff>
    </xdr:to>
    <xdr:pic>
      <xdr:nvPicPr>
        <xdr:cNvPr id="6" name="Imagem 2" descr="Preciza_logo.jpg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92680" y="0"/>
          <a:ext cx="3274695" cy="119244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12</xdr:col>
      <xdr:colOff>356235</xdr:colOff>
      <xdr:row>5</xdr:row>
      <xdr:rowOff>85724</xdr:rowOff>
    </xdr:from>
    <xdr:to>
      <xdr:col>17</xdr:col>
      <xdr:colOff>92985</xdr:colOff>
      <xdr:row>12</xdr:row>
      <xdr:rowOff>96974</xdr:rowOff>
    </xdr:to>
    <xdr:sp macro="" textlink="">
      <xdr:nvSpPr>
        <xdr:cNvPr id="7" name="Bisel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8995410" y="1085849"/>
          <a:ext cx="2880000" cy="1440000"/>
        </a:xfrm>
        <a:prstGeom prst="bevel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VOLTAR</a:t>
          </a:r>
        </a:p>
        <a:p>
          <a:pPr algn="ctr"/>
          <a:r>
            <a:rPr lang="pt-BR" sz="2000" b="1"/>
            <a:t>GERAL</a:t>
          </a:r>
        </a:p>
      </xdr:txBody>
    </xdr:sp>
    <xdr:clientData/>
  </xdr:twoCellAnchor>
  <xdr:twoCellAnchor>
    <xdr:from>
      <xdr:col>12</xdr:col>
      <xdr:colOff>359413</xdr:colOff>
      <xdr:row>12</xdr:row>
      <xdr:rowOff>137585</xdr:rowOff>
    </xdr:from>
    <xdr:to>
      <xdr:col>17</xdr:col>
      <xdr:colOff>96163</xdr:colOff>
      <xdr:row>19</xdr:row>
      <xdr:rowOff>174235</xdr:rowOff>
    </xdr:to>
    <xdr:sp macro="[0]!LIMPA_PED_BRANCO" textlink="">
      <xdr:nvSpPr>
        <xdr:cNvPr id="4" name="Bisel 6">
          <a:extLst>
            <a:ext uri="{FF2B5EF4-FFF2-40B4-BE49-F238E27FC236}">
              <a16:creationId xmlns:a16="http://schemas.microsoft.com/office/drawing/2014/main" id="{1955C071-5D9C-4285-AB4B-E4BC28FA1BFB}"/>
            </a:ext>
          </a:extLst>
        </xdr:cNvPr>
        <xdr:cNvSpPr/>
      </xdr:nvSpPr>
      <xdr:spPr>
        <a:xfrm>
          <a:off x="9071613" y="2499785"/>
          <a:ext cx="2869417" cy="1399783"/>
        </a:xfrm>
        <a:prstGeom prst="bevel">
          <a:avLst/>
        </a:prstGeom>
        <a:solidFill>
          <a:srgbClr val="99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LIMPAR</a:t>
          </a:r>
          <a:r>
            <a:rPr lang="pt-BR" sz="2000" b="1" baseline="0"/>
            <a:t> DADOS</a:t>
          </a:r>
          <a:endParaRPr lang="pt-BR" sz="20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Claudio\Documents\Preciza\Orcamento%20PRECIZA%202023%20-%20lalleman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ERAL"/>
      <sheetName val="LALLEMAND"/>
      <sheetName val="BANCO DE DADOS"/>
      <sheetName val="INPUT DADOS"/>
      <sheetName val="PEDIDO VIA CLIENTE"/>
      <sheetName val="PEDIDO VIA EMPRESA"/>
      <sheetName val="INPUT CONFERENCIA"/>
      <sheetName val="PEDIDO CONFERENCIA"/>
      <sheetName val="PEDIDO DRONE"/>
      <sheetName val="PEDIDO COMPACTA"/>
      <sheetName val="INPUT FOLHA "/>
      <sheetName val="PEDIDO FOLHA CLIENTE"/>
      <sheetName val="PEDIDO FOLHA EMPRESA"/>
      <sheetName val="INPUT ATV"/>
      <sheetName val="PEDIDO ATV"/>
      <sheetName val="APLICAÇÃO ESTERCO"/>
      <sheetName val="PEDIDO ESTERCO"/>
      <sheetName val="EQUALIZA"/>
      <sheetName val="PEDIDO DESBLOQ"/>
    </sheetNames>
    <sheetDataSet>
      <sheetData sheetId="0">
        <row r="29">
          <cell r="C29">
            <v>44943</v>
          </cell>
        </row>
      </sheetData>
      <sheetData sheetId="1"/>
      <sheetData sheetId="2" refreshError="1"/>
      <sheetData sheetId="3">
        <row r="4">
          <cell r="B4" t="str">
            <v>s</v>
          </cell>
        </row>
      </sheetData>
      <sheetData sheetId="4">
        <row r="36">
          <cell r="D36" t="str">
            <v>PAULO - FEITO POR CLAUDIO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G22:H27" totalsRowShown="0" headerRowDxfId="62" dataDxfId="60" headerRowBorderDxfId="61" tableBorderDxfId="59" totalsRowBorderDxfId="58">
  <autoFilter ref="G22:H27" xr:uid="{00000000-0009-0000-0100-000001000000}"/>
  <tableColumns count="2">
    <tableColumn id="1" xr3:uid="{00000000-0010-0000-0000-000001000000}" name="Equaliza Serviços" dataDxfId="57"/>
    <tableColumn id="2" xr3:uid="{00000000-0010-0000-0000-000002000000}" name="Valor por área" dataDxfId="56" dataCellStyle="Moeda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2" displayName="Tabela2" ref="I31:I40" totalsRowShown="0" headerRowDxfId="55" dataDxfId="54">
  <autoFilter ref="I31:I40" xr:uid="{00000000-0009-0000-0100-000002000000}"/>
  <sortState xmlns:xlrd2="http://schemas.microsoft.com/office/spreadsheetml/2017/richdata2" ref="I32:I40">
    <sortCondition ref="I31:I40"/>
  </sortState>
  <tableColumns count="1">
    <tableColumn id="1" xr3:uid="{00000000-0010-0000-0100-000001000000}" name="Produtos a aplicar" dataDxfId="53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C26ECA1-14CC-4445-8BA3-77171B1D4A83}" name="Tabela5" displayName="Tabela5" ref="M1:N10" totalsRowShown="0" dataDxfId="52">
  <autoFilter ref="M1:N10" xr:uid="{CC26ECA1-14CC-4445-8BA3-77171B1D4A83}"/>
  <tableColumns count="2">
    <tableColumn id="1" xr3:uid="{04281784-D1A0-4F30-8283-55C070E8BE2B}" name="Coluna1" dataDxfId="51"/>
    <tableColumn id="2" xr3:uid="{54886A6F-21D7-4864-995E-F480F5A3F51B}" name="Coluna2" dataDxfId="5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22E2EA1-F10E-4E38-AC25-2941D8889369}" name="Tabela6" displayName="Tabela6" ref="A45:B47" totalsRowShown="0" headerRowDxfId="49" dataDxfId="48">
  <autoFilter ref="A45:B47" xr:uid="{E22E2EA1-F10E-4E38-AC25-2941D8889369}"/>
  <tableColumns count="2">
    <tableColumn id="1" xr3:uid="{34C2C8C8-F2B6-4166-B912-9FA4D26FAE4E}" name="Serviço" dataDxfId="47"/>
    <tableColumn id="2" xr3:uid="{3DC5ED0C-C972-4F6C-917A-71E405C00E1C}" name="Financeiro (%a.a.)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0583F1F-BD42-46AD-93BB-1C024D3FD89C}" name="Tabela18" displayName="Tabela18" ref="G22:H27" totalsRowShown="0" headerRowDxfId="45" dataDxfId="43" headerRowBorderDxfId="44" tableBorderDxfId="42" totalsRowBorderDxfId="41">
  <autoFilter ref="G22:H27" xr:uid="{00000000-0009-0000-0100-000001000000}"/>
  <tableColumns count="2">
    <tableColumn id="1" xr3:uid="{502C7A38-3150-4C93-A122-E5AFF8AEF46E}" name="Equaliza Serviços" dataDxfId="40"/>
    <tableColumn id="2" xr3:uid="{D0D2C647-6B45-4B33-BE11-A1CD5B83C05E}" name="Valor por área" dataDxfId="39" dataCellStyle="Moeda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3E34E53-BAF0-44B8-8480-EBC4F06B5C2B}" name="Tabela29" displayName="Tabela29" ref="I31:I40" totalsRowShown="0" headerRowDxfId="38" dataDxfId="37">
  <autoFilter ref="I31:I40" xr:uid="{00000000-0009-0000-0100-000002000000}"/>
  <sortState xmlns:xlrd2="http://schemas.microsoft.com/office/spreadsheetml/2017/richdata2" ref="I32:I40">
    <sortCondition ref="I31:I40"/>
  </sortState>
  <tableColumns count="1">
    <tableColumn id="1" xr3:uid="{AF10D4BE-7BB0-44B0-AE4A-12331DEC88B9}" name="Produtos a aplicar" dataDxfId="36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48F66F2-B136-49BA-ADED-119E8DD59052}" name="Tabela510" displayName="Tabela510" ref="M4:N11" totalsRowShown="0">
  <autoFilter ref="M4:N11" xr:uid="{5FBAB1DD-8C67-4847-8693-96B867678355}"/>
  <sortState xmlns:xlrd2="http://schemas.microsoft.com/office/spreadsheetml/2017/richdata2" ref="M5:N11">
    <sortCondition ref="M4:M11"/>
  </sortState>
  <tableColumns count="2">
    <tableColumn id="1" xr3:uid="{4B4D76D9-B44B-41B6-965D-78BFFE751875}" name="Alq/analise"/>
    <tableColumn id="2" xr3:uid="{18D5E7C0-7EDD-4B72-AD3A-9A5AE23D20B2}" name="R$/alq" dataDxfId="35" dataCellStyle="Moed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842E821-13DD-4789-BC7D-F4C168CB6517}" name="Tabela611" displayName="Tabela611" ref="M16:N23" totalsRowShown="0">
  <autoFilter ref="M16:N23" xr:uid="{812D6335-EB5A-438A-8E6F-4A31B90B9EA7}"/>
  <tableColumns count="2">
    <tableColumn id="1" xr3:uid="{3B8157B4-96F4-433C-95A5-44057CA3E4B4}" name="Tamanho Grid Ha/Analise"/>
    <tableColumn id="2" xr3:uid="{20551790-89E2-4094-9203-F7B2C3219569}" name="R$/Alq" dataDxfId="34" dataCellStyle="Moed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6CC6AEE-188B-481C-9F5F-0560405EE052}" name="Tabela5712" displayName="Tabela5712" ref="M33:N43" totalsRowShown="0">
  <autoFilter ref="M33:N43" xr:uid="{0ABAD428-17D5-4894-A645-2CC90E69F7C9}"/>
  <sortState xmlns:xlrd2="http://schemas.microsoft.com/office/spreadsheetml/2017/richdata2" ref="M34:N40">
    <sortCondition ref="M4:M11"/>
  </sortState>
  <tableColumns count="2">
    <tableColumn id="1" xr3:uid="{795F44EA-4B66-4187-AAFC-DE2ED0D45657}" name="Alq/analise"/>
    <tableColumn id="2" xr3:uid="{291D55AC-89DD-462D-9AD2-D127DFF5A6F5}" name="R$/alq" dataDxfId="33" dataCellStyle="Moeda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DDBF84D-7935-4D58-907E-C985EE48EF33}" name="Tabela4" displayName="Tabela4" ref="A1:J15" totalsRowShown="0">
  <autoFilter ref="A1:J15" xr:uid="{DDDBF84D-7935-4D58-907E-C985EE48EF33}"/>
  <sortState xmlns:xlrd2="http://schemas.microsoft.com/office/spreadsheetml/2017/richdata2" ref="A2:C15">
    <sortCondition ref="C1:C15"/>
  </sortState>
  <tableColumns count="10">
    <tableColumn id="1" xr3:uid="{13DC34A4-508C-4584-B3A1-1F69DFECBE40}" name="PRODUTO"/>
    <tableColumn id="3" xr3:uid="{9FA2648F-65A8-4658-8F24-F543AE339117}" name="Tipo"/>
    <tableColumn id="5" xr3:uid="{D8968B93-9482-4A00-BEF9-88ACF5382F9B}" name="NOME">
      <calculatedColumnFormula>Tabela4[[#This Row],[Tipo]]&amp;" - "&amp;Tabela4[[#This Row],[PRODUTO]]&amp;" - "&amp;Tabela4[[#This Row],[Embalagem]]</calculatedColumnFormula>
    </tableColumn>
    <tableColumn id="6" xr3:uid="{8B230F36-69E6-4145-A766-6DFA53DA8344}" name="Embalagem"/>
    <tableColumn id="12" xr3:uid="{EBACE11D-02F1-491C-B34B-D76153AD2949}" name="30/nov/23_">
      <calculatedColumnFormula>Tabela4[[#This Row],[30/11/2023]]</calculatedColumnFormula>
    </tableColumn>
    <tableColumn id="2" xr3:uid="{01952DFC-F178-498C-A9C6-EB221C2834A9}" name="30/03/2023" dataDxfId="26">
      <calculatedColumnFormula>ROUND($J2*(POWER(1.012,_xlfn.DAYS($F$1,$J$1)/30)),0)</calculatedColumnFormula>
    </tableColumn>
    <tableColumn id="9" xr3:uid="{51D02877-706B-437B-A99B-253FA3FD49EA}" name="30/05/2023" dataDxfId="25">
      <calculatedColumnFormula>ROUND($J2*(POWER(1.012,_xlfn.DAYS($G$1,$J$1)/30)),0)</calculatedColumnFormula>
    </tableColumn>
    <tableColumn id="10" xr3:uid="{DE618D5B-A64F-4893-BD50-138E8C0EBFB0}" name="30/08/2023" dataDxfId="24">
      <calculatedColumnFormula>ROUND($J2*(POWER(1.012,_xlfn.DAYS($H$1,$J$1)/30)),0)</calculatedColumnFormula>
    </tableColumn>
    <tableColumn id="11" xr3:uid="{60AD0623-1B57-4B85-BCA5-25DF8C72FDC1}" name="30/10/2023" dataDxfId="23">
      <calculatedColumnFormula>ROUND($J2*(POWER(1.012,_xlfn.DAYS($I$1,$J$1)/30)),0)</calculatedColumnFormula>
    </tableColumn>
    <tableColumn id="7" xr3:uid="{94652074-E601-44B9-82DB-4B1FF4988293}" name="30/11/2023" dataDxfId="22" dataCellStyle="Moed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2000" b="1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Relationship Id="rId9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4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W66"/>
  <sheetViews>
    <sheetView showGridLines="0" showRowColHeaders="0" tabSelected="1" zoomScale="131" zoomScaleNormal="131" workbookViewId="0"/>
  </sheetViews>
  <sheetFormatPr defaultColWidth="0" defaultRowHeight="15" zeroHeight="1" x14ac:dyDescent="0.25"/>
  <cols>
    <col min="1" max="1" width="8.85546875" style="265" customWidth="1"/>
    <col min="2" max="2" width="11.42578125" style="265" bestFit="1" customWidth="1"/>
    <col min="3" max="23" width="8.85546875" style="265" customWidth="1"/>
    <col min="24" max="16384" width="8.85546875" style="265" hidden="1"/>
  </cols>
  <sheetData>
    <row r="1" spans="2:22" x14ac:dyDescent="0.25"/>
    <row r="2" spans="2:22" x14ac:dyDescent="0.25">
      <c r="B2" s="618" t="s">
        <v>223</v>
      </c>
      <c r="C2" s="618"/>
      <c r="D2" s="618"/>
      <c r="E2" s="618"/>
      <c r="F2" s="618"/>
      <c r="G2" s="618"/>
      <c r="H2" s="618"/>
      <c r="I2" s="618"/>
      <c r="J2" s="618"/>
      <c r="K2" s="618"/>
      <c r="L2" s="618"/>
      <c r="M2" s="618"/>
      <c r="N2" s="618"/>
      <c r="O2" s="618"/>
      <c r="P2" s="618"/>
      <c r="Q2" s="618"/>
      <c r="R2" s="618"/>
      <c r="S2" s="618"/>
      <c r="T2" s="618"/>
      <c r="U2" s="618"/>
      <c r="V2" s="618"/>
    </row>
    <row r="3" spans="2:22" x14ac:dyDescent="0.25"/>
    <row r="4" spans="2:22" x14ac:dyDescent="0.25"/>
    <row r="5" spans="2:22" x14ac:dyDescent="0.25"/>
    <row r="6" spans="2:22" x14ac:dyDescent="0.25"/>
    <row r="7" spans="2:22" x14ac:dyDescent="0.25"/>
    <row r="8" spans="2:22" x14ac:dyDescent="0.25"/>
    <row r="9" spans="2:22" x14ac:dyDescent="0.25"/>
    <row r="10" spans="2:22" x14ac:dyDescent="0.25"/>
    <row r="11" spans="2:22" x14ac:dyDescent="0.25"/>
    <row r="12" spans="2:22" x14ac:dyDescent="0.25"/>
    <row r="13" spans="2:22" x14ac:dyDescent="0.25"/>
    <row r="14" spans="2:22" x14ac:dyDescent="0.25"/>
    <row r="15" spans="2:22" x14ac:dyDescent="0.25"/>
    <row r="16" spans="2:22" x14ac:dyDescent="0.25"/>
    <row r="17" spans="1:5" x14ac:dyDescent="0.25"/>
    <row r="18" spans="1:5" x14ac:dyDescent="0.25"/>
    <row r="19" spans="1:5" x14ac:dyDescent="0.25"/>
    <row r="20" spans="1:5" x14ac:dyDescent="0.25"/>
    <row r="21" spans="1:5" x14ac:dyDescent="0.25"/>
    <row r="22" spans="1:5" x14ac:dyDescent="0.25"/>
    <row r="23" spans="1:5" x14ac:dyDescent="0.25"/>
    <row r="24" spans="1:5" x14ac:dyDescent="0.25"/>
    <row r="25" spans="1:5" x14ac:dyDescent="0.25"/>
    <row r="26" spans="1:5" x14ac:dyDescent="0.25">
      <c r="A26" s="69" t="s">
        <v>202</v>
      </c>
      <c r="B26" s="97">
        <v>45791</v>
      </c>
      <c r="C26" s="476" t="str">
        <f>"Versão: "&amp;INT(B26)</f>
        <v>Versão: 45791</v>
      </c>
    </row>
    <row r="29" spans="1:5" ht="18.75" hidden="1" x14ac:dyDescent="0.3">
      <c r="E29" s="266" t="str">
        <f>IF('PEDIDO VIA CLIENTE'!D36="","PREENCHER NOME DO CONSULTOR EM &lt;ANÁLISE DE SOLO (A.P.) -&gt; PEDIDO VIA CLIENTE&gt;","")</f>
        <v/>
      </c>
    </row>
    <row r="30" spans="1:5" ht="18.75" hidden="1" x14ac:dyDescent="0.3">
      <c r="E30" s="266"/>
    </row>
    <row r="33" s="265" customFormat="1" hidden="1" x14ac:dyDescent="0.25"/>
    <row r="34" s="265" customFormat="1" hidden="1" x14ac:dyDescent="0.25"/>
    <row r="35" s="265" customFormat="1" hidden="1" x14ac:dyDescent="0.25"/>
    <row r="36" s="265" customFormat="1" hidden="1" x14ac:dyDescent="0.25"/>
    <row r="37" s="265" customFormat="1" hidden="1" x14ac:dyDescent="0.25"/>
    <row r="38" s="265" customFormat="1" hidden="1" x14ac:dyDescent="0.25"/>
    <row r="39" s="265" customFormat="1" hidden="1" x14ac:dyDescent="0.25"/>
    <row r="40" s="265" customFormat="1" hidden="1" x14ac:dyDescent="0.25"/>
    <row r="41" s="265" customFormat="1" hidden="1" x14ac:dyDescent="0.25"/>
    <row r="42" s="265" customFormat="1" hidden="1" x14ac:dyDescent="0.25"/>
    <row r="43" s="265" customFormat="1" hidden="1" x14ac:dyDescent="0.25"/>
    <row r="44" s="265" customFormat="1" hidden="1" x14ac:dyDescent="0.25"/>
    <row r="45" s="265" customFormat="1" hidden="1" x14ac:dyDescent="0.25"/>
    <row r="46" s="265" customFormat="1" hidden="1" x14ac:dyDescent="0.25"/>
    <row r="47" s="265" customFormat="1" hidden="1" x14ac:dyDescent="0.25"/>
    <row r="48" s="265" customFormat="1" hidden="1" x14ac:dyDescent="0.25"/>
    <row r="49" s="265" customFormat="1" hidden="1" x14ac:dyDescent="0.25"/>
    <row r="50" s="265" customFormat="1" hidden="1" x14ac:dyDescent="0.25"/>
    <row r="51" s="265" customFormat="1" hidden="1" x14ac:dyDescent="0.25"/>
    <row r="52" s="265" customFormat="1" hidden="1" x14ac:dyDescent="0.25"/>
    <row r="53" s="265" customFormat="1" hidden="1" x14ac:dyDescent="0.25"/>
    <row r="54" s="265" customFormat="1" hidden="1" x14ac:dyDescent="0.25"/>
    <row r="55" s="265" customFormat="1" hidden="1" x14ac:dyDescent="0.25"/>
    <row r="56" s="265" customFormat="1" hidden="1" x14ac:dyDescent="0.25"/>
    <row r="57" s="265" customFormat="1" hidden="1" x14ac:dyDescent="0.25"/>
    <row r="58" s="265" customFormat="1" hidden="1" x14ac:dyDescent="0.25"/>
    <row r="59" s="265" customFormat="1" hidden="1" x14ac:dyDescent="0.25"/>
    <row r="60" s="265" customFormat="1" hidden="1" x14ac:dyDescent="0.25"/>
    <row r="61" s="265" customFormat="1" hidden="1" x14ac:dyDescent="0.25"/>
    <row r="62" s="265" customFormat="1" hidden="1" x14ac:dyDescent="0.25"/>
    <row r="63" s="265" customFormat="1" hidden="1" x14ac:dyDescent="0.25"/>
    <row r="64" s="265" customFormat="1" hidden="1" x14ac:dyDescent="0.25"/>
    <row r="65" s="265" customFormat="1" hidden="1" x14ac:dyDescent="0.25"/>
    <row r="66" s="265" customFormat="1" hidden="1" x14ac:dyDescent="0.25"/>
  </sheetData>
  <sheetProtection algorithmName="SHA-512" hashValue="k73iIa5hvAF0lQhqgaP9l5O3mTSbe3tjKTPrefK3jnB0NwEko61DQ9PzsU4XboaxwjUSiWkPW5NJ82Bsp6vDsA==" saltValue="ioS8DYnaDLn2z6iXSohB3A==" spinCount="100000" sheet="1" selectLockedCells="1"/>
  <mergeCells count="1">
    <mergeCell ref="B2:V2"/>
  </mergeCells>
  <pageMargins left="0.511811024" right="0.511811024" top="0.78740157499999996" bottom="0.78740157499999996" header="0.31496062000000002" footer="0.31496062000000002"/>
  <pageSetup paperSize="9" scale="4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3">
    <tabColor rgb="FFFF0000"/>
  </sheetPr>
  <dimension ref="A1:O47"/>
  <sheetViews>
    <sheetView zoomScale="70" zoomScaleNormal="70" workbookViewId="0">
      <selection activeCell="B11" sqref="B11"/>
    </sheetView>
  </sheetViews>
  <sheetFormatPr defaultColWidth="8.85546875" defaultRowHeight="15" x14ac:dyDescent="0.25"/>
  <cols>
    <col min="1" max="1" width="55" customWidth="1"/>
    <col min="2" max="2" width="24.28515625" customWidth="1"/>
    <col min="3" max="3" width="17" customWidth="1"/>
    <col min="4" max="4" width="13" customWidth="1"/>
    <col min="5" max="5" width="10.28515625" bestFit="1" customWidth="1"/>
    <col min="6" max="6" width="16.7109375" customWidth="1"/>
    <col min="7" max="7" width="18.42578125" customWidth="1"/>
    <col min="8" max="8" width="23.42578125" bestFit="1" customWidth="1"/>
    <col min="9" max="9" width="21.7109375" bestFit="1" customWidth="1"/>
    <col min="10" max="10" width="15.42578125" bestFit="1" customWidth="1"/>
    <col min="11" max="11" width="15.85546875" bestFit="1" customWidth="1"/>
    <col min="12" max="12" width="17" customWidth="1"/>
    <col min="13" max="13" width="27.140625" bestFit="1" customWidth="1"/>
    <col min="14" max="14" width="22.5703125" bestFit="1" customWidth="1"/>
    <col min="17" max="17" width="14.5703125" customWidth="1"/>
    <col min="18" max="19" width="10.28515625" bestFit="1" customWidth="1"/>
  </cols>
  <sheetData>
    <row r="1" spans="1:14" x14ac:dyDescent="0.25">
      <c r="A1" t="s">
        <v>299</v>
      </c>
      <c r="B1" t="s">
        <v>163</v>
      </c>
      <c r="C1">
        <v>1.06</v>
      </c>
      <c r="G1" t="s">
        <v>160</v>
      </c>
      <c r="M1" s="341" t="s">
        <v>364</v>
      </c>
      <c r="N1" t="s">
        <v>365</v>
      </c>
    </row>
    <row r="2" spans="1:14" x14ac:dyDescent="0.25">
      <c r="A2" s="464" t="s">
        <v>95</v>
      </c>
      <c r="B2" s="464" t="s">
        <v>99</v>
      </c>
      <c r="C2" s="464" t="s">
        <v>100</v>
      </c>
      <c r="D2" s="464" t="s">
        <v>288</v>
      </c>
      <c r="G2" s="464" t="str">
        <f>A2:A5</f>
        <v>Tamanho da Area</v>
      </c>
      <c r="H2" s="464" t="s">
        <v>108</v>
      </c>
      <c r="I2" s="464" t="s">
        <v>109</v>
      </c>
      <c r="J2" s="562" t="s">
        <v>185</v>
      </c>
      <c r="K2" s="563" t="s">
        <v>371</v>
      </c>
      <c r="M2" s="341" t="s">
        <v>363</v>
      </c>
    </row>
    <row r="3" spans="1:14" x14ac:dyDescent="0.25">
      <c r="A3" s="464" t="s">
        <v>96</v>
      </c>
      <c r="B3" s="549">
        <v>295</v>
      </c>
      <c r="C3" s="322">
        <f>B3-15</f>
        <v>280</v>
      </c>
      <c r="D3" s="393">
        <f>B3/C3</f>
        <v>1.0535714285714286</v>
      </c>
      <c r="G3" s="464" t="str">
        <f>A3:A6</f>
        <v>Ate 50 alq</v>
      </c>
      <c r="H3" s="550">
        <v>0.85</v>
      </c>
      <c r="I3" s="550">
        <v>0.85</v>
      </c>
      <c r="J3" s="308">
        <f>H3*B3</f>
        <v>250.75</v>
      </c>
      <c r="K3" s="308">
        <f t="shared" ref="K3:K5" si="0">I3*C3</f>
        <v>238</v>
      </c>
      <c r="M3" s="341" t="s">
        <v>289</v>
      </c>
      <c r="N3" s="341"/>
    </row>
    <row r="4" spans="1:14" x14ac:dyDescent="0.25">
      <c r="A4" s="464" t="s">
        <v>97</v>
      </c>
      <c r="B4" s="322">
        <f>B3/$C$1</f>
        <v>278.30188679245282</v>
      </c>
      <c r="C4" s="322">
        <f>C3/$C$1</f>
        <v>264.15094339622641</v>
      </c>
      <c r="D4" s="393">
        <f t="shared" ref="D4:D5" si="1">B4/C4</f>
        <v>1.0535714285714286</v>
      </c>
      <c r="G4" s="464" t="str">
        <f>A4:A7</f>
        <v>50 a 100 alq</v>
      </c>
      <c r="H4" s="550">
        <v>0.1</v>
      </c>
      <c r="I4" s="550">
        <v>0.1</v>
      </c>
      <c r="J4" s="308">
        <f>H4*B4</f>
        <v>27.830188679245282</v>
      </c>
      <c r="K4" s="308">
        <f t="shared" si="0"/>
        <v>26.415094339622641</v>
      </c>
      <c r="M4" t="s">
        <v>297</v>
      </c>
      <c r="N4" s="539">
        <f>'INPUT CONFERENCIA'!E31</f>
        <v>954.94043211526616</v>
      </c>
    </row>
    <row r="5" spans="1:14" x14ac:dyDescent="0.25">
      <c r="A5" s="464" t="s">
        <v>98</v>
      </c>
      <c r="B5" s="322">
        <f>B4/$C$1</f>
        <v>262.54894980420079</v>
      </c>
      <c r="C5" s="322">
        <f>C4/$C$1</f>
        <v>249.19900320398716</v>
      </c>
      <c r="D5" s="393">
        <f t="shared" si="1"/>
        <v>1.0535714285714286</v>
      </c>
      <c r="G5" s="464" t="str">
        <f>A5:A8</f>
        <v>Mais 100 alq</v>
      </c>
      <c r="H5" s="550">
        <v>0.05</v>
      </c>
      <c r="I5" s="550">
        <v>0.05</v>
      </c>
      <c r="J5" s="308">
        <f>H5*B5</f>
        <v>13.12744749021004</v>
      </c>
      <c r="K5" s="308">
        <f t="shared" si="0"/>
        <v>12.459950160199359</v>
      </c>
      <c r="M5" s="341"/>
      <c r="N5" s="537"/>
    </row>
    <row r="6" spans="1:14" x14ac:dyDescent="0.25">
      <c r="F6" s="308"/>
      <c r="H6" s="309">
        <f>SUM(H3:H5)</f>
        <v>1</v>
      </c>
      <c r="I6" s="309">
        <f>SUM(I3:I5)</f>
        <v>1</v>
      </c>
      <c r="J6" s="401">
        <f>SUM(J3:J5)</f>
        <v>291.70763616945533</v>
      </c>
      <c r="K6" s="401">
        <f>SUM(K3:K5)</f>
        <v>276.87504449982202</v>
      </c>
      <c r="M6" s="341" t="s">
        <v>185</v>
      </c>
      <c r="N6" s="341"/>
    </row>
    <row r="7" spans="1:14" x14ac:dyDescent="0.25">
      <c r="A7" s="464" t="s">
        <v>101</v>
      </c>
      <c r="B7" s="312"/>
      <c r="C7" s="312"/>
      <c r="D7" s="312"/>
      <c r="M7" s="540" t="s">
        <v>295</v>
      </c>
      <c r="N7" s="541">
        <f>'INPUT DADOS'!B11</f>
        <v>386.40672846455061</v>
      </c>
    </row>
    <row r="8" spans="1:14" x14ac:dyDescent="0.25">
      <c r="A8" s="464" t="s">
        <v>182</v>
      </c>
      <c r="B8" s="322">
        <v>430</v>
      </c>
      <c r="C8" s="308"/>
      <c r="G8" t="s">
        <v>161</v>
      </c>
      <c r="M8" s="538"/>
      <c r="N8" s="538"/>
    </row>
    <row r="9" spans="1:14" x14ac:dyDescent="0.25">
      <c r="A9" s="464" t="s">
        <v>139</v>
      </c>
      <c r="B9" s="320">
        <v>60</v>
      </c>
      <c r="G9" s="464" t="str">
        <f>G2</f>
        <v>Tamanho da Area</v>
      </c>
      <c r="H9" s="464" t="s">
        <v>108</v>
      </c>
      <c r="I9" s="464" t="s">
        <v>109</v>
      </c>
      <c r="M9" s="341" t="s">
        <v>193</v>
      </c>
      <c r="N9" s="341"/>
    </row>
    <row r="10" spans="1:14" x14ac:dyDescent="0.25">
      <c r="A10" s="464" t="s">
        <v>138</v>
      </c>
      <c r="B10" s="320">
        <v>65</v>
      </c>
      <c r="G10" s="464" t="s">
        <v>111</v>
      </c>
      <c r="H10" s="551">
        <v>0.34</v>
      </c>
      <c r="I10" s="552">
        <f>1-H10</f>
        <v>0.65999999999999992</v>
      </c>
      <c r="M10" t="s">
        <v>295</v>
      </c>
      <c r="N10" s="539" t="e">
        <f>'INPUT FOLHA '!E29</f>
        <v>#DIV/0!</v>
      </c>
    </row>
    <row r="11" spans="1:14" x14ac:dyDescent="0.25">
      <c r="A11" s="464" t="s">
        <v>159</v>
      </c>
      <c r="B11" s="320">
        <v>70</v>
      </c>
      <c r="G11" s="464" t="str">
        <f>G3</f>
        <v>Ate 50 alq</v>
      </c>
      <c r="H11" s="553">
        <f>H3*$H$10</f>
        <v>0.28900000000000003</v>
      </c>
      <c r="I11" s="553">
        <f>I3*$I$10</f>
        <v>0.56099999999999994</v>
      </c>
      <c r="J11" s="532">
        <f>SUM(I11,H11)</f>
        <v>0.85</v>
      </c>
      <c r="N11" s="465"/>
    </row>
    <row r="12" spans="1:14" x14ac:dyDescent="0.25">
      <c r="A12" s="464" t="s">
        <v>141</v>
      </c>
      <c r="B12" s="320">
        <f>(B25/7*2*2.5)</f>
        <v>4.9579831932773111</v>
      </c>
      <c r="C12" t="s">
        <v>172</v>
      </c>
      <c r="F12" s="308"/>
      <c r="G12" s="464" t="str">
        <f>G4</f>
        <v>50 a 100 alq</v>
      </c>
      <c r="H12" s="553">
        <f>H4*$H$10</f>
        <v>3.4000000000000002E-2</v>
      </c>
      <c r="I12" s="553">
        <f>I4*$I$10</f>
        <v>6.5999999999999989E-2</v>
      </c>
      <c r="J12" s="532">
        <f>SUM(I12,H12)</f>
        <v>9.9999999999999992E-2</v>
      </c>
    </row>
    <row r="13" spans="1:14" x14ac:dyDescent="0.25">
      <c r="A13" s="464" t="s">
        <v>142</v>
      </c>
      <c r="B13" s="320">
        <v>330</v>
      </c>
      <c r="E13" s="308"/>
      <c r="F13" s="308"/>
      <c r="G13" s="464" t="str">
        <f>G5</f>
        <v>Mais 100 alq</v>
      </c>
      <c r="H13" s="553">
        <f>H5*$H$10</f>
        <v>1.7000000000000001E-2</v>
      </c>
      <c r="I13" s="553">
        <f>I5*$I$10</f>
        <v>3.2999999999999995E-2</v>
      </c>
      <c r="J13" s="532">
        <f>SUM(I13,H13)</f>
        <v>4.9999999999999996E-2</v>
      </c>
    </row>
    <row r="14" spans="1:14" x14ac:dyDescent="0.25">
      <c r="A14" s="341"/>
      <c r="B14" s="320"/>
      <c r="E14" s="308"/>
      <c r="G14" s="321" t="s">
        <v>162</v>
      </c>
      <c r="H14" s="309">
        <f>SUM(H11:I13)</f>
        <v>1</v>
      </c>
    </row>
    <row r="15" spans="1:14" x14ac:dyDescent="0.25">
      <c r="A15" s="464" t="s">
        <v>102</v>
      </c>
      <c r="C15" t="s">
        <v>361</v>
      </c>
      <c r="D15" t="s">
        <v>360</v>
      </c>
      <c r="E15" s="308"/>
      <c r="G15" t="s">
        <v>110</v>
      </c>
    </row>
    <row r="16" spans="1:14" x14ac:dyDescent="0.25">
      <c r="A16" s="464" t="s">
        <v>103</v>
      </c>
      <c r="B16" s="322">
        <v>290</v>
      </c>
      <c r="C16">
        <v>260</v>
      </c>
      <c r="D16" s="322">
        <v>280</v>
      </c>
      <c r="G16" s="464" t="str">
        <f>G9</f>
        <v>Tamanho da Area</v>
      </c>
      <c r="H16" s="464" t="s">
        <v>108</v>
      </c>
      <c r="I16" s="464" t="s">
        <v>109</v>
      </c>
    </row>
    <row r="17" spans="1:15" x14ac:dyDescent="0.25">
      <c r="A17" s="464" t="s">
        <v>104</v>
      </c>
      <c r="B17" s="322">
        <v>280</v>
      </c>
      <c r="C17">
        <v>250</v>
      </c>
      <c r="D17" s="322">
        <v>270</v>
      </c>
      <c r="G17" s="464" t="str">
        <f>G11</f>
        <v>Ate 50 alq</v>
      </c>
      <c r="H17" s="554">
        <f t="shared" ref="H17:I19" si="2">H11*B3</f>
        <v>85.25500000000001</v>
      </c>
      <c r="I17" s="554">
        <f t="shared" si="2"/>
        <v>157.07999999999998</v>
      </c>
      <c r="N17" s="465"/>
    </row>
    <row r="18" spans="1:15" x14ac:dyDescent="0.25">
      <c r="A18" s="464" t="s">
        <v>105</v>
      </c>
      <c r="B18" s="322">
        <v>260</v>
      </c>
      <c r="C18">
        <v>240</v>
      </c>
      <c r="D18" s="322">
        <v>260</v>
      </c>
      <c r="G18" s="464" t="str">
        <f>G12</f>
        <v>50 a 100 alq</v>
      </c>
      <c r="H18" s="554">
        <f t="shared" si="2"/>
        <v>9.4622641509433958</v>
      </c>
      <c r="I18" s="554">
        <f t="shared" si="2"/>
        <v>17.433962264150939</v>
      </c>
      <c r="N18" s="465"/>
      <c r="O18" s="308"/>
    </row>
    <row r="19" spans="1:15" x14ac:dyDescent="0.25">
      <c r="A19" s="464" t="s">
        <v>106</v>
      </c>
      <c r="B19" s="322">
        <f>5*2*3*B25</f>
        <v>208.23529411764707</v>
      </c>
      <c r="C19" t="s">
        <v>279</v>
      </c>
      <c r="G19" s="464" t="str">
        <f>G13</f>
        <v>Mais 100 alq</v>
      </c>
      <c r="H19" s="554">
        <f t="shared" si="2"/>
        <v>4.463332146671414</v>
      </c>
      <c r="I19" s="554">
        <f t="shared" si="2"/>
        <v>8.2235671057315756</v>
      </c>
      <c r="N19" s="465"/>
    </row>
    <row r="20" spans="1:15" x14ac:dyDescent="0.25">
      <c r="A20" s="464" t="s">
        <v>177</v>
      </c>
      <c r="B20" s="322">
        <v>2600</v>
      </c>
      <c r="G20" s="549" t="s">
        <v>112</v>
      </c>
      <c r="H20" s="555">
        <f>SUM(H17:I19)</f>
        <v>281.91812566749729</v>
      </c>
    </row>
    <row r="21" spans="1:15" x14ac:dyDescent="0.25">
      <c r="A21" s="464" t="s">
        <v>181</v>
      </c>
      <c r="B21" s="322">
        <f>ROUND((B25/1*2)/0.94,2)</f>
        <v>14.77</v>
      </c>
      <c r="C21" t="str">
        <f>ROUND(B21/B25,2)&amp;" Lt Diesel/Km"</f>
        <v>2,13 Lt Diesel/Km</v>
      </c>
      <c r="H21" s="308"/>
    </row>
    <row r="22" spans="1:15" x14ac:dyDescent="0.25">
      <c r="A22" s="464" t="s">
        <v>225</v>
      </c>
      <c r="B22" s="322">
        <f>ROUND(B25/1.7*1.5,2)</f>
        <v>6.12</v>
      </c>
      <c r="G22" s="556" t="s">
        <v>195</v>
      </c>
      <c r="H22" s="557" t="s">
        <v>190</v>
      </c>
      <c r="I22" s="341"/>
    </row>
    <row r="23" spans="1:15" x14ac:dyDescent="0.25">
      <c r="A23" s="464" t="s">
        <v>183</v>
      </c>
      <c r="B23" s="561" t="e">
        <f>(H23/3)+(H24/3*2)+H25+H26+(H27/3)</f>
        <v>#DIV/0!</v>
      </c>
      <c r="G23" t="s">
        <v>185</v>
      </c>
      <c r="H23" s="320">
        <f>$N$7*EQUALIZA!H33+'BANCO DE DADOS'!$N$7*EQUALIZA!H34*(1+(15%*(EQUALIZA!$K$32-1)))</f>
        <v>464.07448088592525</v>
      </c>
      <c r="I23" s="341"/>
    </row>
    <row r="24" spans="1:15" x14ac:dyDescent="0.25">
      <c r="A24" s="464" t="s">
        <v>151</v>
      </c>
      <c r="B24" s="322">
        <v>40.4</v>
      </c>
      <c r="C24" s="322"/>
      <c r="G24" t="s">
        <v>194</v>
      </c>
      <c r="H24" s="320">
        <f>$N$4*EQUALIZA!H33+'BANCO DE DADOS'!$N$4*EQUALIZA!H34*(1+(15%*(EQUALIZA!$K$32-1)))</f>
        <v>1146.8834589704345</v>
      </c>
      <c r="I24" s="341"/>
    </row>
    <row r="25" spans="1:15" x14ac:dyDescent="0.25">
      <c r="A25" s="464" t="s">
        <v>169</v>
      </c>
      <c r="B25" s="558">
        <f>5.9/0.85</f>
        <v>6.9411764705882355</v>
      </c>
      <c r="C25" t="s">
        <v>347</v>
      </c>
      <c r="G25" t="s">
        <v>193</v>
      </c>
      <c r="H25" s="320" t="e">
        <f>$N$10*EQUALIZA!H33+'BANCO DE DADOS'!$N$10*EQUALIZA!H34*(1+(15%*(EQUALIZA!$K$32-1)))</f>
        <v>#DIV/0!</v>
      </c>
      <c r="I25" s="341"/>
    </row>
    <row r="26" spans="1:15" x14ac:dyDescent="0.25">
      <c r="A26" s="464" t="s">
        <v>229</v>
      </c>
      <c r="B26" s="322">
        <v>50</v>
      </c>
      <c r="G26" t="s">
        <v>192</v>
      </c>
      <c r="H26" s="320">
        <f>B26*EQUALIZA!H33+B26*EQUALIZA!H34*(1+(15%*(EQUALIZA!$K$32-1)))</f>
        <v>60.050000000000004</v>
      </c>
      <c r="I26" s="341"/>
    </row>
    <row r="27" spans="1:15" x14ac:dyDescent="0.25">
      <c r="A27" s="464" t="s">
        <v>349</v>
      </c>
      <c r="B27" s="559">
        <v>45657</v>
      </c>
      <c r="G27" t="s">
        <v>191</v>
      </c>
      <c r="H27" s="320">
        <f>B8/10*EQUALIZA!H33+B8/10*EQUALIZA!H34*(1+(15%*(EQUALIZA!$K$32-1)))</f>
        <v>51.643000000000001</v>
      </c>
      <c r="I27" s="342"/>
      <c r="L27" s="341"/>
    </row>
    <row r="28" spans="1:15" x14ac:dyDescent="0.25">
      <c r="A28" s="464" t="s">
        <v>378</v>
      </c>
      <c r="B28" s="465">
        <v>10</v>
      </c>
      <c r="L28" s="341"/>
      <c r="O28" s="308"/>
    </row>
    <row r="29" spans="1:15" x14ac:dyDescent="0.25">
      <c r="A29" s="295" t="s">
        <v>311</v>
      </c>
      <c r="B29" s="509"/>
      <c r="L29" s="320"/>
      <c r="O29" s="308"/>
    </row>
    <row r="30" spans="1:15" x14ac:dyDescent="0.25">
      <c r="A30" s="514" t="s">
        <v>312</v>
      </c>
      <c r="B30" s="510">
        <v>100</v>
      </c>
      <c r="C30" s="308"/>
      <c r="D30" s="69" t="s">
        <v>339</v>
      </c>
      <c r="E30" t="s">
        <v>337</v>
      </c>
      <c r="F30" s="69" t="s">
        <v>338</v>
      </c>
      <c r="G30" t="s">
        <v>343</v>
      </c>
      <c r="H30" t="s">
        <v>81</v>
      </c>
    </row>
    <row r="31" spans="1:15" x14ac:dyDescent="0.25">
      <c r="A31" s="514" t="s">
        <v>313</v>
      </c>
      <c r="B31" s="510">
        <v>0.5</v>
      </c>
      <c r="C31" s="308"/>
      <c r="D31">
        <f>E31*2.42</f>
        <v>100</v>
      </c>
      <c r="E31">
        <f>B41/2.42</f>
        <v>41.32231404958678</v>
      </c>
      <c r="F31">
        <v>250</v>
      </c>
      <c r="G31">
        <v>982</v>
      </c>
      <c r="H31">
        <f>F31/250</f>
        <v>1</v>
      </c>
      <c r="I31" t="s">
        <v>204</v>
      </c>
    </row>
    <row r="32" spans="1:15" x14ac:dyDescent="0.25">
      <c r="A32" s="514" t="s">
        <v>314</v>
      </c>
      <c r="B32" s="510">
        <v>1</v>
      </c>
      <c r="C32" s="308"/>
      <c r="D32">
        <f>E32*2.42</f>
        <v>124.2</v>
      </c>
      <c r="E32">
        <f>E31+10</f>
        <v>51.32231404958678</v>
      </c>
      <c r="F32">
        <v>282</v>
      </c>
      <c r="G32">
        <v>982</v>
      </c>
      <c r="H32">
        <f>F32/250</f>
        <v>1.1279999999999999</v>
      </c>
      <c r="I32" t="s">
        <v>205</v>
      </c>
    </row>
    <row r="33" spans="1:14" x14ac:dyDescent="0.25">
      <c r="A33" s="514" t="s">
        <v>315</v>
      </c>
      <c r="B33" s="510">
        <v>500</v>
      </c>
      <c r="C33" s="308"/>
      <c r="D33">
        <f>E33*2.42</f>
        <v>148.4</v>
      </c>
      <c r="E33">
        <f>E32+10</f>
        <v>61.32231404958678</v>
      </c>
      <c r="F33">
        <v>316</v>
      </c>
      <c r="G33">
        <v>982</v>
      </c>
      <c r="H33">
        <f t="shared" ref="H33" si="3">F33/250</f>
        <v>1.264</v>
      </c>
      <c r="I33" t="s">
        <v>206</v>
      </c>
    </row>
    <row r="34" spans="1:14" x14ac:dyDescent="0.25">
      <c r="A34" s="514" t="s">
        <v>316</v>
      </c>
      <c r="B34" s="510">
        <v>240</v>
      </c>
      <c r="C34" s="308"/>
      <c r="D34">
        <f>E34*2.42</f>
        <v>172.6</v>
      </c>
      <c r="E34">
        <f t="shared" ref="E34:E36" si="4">E33+10</f>
        <v>71.32231404958678</v>
      </c>
      <c r="F34">
        <v>349</v>
      </c>
      <c r="G34">
        <v>982</v>
      </c>
      <c r="H34">
        <f>F34/250</f>
        <v>1.3959999999999999</v>
      </c>
      <c r="I34" t="s">
        <v>207</v>
      </c>
      <c r="N34" s="465"/>
    </row>
    <row r="35" spans="1:14" x14ac:dyDescent="0.25">
      <c r="A35" s="514" t="s">
        <v>323</v>
      </c>
      <c r="B35" s="511">
        <v>270</v>
      </c>
      <c r="C35" s="308"/>
      <c r="D35">
        <f t="shared" ref="D35:D36" si="5">E35*2.42</f>
        <v>196.8</v>
      </c>
      <c r="E35">
        <f t="shared" si="4"/>
        <v>81.32231404958678</v>
      </c>
      <c r="F35">
        <v>382</v>
      </c>
      <c r="G35">
        <v>982</v>
      </c>
      <c r="H35">
        <f>F35/250</f>
        <v>1.528</v>
      </c>
      <c r="I35" t="s">
        <v>220</v>
      </c>
      <c r="N35" s="465"/>
    </row>
    <row r="36" spans="1:14" x14ac:dyDescent="0.25">
      <c r="A36" s="514" t="s">
        <v>324</v>
      </c>
      <c r="B36" s="511">
        <v>240</v>
      </c>
      <c r="C36" s="308"/>
      <c r="D36">
        <f t="shared" si="5"/>
        <v>221</v>
      </c>
      <c r="E36">
        <f t="shared" si="4"/>
        <v>91.32231404958678</v>
      </c>
      <c r="F36">
        <v>415</v>
      </c>
      <c r="G36">
        <v>982</v>
      </c>
      <c r="H36">
        <f>F36/250</f>
        <v>1.66</v>
      </c>
      <c r="I36" t="s">
        <v>208</v>
      </c>
      <c r="N36" s="465"/>
    </row>
    <row r="37" spans="1:14" x14ac:dyDescent="0.25">
      <c r="A37" s="514" t="s">
        <v>326</v>
      </c>
      <c r="B37" s="512">
        <v>46021</v>
      </c>
      <c r="C37" s="455"/>
      <c r="I37" t="s">
        <v>212</v>
      </c>
      <c r="N37" s="465"/>
    </row>
    <row r="38" spans="1:14" x14ac:dyDescent="0.25">
      <c r="A38" s="514" t="s">
        <v>327</v>
      </c>
      <c r="B38" s="513">
        <v>0.9</v>
      </c>
      <c r="C38" s="308"/>
      <c r="D38" s="308"/>
      <c r="I38" t="s">
        <v>211</v>
      </c>
      <c r="N38" s="465"/>
    </row>
    <row r="39" spans="1:14" x14ac:dyDescent="0.25">
      <c r="A39" s="514" t="s">
        <v>328</v>
      </c>
      <c r="B39" s="513">
        <v>1</v>
      </c>
      <c r="C39" s="308"/>
      <c r="D39" s="393">
        <f>B41/D31</f>
        <v>1</v>
      </c>
      <c r="E39">
        <v>1</v>
      </c>
      <c r="I39" t="s">
        <v>209</v>
      </c>
      <c r="N39" s="465"/>
    </row>
    <row r="40" spans="1:14" x14ac:dyDescent="0.25">
      <c r="A40" s="589" t="s">
        <v>334</v>
      </c>
      <c r="B40" s="513">
        <v>1.5</v>
      </c>
      <c r="C40" s="308"/>
      <c r="D40">
        <f>D39*D36</f>
        <v>221</v>
      </c>
      <c r="E40">
        <v>1.66</v>
      </c>
      <c r="I40" t="s">
        <v>210</v>
      </c>
      <c r="N40" s="465"/>
    </row>
    <row r="41" spans="1:14" x14ac:dyDescent="0.25">
      <c r="A41" s="514" t="s">
        <v>342</v>
      </c>
      <c r="B41" s="513">
        <v>100</v>
      </c>
      <c r="C41" s="308"/>
      <c r="D41" s="308"/>
      <c r="N41" s="465"/>
    </row>
    <row r="42" spans="1:14" x14ac:dyDescent="0.25">
      <c r="N42" s="465"/>
    </row>
    <row r="43" spans="1:14" x14ac:dyDescent="0.25">
      <c r="A43" s="514" t="s">
        <v>358</v>
      </c>
      <c r="B43" s="525">
        <f>B20/8*1.2</f>
        <v>390</v>
      </c>
      <c r="N43" s="465"/>
    </row>
    <row r="45" spans="1:14" x14ac:dyDescent="0.25">
      <c r="A45" t="s">
        <v>184</v>
      </c>
      <c r="B45" t="s">
        <v>369</v>
      </c>
    </row>
    <row r="46" spans="1:14" x14ac:dyDescent="0.25">
      <c r="A46" t="s">
        <v>368</v>
      </c>
      <c r="B46">
        <v>12</v>
      </c>
    </row>
    <row r="47" spans="1:14" x14ac:dyDescent="0.25">
      <c r="A47" t="s">
        <v>102</v>
      </c>
      <c r="B47">
        <v>24</v>
      </c>
    </row>
  </sheetData>
  <sheetProtection selectLockedCells="1"/>
  <dataValidations count="1">
    <dataValidation allowBlank="1" showInputMessage="1" showErrorMessage="1" prompt="Para cálculo do deslocamento da pá, faz-se a média das 2 celulas abaixo (B21+B22), multiplicado pela distância de ida, no deslocamento." sqref="B20" xr:uid="{E2C71F0E-523C-40A4-8446-2A81BD7AEF05}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4"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37F0D-9452-46F2-9726-1733EA417E00}">
  <sheetPr codeName="Plan18">
    <tabColor rgb="FFFFC000"/>
  </sheetPr>
  <dimension ref="A1:O45"/>
  <sheetViews>
    <sheetView zoomScale="70" zoomScaleNormal="70" workbookViewId="0">
      <selection activeCell="B3" sqref="B3"/>
    </sheetView>
  </sheetViews>
  <sheetFormatPr defaultColWidth="8.85546875" defaultRowHeight="15" x14ac:dyDescent="0.25"/>
  <cols>
    <col min="1" max="1" width="47" customWidth="1"/>
    <col min="2" max="2" width="15.85546875" bestFit="1" customWidth="1"/>
    <col min="3" max="3" width="17" customWidth="1"/>
    <col min="4" max="4" width="13" customWidth="1"/>
    <col min="5" max="5" width="10.28515625" bestFit="1" customWidth="1"/>
    <col min="6" max="6" width="16.7109375" customWidth="1"/>
    <col min="7" max="7" width="18.42578125" customWidth="1"/>
    <col min="8" max="8" width="23.42578125" bestFit="1" customWidth="1"/>
    <col min="9" max="9" width="21.7109375" bestFit="1" customWidth="1"/>
    <col min="10" max="10" width="15.42578125" bestFit="1" customWidth="1"/>
    <col min="11" max="11" width="15" bestFit="1" customWidth="1"/>
    <col min="12" max="12" width="17" customWidth="1"/>
    <col min="13" max="13" width="27.140625" bestFit="1" customWidth="1"/>
    <col min="14" max="14" width="22.5703125" bestFit="1" customWidth="1"/>
    <col min="17" max="17" width="14.5703125" customWidth="1"/>
    <col min="18" max="19" width="10.28515625" bestFit="1" customWidth="1"/>
  </cols>
  <sheetData>
    <row r="1" spans="1:14" ht="15.75" thickBot="1" x14ac:dyDescent="0.3">
      <c r="A1" s="289" t="s">
        <v>299</v>
      </c>
      <c r="B1" s="290" t="s">
        <v>163</v>
      </c>
      <c r="C1" s="290">
        <v>1.05</v>
      </c>
      <c r="D1" s="290"/>
      <c r="E1" s="290"/>
      <c r="F1" s="290"/>
      <c r="G1" s="290" t="s">
        <v>160</v>
      </c>
      <c r="H1" s="290"/>
      <c r="I1" s="291"/>
    </row>
    <row r="2" spans="1:14" x14ac:dyDescent="0.25">
      <c r="A2" s="292" t="s">
        <v>95</v>
      </c>
      <c r="B2" s="293" t="s">
        <v>99</v>
      </c>
      <c r="C2" s="294" t="s">
        <v>100</v>
      </c>
      <c r="D2" s="464" t="s">
        <v>288</v>
      </c>
      <c r="G2" s="295" t="str">
        <f>A2:A5</f>
        <v>Tamanho da Area</v>
      </c>
      <c r="H2" s="295" t="s">
        <v>108</v>
      </c>
      <c r="I2" s="296" t="s">
        <v>109</v>
      </c>
    </row>
    <row r="3" spans="1:14" x14ac:dyDescent="0.25">
      <c r="A3" s="297" t="s">
        <v>96</v>
      </c>
      <c r="B3" s="298">
        <v>265.93195604898722</v>
      </c>
      <c r="C3" s="299">
        <f>B3-15</f>
        <v>250.93195604898722</v>
      </c>
      <c r="D3" s="393">
        <f>B3/C3</f>
        <v>1.05977716125192</v>
      </c>
      <c r="G3" s="295" t="str">
        <f>A3:A6</f>
        <v>Ate 50 alq</v>
      </c>
      <c r="H3" s="300">
        <v>0.85</v>
      </c>
      <c r="I3" s="301">
        <v>0.85</v>
      </c>
      <c r="J3" s="308">
        <f t="shared" ref="J3:K5" si="0">H3*B3</f>
        <v>226.04216264163912</v>
      </c>
      <c r="K3" s="308">
        <f t="shared" si="0"/>
        <v>213.29216264163912</v>
      </c>
      <c r="M3" t="s">
        <v>289</v>
      </c>
      <c r="N3" s="302"/>
    </row>
    <row r="4" spans="1:14" x14ac:dyDescent="0.25">
      <c r="A4" s="297" t="s">
        <v>97</v>
      </c>
      <c r="B4" s="303">
        <f>B3/$C$1</f>
        <v>253.26852957046401</v>
      </c>
      <c r="C4" s="299">
        <f>C3/$C$1</f>
        <v>238.98281528474973</v>
      </c>
      <c r="D4" s="393">
        <f t="shared" ref="D4:D5" si="1">B4/C4</f>
        <v>1.05977716125192</v>
      </c>
      <c r="G4" s="295" t="str">
        <f>A4:A7</f>
        <v>50 a 100 alq</v>
      </c>
      <c r="H4" s="300">
        <v>0.1</v>
      </c>
      <c r="I4" s="301">
        <v>0.1</v>
      </c>
      <c r="J4" s="308">
        <f t="shared" si="0"/>
        <v>25.326852957046402</v>
      </c>
      <c r="K4" s="308">
        <f t="shared" si="0"/>
        <v>23.898281528474975</v>
      </c>
      <c r="M4" t="s">
        <v>291</v>
      </c>
      <c r="N4" t="s">
        <v>290</v>
      </c>
    </row>
    <row r="5" spans="1:14" ht="15.75" thickBot="1" x14ac:dyDescent="0.3">
      <c r="A5" s="304" t="s">
        <v>98</v>
      </c>
      <c r="B5" s="305">
        <f>B4/$C$1</f>
        <v>241.20812340044191</v>
      </c>
      <c r="C5" s="306">
        <f>C4/$C$1</f>
        <v>227.60268122357115</v>
      </c>
      <c r="D5" s="393">
        <f t="shared" si="1"/>
        <v>1.05977716125192</v>
      </c>
      <c r="G5" s="295" t="str">
        <f>A5:A8</f>
        <v>Mais 100 alq</v>
      </c>
      <c r="H5" s="300">
        <v>0.05</v>
      </c>
      <c r="I5" s="301">
        <v>0.05</v>
      </c>
      <c r="J5" s="308">
        <f t="shared" si="0"/>
        <v>12.060406170022096</v>
      </c>
      <c r="K5" s="308">
        <f t="shared" si="0"/>
        <v>11.380134061178559</v>
      </c>
      <c r="M5">
        <v>1</v>
      </c>
      <c r="N5" s="465">
        <v>416</v>
      </c>
    </row>
    <row r="6" spans="1:14" x14ac:dyDescent="0.25">
      <c r="A6" s="307"/>
      <c r="F6" s="308"/>
      <c r="H6" s="309">
        <f>SUM(H3:H5)</f>
        <v>1</v>
      </c>
      <c r="I6" s="310">
        <f>SUM(I3:I5)</f>
        <v>1</v>
      </c>
      <c r="J6" s="401">
        <f>SUM(J3:J5)</f>
        <v>263.42942176870764</v>
      </c>
      <c r="K6" s="401">
        <f>SUM(K3:K5)</f>
        <v>248.57057823129264</v>
      </c>
      <c r="M6">
        <v>2</v>
      </c>
      <c r="N6" s="465">
        <v>208</v>
      </c>
    </row>
    <row r="7" spans="1:14" ht="15.75" thickBot="1" x14ac:dyDescent="0.3">
      <c r="A7" s="311" t="s">
        <v>101</v>
      </c>
      <c r="B7" s="312"/>
      <c r="C7" s="312"/>
      <c r="D7" s="312"/>
      <c r="I7" s="313"/>
      <c r="M7">
        <v>3</v>
      </c>
      <c r="N7" s="465">
        <v>137</v>
      </c>
    </row>
    <row r="8" spans="1:14" x14ac:dyDescent="0.25">
      <c r="A8" s="292" t="s">
        <v>182</v>
      </c>
      <c r="B8" s="314">
        <v>380</v>
      </c>
      <c r="C8" s="308"/>
      <c r="G8" t="s">
        <v>161</v>
      </c>
      <c r="I8" s="313"/>
      <c r="M8">
        <v>4</v>
      </c>
      <c r="N8" s="465">
        <v>104</v>
      </c>
    </row>
    <row r="9" spans="1:14" x14ac:dyDescent="0.25">
      <c r="A9" s="297" t="s">
        <v>139</v>
      </c>
      <c r="B9" s="315">
        <v>50</v>
      </c>
      <c r="G9" s="295" t="str">
        <f>G2</f>
        <v>Tamanho da Area</v>
      </c>
      <c r="H9" s="295" t="s">
        <v>108</v>
      </c>
      <c r="I9" s="296" t="s">
        <v>109</v>
      </c>
      <c r="M9">
        <v>5</v>
      </c>
      <c r="N9" s="465">
        <v>83</v>
      </c>
    </row>
    <row r="10" spans="1:14" x14ac:dyDescent="0.25">
      <c r="A10" s="297" t="s">
        <v>138</v>
      </c>
      <c r="B10" s="315">
        <v>45</v>
      </c>
      <c r="G10" s="295" t="s">
        <v>111</v>
      </c>
      <c r="H10" s="316">
        <v>0.5</v>
      </c>
      <c r="I10" s="317">
        <f>1-H10</f>
        <v>0.5</v>
      </c>
      <c r="M10">
        <v>7.5</v>
      </c>
      <c r="N10" s="465">
        <v>55.4</v>
      </c>
    </row>
    <row r="11" spans="1:14" x14ac:dyDescent="0.25">
      <c r="A11" s="297" t="s">
        <v>159</v>
      </c>
      <c r="B11" s="315">
        <v>109.5</v>
      </c>
      <c r="G11" s="295" t="str">
        <f>G3</f>
        <v>Ate 50 alq</v>
      </c>
      <c r="H11" s="530">
        <f>H3*$H$10</f>
        <v>0.42499999999999999</v>
      </c>
      <c r="I11" s="531">
        <f>I3*$I$10</f>
        <v>0.42499999999999999</v>
      </c>
      <c r="J11" s="532">
        <f>SUM(I11,H11)</f>
        <v>0.85</v>
      </c>
      <c r="M11">
        <v>10</v>
      </c>
      <c r="N11" s="465">
        <v>49.2</v>
      </c>
    </row>
    <row r="12" spans="1:14" x14ac:dyDescent="0.25">
      <c r="A12" s="297" t="s">
        <v>141</v>
      </c>
      <c r="B12" s="315">
        <f>(B25/7*2*2)</f>
        <v>3.7647058823529411</v>
      </c>
      <c r="C12" t="s">
        <v>172</v>
      </c>
      <c r="F12" s="308"/>
      <c r="G12" s="295" t="str">
        <f>G4</f>
        <v>50 a 100 alq</v>
      </c>
      <c r="H12" s="530">
        <f>H4*$H$10</f>
        <v>0.05</v>
      </c>
      <c r="I12" s="531">
        <f>I4*$I$10</f>
        <v>0.05</v>
      </c>
      <c r="J12" s="532">
        <f>SUM(I12,H12)</f>
        <v>0.1</v>
      </c>
      <c r="M12" t="s">
        <v>292</v>
      </c>
      <c r="N12">
        <f>IFERROR(IF('INPUT CONFERENCIA'!B9/'INPUT CONFERENCIA'!C9&gt;10,10,'INPUT CONFERENCIA'!B9/'INPUT CONFERENCIA'!C9),0)</f>
        <v>0.5</v>
      </c>
    </row>
    <row r="13" spans="1:14" ht="15.75" thickBot="1" x14ac:dyDescent="0.3">
      <c r="A13" s="304" t="s">
        <v>142</v>
      </c>
      <c r="B13" s="318">
        <v>300</v>
      </c>
      <c r="E13" s="308"/>
      <c r="F13" s="308"/>
      <c r="G13" s="295" t="str">
        <f>G5</f>
        <v>Mais 100 alq</v>
      </c>
      <c r="H13" s="530">
        <f>H5*$H$10</f>
        <v>2.5000000000000001E-2</v>
      </c>
      <c r="I13" s="531">
        <f>I5*$I$10</f>
        <v>2.5000000000000001E-2</v>
      </c>
      <c r="J13" s="532">
        <f>SUM(I13,H13)</f>
        <v>0.05</v>
      </c>
      <c r="M13" t="s">
        <v>297</v>
      </c>
      <c r="N13" s="465">
        <f>400.74*POWER(N12,-0.955)</f>
        <v>776.8664024771158</v>
      </c>
    </row>
    <row r="14" spans="1:14" x14ac:dyDescent="0.25">
      <c r="A14" s="319"/>
      <c r="B14" s="320"/>
      <c r="E14" s="308"/>
      <c r="G14" s="321" t="s">
        <v>162</v>
      </c>
      <c r="H14" s="309">
        <f>SUM(H11:I13)</f>
        <v>1</v>
      </c>
      <c r="I14" s="313"/>
    </row>
    <row r="15" spans="1:14" ht="15.75" thickBot="1" x14ac:dyDescent="0.3">
      <c r="A15" s="311" t="s">
        <v>102</v>
      </c>
      <c r="C15" t="s">
        <v>361</v>
      </c>
      <c r="D15" t="s">
        <v>360</v>
      </c>
      <c r="E15" s="308"/>
      <c r="G15" t="s">
        <v>110</v>
      </c>
      <c r="I15" s="313"/>
      <c r="M15" t="s">
        <v>185</v>
      </c>
    </row>
    <row r="16" spans="1:14" x14ac:dyDescent="0.25">
      <c r="A16" s="292" t="s">
        <v>103</v>
      </c>
      <c r="B16" s="314">
        <v>240</v>
      </c>
      <c r="C16">
        <v>260</v>
      </c>
      <c r="D16" s="322">
        <v>280</v>
      </c>
      <c r="G16" s="295" t="str">
        <f>G9</f>
        <v>Tamanho da Area</v>
      </c>
      <c r="H16" s="295" t="s">
        <v>108</v>
      </c>
      <c r="I16" s="296" t="s">
        <v>109</v>
      </c>
      <c r="M16" t="s">
        <v>293</v>
      </c>
      <c r="N16" t="s">
        <v>152</v>
      </c>
    </row>
    <row r="17" spans="1:15" x14ac:dyDescent="0.25">
      <c r="A17" s="297" t="s">
        <v>104</v>
      </c>
      <c r="B17" s="299">
        <v>230</v>
      </c>
      <c r="C17">
        <v>250</v>
      </c>
      <c r="D17" s="322">
        <v>270</v>
      </c>
      <c r="G17" s="295" t="str">
        <f>G11</f>
        <v>Ate 50 alq</v>
      </c>
      <c r="H17" s="323">
        <f>H11*B3</f>
        <v>113.02108132081956</v>
      </c>
      <c r="I17" s="324">
        <f>I11*C3</f>
        <v>106.64608132081956</v>
      </c>
      <c r="M17">
        <v>1</v>
      </c>
      <c r="N17" s="465">
        <v>457</v>
      </c>
    </row>
    <row r="18" spans="1:15" x14ac:dyDescent="0.25">
      <c r="A18" s="297" t="s">
        <v>105</v>
      </c>
      <c r="B18" s="299">
        <v>220</v>
      </c>
      <c r="C18">
        <v>240</v>
      </c>
      <c r="D18" s="322">
        <v>260</v>
      </c>
      <c r="G18" s="295" t="str">
        <f>G12</f>
        <v>50 a 100 alq</v>
      </c>
      <c r="H18" s="323">
        <f>H12*B4</f>
        <v>12.663426478523201</v>
      </c>
      <c r="I18" s="324">
        <f>I12*C4</f>
        <v>11.949140764237487</v>
      </c>
      <c r="M18">
        <v>2</v>
      </c>
      <c r="N18" s="465">
        <v>361</v>
      </c>
      <c r="O18" s="308"/>
    </row>
    <row r="19" spans="1:15" ht="15.75" thickBot="1" x14ac:dyDescent="0.3">
      <c r="A19" s="297" t="s">
        <v>106</v>
      </c>
      <c r="B19" s="299">
        <f>5*2*2*B25</f>
        <v>131.76470588235293</v>
      </c>
      <c r="C19" t="s">
        <v>279</v>
      </c>
      <c r="G19" s="325" t="str">
        <f>G13</f>
        <v>Mais 100 alq</v>
      </c>
      <c r="H19" s="326">
        <f>H13*B5</f>
        <v>6.0302030850110482</v>
      </c>
      <c r="I19" s="324">
        <f t="shared" ref="I19" si="2">I13*C5</f>
        <v>5.6900670305892795</v>
      </c>
      <c r="M19">
        <v>3</v>
      </c>
      <c r="N19" s="465">
        <v>330</v>
      </c>
    </row>
    <row r="20" spans="1:15" ht="15.75" thickBot="1" x14ac:dyDescent="0.3">
      <c r="A20" s="297" t="s">
        <v>177</v>
      </c>
      <c r="B20" s="299">
        <v>2200</v>
      </c>
      <c r="G20" s="327" t="s">
        <v>112</v>
      </c>
      <c r="H20" s="328">
        <f>SUM(H17:I19)</f>
        <v>256.00000000000011</v>
      </c>
      <c r="I20" s="313"/>
      <c r="M20">
        <v>4</v>
      </c>
      <c r="N20" s="465">
        <v>314</v>
      </c>
    </row>
    <row r="21" spans="1:15" x14ac:dyDescent="0.25">
      <c r="A21" s="297" t="s">
        <v>181</v>
      </c>
      <c r="B21" s="299">
        <f>ROUND((B25/1*2)/0.94,2)</f>
        <v>14.02</v>
      </c>
      <c r="C21" t="str">
        <f>ROUND(B21/B25,2)&amp;" Lt Diesel/Km"</f>
        <v>2,13 Lt Diesel/Km</v>
      </c>
      <c r="H21" s="308"/>
      <c r="I21" s="313"/>
      <c r="M21">
        <v>5</v>
      </c>
      <c r="N21" s="465">
        <v>304</v>
      </c>
    </row>
    <row r="22" spans="1:15" ht="15.75" thickBot="1" x14ac:dyDescent="0.3">
      <c r="A22" s="304" t="s">
        <v>225</v>
      </c>
      <c r="B22" s="306">
        <f>ROUND(B25/1.7*2,2)</f>
        <v>7.75</v>
      </c>
      <c r="G22" s="329" t="s">
        <v>195</v>
      </c>
      <c r="H22" s="330" t="s">
        <v>190</v>
      </c>
      <c r="I22" s="331"/>
      <c r="M22">
        <v>7</v>
      </c>
      <c r="N22" s="465">
        <v>294</v>
      </c>
    </row>
    <row r="23" spans="1:15" x14ac:dyDescent="0.25">
      <c r="A23" s="332" t="s">
        <v>183</v>
      </c>
      <c r="B23" s="506" t="e">
        <f>(H23/3)+(H24/3*2)+H25+H26+(H27/3)</f>
        <v>#DIV/0!</v>
      </c>
      <c r="G23" s="333" t="s">
        <v>185</v>
      </c>
      <c r="H23" s="334">
        <f>$N$25*EQUALIZA!H33+'BANCO DE DADOS 05JUN24'!$N$25*EQUALIZA!H34*(1+(15%*(EQUALIZA!$K$32-1)))</f>
        <v>391.44393740626145</v>
      </c>
      <c r="I23" s="331"/>
      <c r="M23">
        <v>10</v>
      </c>
      <c r="N23" s="465">
        <v>285</v>
      </c>
    </row>
    <row r="24" spans="1:15" x14ac:dyDescent="0.25">
      <c r="A24" s="335" t="s">
        <v>151</v>
      </c>
      <c r="B24" s="299">
        <v>40</v>
      </c>
      <c r="C24" s="322"/>
      <c r="G24" s="333" t="s">
        <v>194</v>
      </c>
      <c r="H24" s="334">
        <f>$N$13*EQUALIZA!H33+'BANCO DE DADOS 05JUN24'!$N$13*EQUALIZA!H34*(1+(15%*(EQUALIZA!$K$32-1)))</f>
        <v>933.0165493750161</v>
      </c>
      <c r="I24" s="331"/>
      <c r="M24" t="s">
        <v>294</v>
      </c>
      <c r="N24">
        <f>IFERROR(ROUND(IF('INPUT DADOS'!B5*2.42/'INPUT DADOS'!B6&gt;10,10,'INPUT DADOS'!B5*2.42/'INPUT DADOS'!B6),1),0)</f>
        <v>3</v>
      </c>
    </row>
    <row r="25" spans="1:15" x14ac:dyDescent="0.25">
      <c r="A25" s="335" t="s">
        <v>169</v>
      </c>
      <c r="B25" s="508">
        <f>5.6/0.85</f>
        <v>6.5882352941176467</v>
      </c>
      <c r="C25" t="s">
        <v>347</v>
      </c>
      <c r="G25" s="333" t="s">
        <v>193</v>
      </c>
      <c r="H25" s="334" t="e">
        <f>$N$45*EQUALIZA!H33+'BANCO DE DADOS 05JUN24'!$N$45*EQUALIZA!H34*(1+(15%*(EQUALIZA!$K$32-1)))</f>
        <v>#DIV/0!</v>
      </c>
      <c r="I25" s="331"/>
      <c r="M25" s="472" t="s">
        <v>295</v>
      </c>
      <c r="N25" s="473">
        <f>IFERROR(IF(N24&lt;=3,453.67*POWER(N24,-0.301),(0.6591*N24*N24-13.917*N24+358.4)),0)</f>
        <v>325.9316714456798</v>
      </c>
    </row>
    <row r="26" spans="1:15" x14ac:dyDescent="0.25">
      <c r="A26" s="503" t="s">
        <v>229</v>
      </c>
      <c r="B26" s="504">
        <v>40</v>
      </c>
      <c r="G26" s="333" t="s">
        <v>192</v>
      </c>
      <c r="H26" s="334">
        <f>B26*EQUALIZA!H33+B26*EQUALIZA!H34*(1+(15%*(EQUALIZA!$K$32-1)))</f>
        <v>48.04</v>
      </c>
      <c r="I26" s="331"/>
      <c r="M26" s="342"/>
      <c r="N26" s="342"/>
    </row>
    <row r="27" spans="1:15" ht="15.75" thickBot="1" x14ac:dyDescent="0.3">
      <c r="A27" s="295" t="s">
        <v>349</v>
      </c>
      <c r="B27" s="505">
        <v>45321</v>
      </c>
      <c r="C27" s="336"/>
      <c r="D27" s="336"/>
      <c r="E27" s="336"/>
      <c r="F27" s="337"/>
      <c r="G27" s="338" t="s">
        <v>191</v>
      </c>
      <c r="H27" s="339">
        <f>B8/10*EQUALIZA!H33+B8/10*EQUALIZA!H34*(1+(15%*(EQUALIZA!$K$32-1)))</f>
        <v>45.637999999999998</v>
      </c>
      <c r="I27" s="340"/>
      <c r="L27" s="341"/>
      <c r="M27" s="343"/>
      <c r="N27" s="308"/>
    </row>
    <row r="28" spans="1:15" x14ac:dyDescent="0.25">
      <c r="L28" s="341"/>
      <c r="O28" s="308"/>
    </row>
    <row r="29" spans="1:15" x14ac:dyDescent="0.25">
      <c r="A29" s="295" t="s">
        <v>311</v>
      </c>
      <c r="B29" s="509"/>
      <c r="L29" s="320"/>
      <c r="O29" s="308"/>
    </row>
    <row r="30" spans="1:15" x14ac:dyDescent="0.25">
      <c r="A30" s="514" t="s">
        <v>312</v>
      </c>
      <c r="B30" s="510">
        <v>100</v>
      </c>
      <c r="C30" s="308"/>
      <c r="D30" s="69" t="s">
        <v>339</v>
      </c>
      <c r="E30" t="s">
        <v>337</v>
      </c>
      <c r="F30" s="69" t="s">
        <v>338</v>
      </c>
      <c r="G30" t="s">
        <v>343</v>
      </c>
      <c r="H30" t="s">
        <v>81</v>
      </c>
    </row>
    <row r="31" spans="1:15" x14ac:dyDescent="0.25">
      <c r="A31" s="514" t="s">
        <v>313</v>
      </c>
      <c r="B31" s="510">
        <v>0.5</v>
      </c>
      <c r="C31" s="308"/>
      <c r="D31">
        <f>E31*2.42</f>
        <v>100</v>
      </c>
      <c r="E31">
        <f>B41/2.42</f>
        <v>41.32231404958678</v>
      </c>
      <c r="F31">
        <v>250</v>
      </c>
      <c r="G31">
        <v>982</v>
      </c>
      <c r="H31">
        <f>F31/250</f>
        <v>1</v>
      </c>
      <c r="I31" t="s">
        <v>204</v>
      </c>
    </row>
    <row r="32" spans="1:15" x14ac:dyDescent="0.25">
      <c r="A32" s="514" t="s">
        <v>314</v>
      </c>
      <c r="B32" s="510">
        <v>1</v>
      </c>
      <c r="C32" s="308"/>
      <c r="D32">
        <f>E32*2.42</f>
        <v>124.2</v>
      </c>
      <c r="E32">
        <f>E31+10</f>
        <v>51.32231404958678</v>
      </c>
      <c r="F32">
        <v>282</v>
      </c>
      <c r="G32">
        <v>982</v>
      </c>
      <c r="H32">
        <f>F32/250</f>
        <v>1.1279999999999999</v>
      </c>
      <c r="I32" t="s">
        <v>205</v>
      </c>
      <c r="M32" t="s">
        <v>193</v>
      </c>
    </row>
    <row r="33" spans="1:14" x14ac:dyDescent="0.25">
      <c r="A33" s="514" t="s">
        <v>315</v>
      </c>
      <c r="B33" s="510">
        <v>500</v>
      </c>
      <c r="C33" s="308"/>
      <c r="D33">
        <f>E33*2.42</f>
        <v>148.4</v>
      </c>
      <c r="E33">
        <f>E32+10</f>
        <v>61.32231404958678</v>
      </c>
      <c r="F33">
        <v>316</v>
      </c>
      <c r="G33">
        <v>982</v>
      </c>
      <c r="H33">
        <f t="shared" ref="H33" si="3">F33/250</f>
        <v>1.264</v>
      </c>
      <c r="I33" t="s">
        <v>206</v>
      </c>
      <c r="M33" t="s">
        <v>291</v>
      </c>
      <c r="N33" t="s">
        <v>290</v>
      </c>
    </row>
    <row r="34" spans="1:14" x14ac:dyDescent="0.25">
      <c r="A34" s="514" t="s">
        <v>316</v>
      </c>
      <c r="B34" s="510">
        <v>240</v>
      </c>
      <c r="C34" s="308"/>
      <c r="D34">
        <f>E34*2.42</f>
        <v>172.6</v>
      </c>
      <c r="E34">
        <f t="shared" ref="E34:E36" si="4">E33+10</f>
        <v>71.32231404958678</v>
      </c>
      <c r="F34">
        <v>349</v>
      </c>
      <c r="G34">
        <v>982</v>
      </c>
      <c r="H34">
        <f>F34/250</f>
        <v>1.3959999999999999</v>
      </c>
      <c r="I34" t="s">
        <v>207</v>
      </c>
      <c r="M34">
        <v>1</v>
      </c>
      <c r="N34" s="465">
        <v>494</v>
      </c>
    </row>
    <row r="35" spans="1:14" x14ac:dyDescent="0.25">
      <c r="A35" s="514" t="s">
        <v>323</v>
      </c>
      <c r="B35" s="511">
        <v>270</v>
      </c>
      <c r="C35" s="308"/>
      <c r="D35">
        <f t="shared" ref="D35:D36" si="5">E35*2.42</f>
        <v>196.8</v>
      </c>
      <c r="E35">
        <f t="shared" si="4"/>
        <v>81.32231404958678</v>
      </c>
      <c r="F35">
        <v>382</v>
      </c>
      <c r="G35">
        <v>982</v>
      </c>
      <c r="H35">
        <f>F35/250</f>
        <v>1.528</v>
      </c>
      <c r="I35" t="s">
        <v>220</v>
      </c>
      <c r="M35">
        <v>2</v>
      </c>
      <c r="N35" s="465">
        <v>250</v>
      </c>
    </row>
    <row r="36" spans="1:14" x14ac:dyDescent="0.25">
      <c r="A36" s="514" t="s">
        <v>324</v>
      </c>
      <c r="B36" s="511">
        <v>240</v>
      </c>
      <c r="C36" s="308"/>
      <c r="D36">
        <f t="shared" si="5"/>
        <v>221</v>
      </c>
      <c r="E36">
        <f t="shared" si="4"/>
        <v>91.32231404958678</v>
      </c>
      <c r="F36">
        <v>415</v>
      </c>
      <c r="G36">
        <v>982</v>
      </c>
      <c r="H36">
        <f>F36/250</f>
        <v>1.66</v>
      </c>
      <c r="I36" t="s">
        <v>208</v>
      </c>
      <c r="M36">
        <v>3</v>
      </c>
      <c r="N36" s="465">
        <v>168</v>
      </c>
    </row>
    <row r="37" spans="1:14" x14ac:dyDescent="0.25">
      <c r="A37" s="514" t="s">
        <v>326</v>
      </c>
      <c r="B37" s="512">
        <v>45595</v>
      </c>
      <c r="C37" s="455"/>
      <c r="I37" t="s">
        <v>212</v>
      </c>
      <c r="M37">
        <v>4</v>
      </c>
      <c r="N37" s="465">
        <v>127</v>
      </c>
    </row>
    <row r="38" spans="1:14" x14ac:dyDescent="0.25">
      <c r="A38" s="514" t="s">
        <v>327</v>
      </c>
      <c r="B38" s="513">
        <v>0.9</v>
      </c>
      <c r="C38" s="308"/>
      <c r="D38" s="308"/>
      <c r="I38" t="s">
        <v>211</v>
      </c>
      <c r="M38">
        <v>5</v>
      </c>
      <c r="N38" s="465">
        <v>103</v>
      </c>
    </row>
    <row r="39" spans="1:14" x14ac:dyDescent="0.25">
      <c r="A39" s="514" t="s">
        <v>328</v>
      </c>
      <c r="B39" s="513">
        <v>1</v>
      </c>
      <c r="C39" s="308"/>
      <c r="D39" s="393">
        <f>B41/D31</f>
        <v>1</v>
      </c>
      <c r="E39">
        <v>1</v>
      </c>
      <c r="I39" t="s">
        <v>209</v>
      </c>
      <c r="M39">
        <v>6</v>
      </c>
      <c r="N39" s="465">
        <v>86.6</v>
      </c>
    </row>
    <row r="40" spans="1:14" x14ac:dyDescent="0.25">
      <c r="A40" s="514" t="s">
        <v>334</v>
      </c>
      <c r="B40" s="513">
        <v>1.5</v>
      </c>
      <c r="C40" s="308"/>
      <c r="D40">
        <f>D39*D36</f>
        <v>221</v>
      </c>
      <c r="E40">
        <v>1.66</v>
      </c>
      <c r="I40" t="s">
        <v>210</v>
      </c>
      <c r="M40">
        <v>8</v>
      </c>
      <c r="N40" s="465">
        <v>66.3</v>
      </c>
    </row>
    <row r="41" spans="1:14" x14ac:dyDescent="0.25">
      <c r="A41" s="514" t="s">
        <v>342</v>
      </c>
      <c r="B41" s="513">
        <v>100</v>
      </c>
      <c r="C41" s="308"/>
      <c r="D41" s="308"/>
      <c r="M41">
        <v>10</v>
      </c>
      <c r="N41" s="465">
        <v>54</v>
      </c>
    </row>
    <row r="42" spans="1:14" x14ac:dyDescent="0.25">
      <c r="M42">
        <v>15</v>
      </c>
      <c r="N42" s="465">
        <v>38</v>
      </c>
    </row>
    <row r="43" spans="1:14" x14ac:dyDescent="0.25">
      <c r="A43" s="514" t="s">
        <v>358</v>
      </c>
      <c r="B43" s="525">
        <f>B20/8*1.2</f>
        <v>330</v>
      </c>
      <c r="M43">
        <v>20</v>
      </c>
      <c r="N43" s="465">
        <v>30</v>
      </c>
    </row>
    <row r="44" spans="1:14" x14ac:dyDescent="0.25">
      <c r="M44" t="s">
        <v>292</v>
      </c>
      <c r="N44">
        <f>IFERROR(IF('INPUT FOLHA '!B7/'INPUT FOLHA '!C7&gt;20,20,ROUND('INPUT FOLHA '!B7/'INPUT FOLHA '!C7,0)),0)</f>
        <v>0</v>
      </c>
    </row>
    <row r="45" spans="1:14" x14ac:dyDescent="0.25">
      <c r="M45" t="s">
        <v>295</v>
      </c>
      <c r="N45" s="465" t="e">
        <f>475.73*POWER(N44,-0.938)</f>
        <v>#DIV/0!</v>
      </c>
    </row>
  </sheetData>
  <sheetProtection selectLockedCells="1"/>
  <dataValidations count="1">
    <dataValidation allowBlank="1" showInputMessage="1" showErrorMessage="1" prompt="Para cálculo do deslocamento da pá, faz-se a média das 2 celulas abaixo (B21+B22), multiplicado pela distância de ida, no deslocamento." sqref="B20" xr:uid="{FC375186-F253-4F9F-A403-68E021E014EB}"/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5">
    <tablePart r:id="rId4"/>
    <tablePart r:id="rId5"/>
    <tablePart r:id="rId6"/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>
    <pageSetUpPr fitToPage="1"/>
  </sheetPr>
  <dimension ref="A1:R27"/>
  <sheetViews>
    <sheetView showGridLines="0" zoomScale="113" zoomScaleNormal="113" zoomScalePageLayoutView="60" workbookViewId="0">
      <selection activeCell="B9" sqref="B9"/>
    </sheetView>
  </sheetViews>
  <sheetFormatPr defaultColWidth="8.85546875" defaultRowHeight="18.75" x14ac:dyDescent="0.3"/>
  <cols>
    <col min="1" max="1" width="37.5703125" style="56" customWidth="1"/>
    <col min="2" max="2" width="19.5703125" style="56" bestFit="1" customWidth="1"/>
    <col min="3" max="3" width="18.7109375" style="56" customWidth="1"/>
    <col min="4" max="4" width="18.140625" style="56" bestFit="1" customWidth="1"/>
    <col min="5" max="5" width="11.28515625" style="56" customWidth="1"/>
    <col min="6" max="6" width="33.28515625" style="56" bestFit="1" customWidth="1"/>
    <col min="7" max="7" width="11.85546875" style="56" bestFit="1" customWidth="1"/>
    <col min="8" max="8" width="12.85546875" style="56" bestFit="1" customWidth="1"/>
    <col min="9" max="9" width="9.28515625" style="56" bestFit="1" customWidth="1"/>
    <col min="10" max="15" width="8.85546875" style="56"/>
    <col min="16" max="16" width="12.42578125" style="56" bestFit="1" customWidth="1"/>
    <col min="17" max="17" width="8.85546875" style="56"/>
    <col min="18" max="18" width="17.7109375" style="56" bestFit="1" customWidth="1"/>
    <col min="19" max="16384" width="8.85546875" style="56"/>
  </cols>
  <sheetData>
    <row r="1" spans="1:16" x14ac:dyDescent="0.3">
      <c r="A1" s="619" t="s">
        <v>3</v>
      </c>
      <c r="B1" s="620"/>
      <c r="C1" s="620"/>
      <c r="D1" s="620"/>
      <c r="E1" s="128"/>
      <c r="F1" s="128"/>
      <c r="G1" s="128"/>
      <c r="H1" s="129"/>
    </row>
    <row r="2" spans="1:16" ht="19.5" thickBot="1" x14ac:dyDescent="0.35">
      <c r="A2" s="2"/>
      <c r="E2" s="56" t="s">
        <v>89</v>
      </c>
      <c r="H2" s="3"/>
    </row>
    <row r="3" spans="1:16" ht="19.5" thickBot="1" x14ac:dyDescent="0.35">
      <c r="A3" s="381" t="s">
        <v>215</v>
      </c>
      <c r="B3" s="264" t="s">
        <v>398</v>
      </c>
      <c r="C3" s="382" t="str">
        <f>IF(B3="S","REANÁLISE",IF(B3="N","NOVA ÁREA",""))</f>
        <v>NOVA ÁREA</v>
      </c>
      <c r="D3" s="211">
        <f>ROUND(43/0.85,1)+1.7</f>
        <v>52.300000000000004</v>
      </c>
      <c r="E3" s="140" t="s">
        <v>22</v>
      </c>
      <c r="F3" s="56" t="s">
        <v>227</v>
      </c>
      <c r="H3" s="3"/>
    </row>
    <row r="4" spans="1:16" ht="19.5" thickBot="1" x14ac:dyDescent="0.35">
      <c r="A4" s="381" t="s">
        <v>216</v>
      </c>
      <c r="B4" s="264" t="s">
        <v>396</v>
      </c>
      <c r="C4" s="382"/>
      <c r="D4" s="211">
        <f>ROUND((30/0.85),2)+0.01</f>
        <v>35.299999999999997</v>
      </c>
      <c r="E4" s="127" t="s">
        <v>22</v>
      </c>
      <c r="F4" s="56" t="s">
        <v>228</v>
      </c>
      <c r="H4" s="3"/>
    </row>
    <row r="5" spans="1:16" ht="19.5" thickBot="1" x14ac:dyDescent="0.35">
      <c r="A5" s="381" t="s">
        <v>0</v>
      </c>
      <c r="B5" s="267">
        <v>50</v>
      </c>
      <c r="C5" s="383" t="str">
        <f>ROUND(B5*2.42,1)&amp;" Ha"</f>
        <v>121 Ha</v>
      </c>
      <c r="D5" s="211">
        <f>ROUND(15/0.85,2)+0.05</f>
        <v>17.7</v>
      </c>
      <c r="E5" s="127" t="s">
        <v>22</v>
      </c>
      <c r="F5" s="56" t="s">
        <v>88</v>
      </c>
      <c r="H5" s="3"/>
    </row>
    <row r="6" spans="1:16" ht="19.5" thickBot="1" x14ac:dyDescent="0.35">
      <c r="A6" s="381" t="s">
        <v>217</v>
      </c>
      <c r="B6" s="477">
        <v>41</v>
      </c>
      <c r="C6" s="383" t="str">
        <f>ROUND((B5*2.42)/(B6),2)&amp; " ha/ponto"</f>
        <v>2,95 ha/ponto</v>
      </c>
      <c r="D6" s="211">
        <f>ROUND((32-15)/0.85,2)</f>
        <v>20</v>
      </c>
      <c r="E6" s="127" t="s">
        <v>22</v>
      </c>
      <c r="F6" s="56" t="s">
        <v>87</v>
      </c>
      <c r="H6" s="3"/>
      <c r="P6" s="139"/>
    </row>
    <row r="7" spans="1:16" ht="19.5" thickBot="1" x14ac:dyDescent="0.35">
      <c r="A7" s="381" t="s">
        <v>218</v>
      </c>
      <c r="B7" s="213">
        <f>SUMIF(E3:E8,"X",D3:D8)</f>
        <v>132.12926829268292</v>
      </c>
      <c r="C7" s="402" t="s">
        <v>230</v>
      </c>
      <c r="D7" s="211">
        <f>IF(E7="x",D23/B6,0)</f>
        <v>6.8292682926829267</v>
      </c>
      <c r="E7" s="127" t="s">
        <v>22</v>
      </c>
      <c r="F7" s="56" t="str">
        <f>IF(E7="x",IF((B6/10)&lt;1,1,ROUND((B6/10),0)),"")&amp;" Análise de 20 - 40 cm (Cálculo de Gesso)"</f>
        <v>4 Análise de 20 - 40 cm (Cálculo de Gesso)</v>
      </c>
      <c r="H7" s="3"/>
    </row>
    <row r="8" spans="1:16" ht="19.5" thickBot="1" x14ac:dyDescent="0.35">
      <c r="A8" s="381" t="s">
        <v>36</v>
      </c>
      <c r="B8" s="214">
        <f>IF(B5&gt;0,IF(B5*B12+B6*B7&gt;(B6+B23)*'BANCO DE DADOS'!B8*0.4*D10+(B6+B23)*B7*0.7,B5*B12+B6*B7,((B23+B6)*0.4*'BANCO DE DADOS'!B8*D10+(B6+B23)*B7*0.7)),0)</f>
        <v>20640.219236572277</v>
      </c>
      <c r="C8" s="403">
        <v>45838</v>
      </c>
      <c r="D8" s="211">
        <f>D24/B6</f>
        <v>0</v>
      </c>
      <c r="E8" s="127"/>
      <c r="F8" s="56" t="str">
        <f>IF(E8="x",IF(B5*2.42/50&gt;INT(B5*2.42/50),INT(B5*2.42/50+1),B5*2.42/50),0) &amp; " Análises Físicas (granulometria a cada 50 Ha)"</f>
        <v>0 Análises Físicas (granulometria a cada 50 Ha)</v>
      </c>
      <c r="H8" s="3"/>
    </row>
    <row r="9" spans="1:16" ht="19.5" thickBot="1" x14ac:dyDescent="0.35">
      <c r="A9" s="381" t="s">
        <v>1</v>
      </c>
      <c r="B9" s="212">
        <v>19320.336423227531</v>
      </c>
      <c r="C9" s="414" t="str">
        <f>"Desconto de "&amp;ROUND((B9-B8)/B8,4)*100&amp;"%"</f>
        <v>Desconto de -6,39%</v>
      </c>
      <c r="E9" s="384"/>
      <c r="H9" s="3"/>
    </row>
    <row r="10" spans="1:16" ht="19.5" thickBot="1" x14ac:dyDescent="0.35">
      <c r="A10" s="404" t="s">
        <v>231</v>
      </c>
      <c r="B10" s="405">
        <f>'BANCO DE DADOS'!B27</f>
        <v>45657</v>
      </c>
      <c r="C10" s="611" t="str">
        <f>"Correção: "</f>
        <v xml:space="preserve">Correção: </v>
      </c>
      <c r="D10" s="612">
        <f>ROUND(IF(_xlfn.DAYS(C8,B10)&gt;0,(POWER((100+'BANCO DE DADOS'!B40)/100,(_xlfn.DAYS(C8,B10)/30))),1),3)</f>
        <v>1.0940000000000001</v>
      </c>
      <c r="H10" s="3"/>
    </row>
    <row r="11" spans="1:16" x14ac:dyDescent="0.3">
      <c r="A11" s="131" t="s">
        <v>2</v>
      </c>
      <c r="B11" s="132">
        <f>IF(B5&gt;0,B9/B5,0)</f>
        <v>386.40672846455061</v>
      </c>
      <c r="C11" s="82" t="str">
        <f>"R$/Ha: R$ "&amp;ROUND(B11/2.42,2)</f>
        <v>R$/Ha: R$ 159,67</v>
      </c>
      <c r="H11" s="3"/>
    </row>
    <row r="12" spans="1:16" x14ac:dyDescent="0.3">
      <c r="A12" s="133" t="s">
        <v>171</v>
      </c>
      <c r="B12" s="134">
        <f>IF(AND(B3&lt;&gt;"",B4&lt;&gt;"",B5&lt;&gt;"",C8&lt;&gt;""),IF(B4="S",IF(B3="n",IF(B5&gt;=100,'BANCO DE DADOS'!B5,IF(B5&lt;50,'BANCO DE DADOS'!B3,'BANCO DE DADOS'!B4)),IF(B5&gt;=100,'BANCO DE DADOS'!C5,IF(B5&lt;50,'BANCO DE DADOS'!C3,'BANCO DE DADOS'!C4))),IF(B3="n",IF(B5&gt;=100,'BANCO DE DADOS'!B5*0.93,IF(B5&lt;50,'BANCO DE DADOS'!B3*0.93,'BANCO DE DADOS'!B4*0.93)),IF(B5&gt;=100,'BANCO DE DADOS'!C5*0.93,IF(B5&lt;50,'BANCO DE DADOS'!C3*0.93,'BANCO DE DADOS'!C4*0.93))))*IF(_xlfn.DAYS(C8,B10)&gt;0,(POWER((100+'BANCO DE DADOS'!B40)/100,(_xlfn.DAYS(C8,B10)/30))),1),0)</f>
        <v>304.45838473144551</v>
      </c>
      <c r="C12" s="415">
        <f>IF(B5*B12&gt;0.4*(B6+B23)*'BANCO DE DADOS'!B8*D10,B5*B12,0.4*(B6+B23)*'BANCO DE DADOS'!B8*D10)</f>
        <v>15222.919236572276</v>
      </c>
      <c r="H12" s="3"/>
    </row>
    <row r="13" spans="1:16" x14ac:dyDescent="0.3">
      <c r="A13" s="133" t="s">
        <v>125</v>
      </c>
      <c r="B13" s="135">
        <f>(B9-C12)/B5</f>
        <v>81.948343733105105</v>
      </c>
      <c r="C13" s="415">
        <f>B13*B5</f>
        <v>4097.4171866552551</v>
      </c>
      <c r="D13" s="280" t="str">
        <f>IF(C13&lt;D25,"Somar R$"&amp;ROUND(D25-C13,2)&amp;" ao orçamento","")</f>
        <v/>
      </c>
      <c r="H13" s="3"/>
    </row>
    <row r="14" spans="1:16" x14ac:dyDescent="0.3">
      <c r="A14" s="133" t="s">
        <v>126</v>
      </c>
      <c r="B14" s="135">
        <f>C13/B6</f>
        <v>99.937004552567203</v>
      </c>
      <c r="C14" s="416">
        <f>(B14-B7)/B7</f>
        <v>-0.24364218583883937</v>
      </c>
      <c r="D14" s="385"/>
      <c r="H14" s="3"/>
    </row>
    <row r="15" spans="1:16" ht="19.5" thickBot="1" x14ac:dyDescent="0.35">
      <c r="A15" s="136" t="s">
        <v>127</v>
      </c>
      <c r="B15" s="137">
        <f>IF(B5&gt;0,IF(B5&lt;5,INT(B5)+1, IF(B5&lt;10,INT(B5*2.42/2.5)+1,INT(B5*2.42/3)+1)),"")</f>
        <v>41</v>
      </c>
      <c r="H15" s="3"/>
    </row>
    <row r="16" spans="1:16" ht="19.5" thickBot="1" x14ac:dyDescent="0.35">
      <c r="A16" s="2"/>
      <c r="H16" s="3"/>
    </row>
    <row r="17" spans="1:18" x14ac:dyDescent="0.3">
      <c r="A17" s="131" t="s">
        <v>122</v>
      </c>
      <c r="B17" s="388">
        <f>IF(148.15*C14*C14*C14+55.556*C14*C14+249.07*C14+100.06&gt;100,100,IF(148.15*C14*C14*C14+55.556*C14*C14+249.07*C14+100.06&lt;0,0,148.15*C14*C14*C14+55.556*C14*C14+249.07*C14+100.06))</f>
        <v>40.531240197770195</v>
      </c>
      <c r="C17" s="390">
        <f>INT(B17)</f>
        <v>40</v>
      </c>
      <c r="H17" s="3"/>
    </row>
    <row r="18" spans="1:18" ht="19.5" thickBot="1" x14ac:dyDescent="0.35">
      <c r="A18" s="136" t="s">
        <v>123</v>
      </c>
      <c r="B18" s="389">
        <f>100-B17</f>
        <v>59.468759802229805</v>
      </c>
      <c r="H18" s="3"/>
    </row>
    <row r="19" spans="1:18" ht="19.5" thickBot="1" x14ac:dyDescent="0.35">
      <c r="A19" s="2"/>
      <c r="B19" s="386"/>
      <c r="H19" s="3"/>
    </row>
    <row r="20" spans="1:18" ht="19.5" thickBot="1" x14ac:dyDescent="0.35">
      <c r="A20" s="205" t="s">
        <v>130</v>
      </c>
      <c r="B20" s="206" t="s">
        <v>173</v>
      </c>
      <c r="C20" s="207" t="s">
        <v>91</v>
      </c>
      <c r="D20" s="210" t="s">
        <v>92</v>
      </c>
      <c r="H20" s="3"/>
    </row>
    <row r="21" spans="1:18" ht="19.5" thickTop="1" x14ac:dyDescent="0.3">
      <c r="A21" s="203" t="str">
        <f>"ANÁLISES COMPLETA"</f>
        <v>ANÁLISES COMPLETA</v>
      </c>
      <c r="B21" s="521">
        <f>IF(B17&lt;20,20/100*B6,INT(B17*B6/100))</f>
        <v>16</v>
      </c>
      <c r="C21" s="204">
        <f>SUMIF(E3:E6,"X",D3:D6)</f>
        <v>125.3</v>
      </c>
      <c r="D21" s="387">
        <f>C21*B21</f>
        <v>2004.8</v>
      </c>
      <c r="E21" s="621" t="str">
        <f>(B21+B22)&amp;" pontos"</f>
        <v>41 pontos</v>
      </c>
      <c r="F21" s="622"/>
      <c r="H21" s="3"/>
    </row>
    <row r="22" spans="1:18" x14ac:dyDescent="0.3">
      <c r="A22" s="4" t="s">
        <v>124</v>
      </c>
      <c r="B22" s="141">
        <f>B6-B21</f>
        <v>25</v>
      </c>
      <c r="C22" s="142">
        <f>D3</f>
        <v>52.300000000000004</v>
      </c>
      <c r="D22" s="143">
        <f>C22*B22</f>
        <v>1307.5</v>
      </c>
      <c r="E22" s="621"/>
      <c r="F22" s="622"/>
      <c r="H22" s="3"/>
      <c r="P22" s="138"/>
      <c r="R22" s="139"/>
    </row>
    <row r="23" spans="1:18" x14ac:dyDescent="0.3">
      <c r="A23" s="200" t="s">
        <v>131</v>
      </c>
      <c r="B23" s="520">
        <f>IF(E7="x",IF((B6/10)&lt;1,1,ROUND((B6/10),0)),0)</f>
        <v>4</v>
      </c>
      <c r="C23" s="201">
        <f>SUM(D3,D5)</f>
        <v>70</v>
      </c>
      <c r="D23" s="202">
        <f>C23*B23</f>
        <v>280</v>
      </c>
      <c r="H23" s="3"/>
      <c r="P23" s="138"/>
    </row>
    <row r="24" spans="1:18" ht="19.5" thickBot="1" x14ac:dyDescent="0.35">
      <c r="A24" s="5" t="s">
        <v>90</v>
      </c>
      <c r="B24" s="144">
        <f>IF(E8="x",IF(B5*2.42/50&gt;INT(B5*2.42/50),INT(B5*2.42/50+1),INT(B5*2.42/50)),0)</f>
        <v>0</v>
      </c>
      <c r="C24" s="149">
        <f>ROUND(35/0.85,2)+1.1+0.02</f>
        <v>42.300000000000004</v>
      </c>
      <c r="D24" s="145">
        <f>C24*B24</f>
        <v>0</v>
      </c>
      <c r="H24" s="3"/>
      <c r="I24" s="279" t="s">
        <v>175</v>
      </c>
    </row>
    <row r="25" spans="1:18" ht="19.5" thickBot="1" x14ac:dyDescent="0.35">
      <c r="A25" s="6" t="s">
        <v>31</v>
      </c>
      <c r="B25" s="146">
        <f>B21+B22+B23</f>
        <v>45</v>
      </c>
      <c r="C25" s="208">
        <f>D25/B25</f>
        <v>79.828888888888898</v>
      </c>
      <c r="D25" s="147">
        <f>SUM(D21:D24)</f>
        <v>3592.3</v>
      </c>
      <c r="E25" s="7"/>
      <c r="F25" s="7"/>
      <c r="G25" s="7"/>
      <c r="H25" s="130"/>
      <c r="I25" s="278" t="s">
        <v>174</v>
      </c>
    </row>
    <row r="27" spans="1:18" x14ac:dyDescent="0.3">
      <c r="C27" s="57"/>
    </row>
  </sheetData>
  <sheetProtection selectLockedCells="1"/>
  <dataConsolidate/>
  <customSheetViews>
    <customSheetView guid="{4DF33EC8-0990-451E-AB44-57256A4B0BF8}" scale="60" showPageBreaks="1" view="pageLayout">
      <selection activeCell="B15" sqref="B15"/>
      <pageMargins left="0.511811024" right="0.511811024" top="0.78740157499999996" bottom="0.78740157499999996" header="0.31496062000000002" footer="0.31496062000000002"/>
      <pageSetup paperSize="9" orientation="portrait" r:id="rId1"/>
    </customSheetView>
  </customSheetViews>
  <mergeCells count="2">
    <mergeCell ref="A1:D1"/>
    <mergeCell ref="E21:F22"/>
  </mergeCells>
  <conditionalFormatting sqref="B6">
    <cfRule type="cellIs" dxfId="32" priority="10" operator="lessThan">
      <formula>$B$15</formula>
    </cfRule>
  </conditionalFormatting>
  <conditionalFormatting sqref="C8">
    <cfRule type="cellIs" dxfId="31" priority="5" operator="lessThan">
      <formula>$B$15</formula>
    </cfRule>
  </conditionalFormatting>
  <conditionalFormatting sqref="B17">
    <cfRule type="cellIs" dxfId="30" priority="2" operator="lessThan">
      <formula>30</formula>
    </cfRule>
    <cfRule type="cellIs" dxfId="29" priority="3" operator="between">
      <formula>40</formula>
      <formula>30</formula>
    </cfRule>
    <cfRule type="cellIs" dxfId="28" priority="4" operator="greaterThan">
      <formula>40</formula>
    </cfRule>
  </conditionalFormatting>
  <conditionalFormatting sqref="B8:B9">
    <cfRule type="expression" dxfId="27" priority="1">
      <formula>OR($B$3="",$B$4="",$B$5="",$C$8="")</formula>
    </cfRule>
  </conditionalFormatting>
  <dataValidations count="4">
    <dataValidation type="list" allowBlank="1" showInputMessage="1" showErrorMessage="1" sqref="B3:B4" xr:uid="{00000000-0002-0000-0200-000000000000}">
      <formula1>"S,s,N,n"</formula1>
    </dataValidation>
    <dataValidation type="decimal" allowBlank="1" showInputMessage="1" showErrorMessage="1" sqref="B5" xr:uid="{00000000-0002-0000-0200-000001000000}">
      <formula1>0</formula1>
      <formula2>10000</formula2>
    </dataValidation>
    <dataValidation type="decimal" operator="greaterThan" allowBlank="1" showInputMessage="1" showErrorMessage="1" sqref="B9" xr:uid="{00000000-0002-0000-0200-000002000000}">
      <formula1>0</formula1>
    </dataValidation>
    <dataValidation type="list" allowBlank="1" showInputMessage="1" showErrorMessage="1" sqref="E4:E8" xr:uid="{727EC1E6-7D9E-4F30-AB0A-7C55D776EF71}">
      <formula1>"x,X"</formula1>
    </dataValidation>
  </dataValidations>
  <pageMargins left="0.511811024" right="0.511811024" top="0.78740157499999996" bottom="0.78740157499999996" header="0.31496062000000002" footer="0.31496062000000002"/>
  <pageSetup paperSize="9" scale="83" fitToHeight="0" orientation="landscape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02928-141D-4906-AA7D-7038E3C29438}">
  <sheetPr codeName="Planilha5">
    <pageSetUpPr fitToPage="1"/>
  </sheetPr>
  <dimension ref="A1:J24"/>
  <sheetViews>
    <sheetView zoomScaleNormal="100" workbookViewId="0">
      <selection activeCell="C18" sqref="C18"/>
    </sheetView>
  </sheetViews>
  <sheetFormatPr defaultRowHeight="15" x14ac:dyDescent="0.25"/>
  <cols>
    <col min="1" max="1" width="40.5703125" bestFit="1" customWidth="1"/>
    <col min="2" max="2" width="13.5703125" bestFit="1" customWidth="1"/>
    <col min="3" max="3" width="58.85546875" bestFit="1" customWidth="1"/>
    <col min="4" max="4" width="21.42578125" style="430" bestFit="1" customWidth="1"/>
    <col min="5" max="5" width="15.28515625" hidden="1" customWidth="1"/>
    <col min="6" max="6" width="15.28515625" bestFit="1" customWidth="1"/>
    <col min="7" max="8" width="13" bestFit="1" customWidth="1"/>
    <col min="9" max="10" width="15.28515625" bestFit="1" customWidth="1"/>
    <col min="11" max="11" width="13" bestFit="1" customWidth="1"/>
  </cols>
  <sheetData>
    <row r="1" spans="1:10" x14ac:dyDescent="0.25">
      <c r="A1" t="s">
        <v>239</v>
      </c>
      <c r="B1" t="s">
        <v>240</v>
      </c>
      <c r="C1" t="s">
        <v>241</v>
      </c>
      <c r="D1" t="s">
        <v>242</v>
      </c>
      <c r="E1" s="455" t="s">
        <v>285</v>
      </c>
      <c r="F1" s="455" t="s">
        <v>286</v>
      </c>
      <c r="G1" s="455" t="s">
        <v>284</v>
      </c>
      <c r="H1" s="455" t="s">
        <v>283</v>
      </c>
      <c r="I1" s="455" t="s">
        <v>282</v>
      </c>
      <c r="J1" s="460" t="s">
        <v>281</v>
      </c>
    </row>
    <row r="2" spans="1:10" x14ac:dyDescent="0.25">
      <c r="A2" t="s">
        <v>243</v>
      </c>
      <c r="B2" t="s">
        <v>244</v>
      </c>
      <c r="C2" t="str">
        <f>Tabela4[[#This Row],[Tipo]]&amp;" - "&amp;Tabela4[[#This Row],[PRODUTO]]&amp;" - "&amp;Tabela4[[#This Row],[Embalagem]]</f>
        <v>FUNGICIDA - LAL STOP I32 (Ver disponibilidade) - 5 Lt</v>
      </c>
      <c r="D2" t="s">
        <v>258</v>
      </c>
      <c r="E2" s="456">
        <f>Tabela4[[#This Row],[30/11/2023]]</f>
        <v>455</v>
      </c>
      <c r="F2" s="456">
        <f>ROUND($J2*(POWER(1.012,_xlfn.DAYS($F$1,$J$1)/30)),0)</f>
        <v>413</v>
      </c>
      <c r="G2" s="456">
        <f t="shared" ref="G2:G15" si="0">ROUND($J2*(POWER(1.012,_xlfn.DAYS($G$1,$J$1)/30)),0)</f>
        <v>423</v>
      </c>
      <c r="H2" s="456">
        <f t="shared" ref="H2:H5" si="1">ROUND($J2*(POWER(1.012,_xlfn.DAYS($H$1,$J$1)/30)),0)</f>
        <v>439</v>
      </c>
      <c r="I2" s="456">
        <f>ROUND($J2*(POWER(1.012,_xlfn.DAYS($I$1,$J$1)/30)),0)</f>
        <v>449</v>
      </c>
      <c r="J2" s="430">
        <v>455</v>
      </c>
    </row>
    <row r="3" spans="1:10" x14ac:dyDescent="0.25">
      <c r="A3" t="s">
        <v>246</v>
      </c>
      <c r="B3" t="s">
        <v>244</v>
      </c>
      <c r="C3" t="str">
        <f>Tabela4[[#This Row],[Tipo]]&amp;" - "&amp;Tabela4[[#This Row],[PRODUTO]]&amp;" - "&amp;Tabela4[[#This Row],[Embalagem]]</f>
        <v>FUNGICIDA - LAL STOP ORGANIC - Kg (vácuo)</v>
      </c>
      <c r="D3" t="s">
        <v>247</v>
      </c>
      <c r="E3" s="456">
        <f>Tabela4[[#This Row],[30/11/2023]]</f>
        <v>260</v>
      </c>
      <c r="F3" s="456">
        <f t="shared" ref="F3:F15" si="2">ROUND($J3*(POWER(1.012,_xlfn.DAYS($F$1,$J$1)/30)),0)</f>
        <v>236</v>
      </c>
      <c r="G3" s="456">
        <f t="shared" si="0"/>
        <v>242</v>
      </c>
      <c r="H3" s="456">
        <f t="shared" si="1"/>
        <v>251</v>
      </c>
      <c r="I3" s="456">
        <f t="shared" ref="I3:I6" si="3">ROUND($J3*(POWER(1.012,_xlfn.DAYS($I$1,$J$1)/30)),0)</f>
        <v>257</v>
      </c>
      <c r="J3" s="430">
        <v>260</v>
      </c>
    </row>
    <row r="4" spans="1:10" x14ac:dyDescent="0.25">
      <c r="A4" t="s">
        <v>248</v>
      </c>
      <c r="B4" t="s">
        <v>302</v>
      </c>
      <c r="C4" t="str">
        <f>Tabela4[[#This Row],[Tipo]]&amp;" - "&amp;Tabela4[[#This Row],[PRODUTO]]&amp;" - "&amp;Tabela4[[#This Row],[Embalagem]]</f>
        <v>FUNGICIDA (RECEITA) - QUALITY - Kg (vácuo)</v>
      </c>
      <c r="D4" t="s">
        <v>247</v>
      </c>
      <c r="E4" s="456">
        <f>Tabela4[[#This Row],[30/11/2023]]</f>
        <v>510</v>
      </c>
      <c r="F4" s="456">
        <f t="shared" si="2"/>
        <v>463</v>
      </c>
      <c r="G4" s="456">
        <f t="shared" si="0"/>
        <v>474</v>
      </c>
      <c r="H4" s="456">
        <f t="shared" si="1"/>
        <v>492</v>
      </c>
      <c r="I4" s="456">
        <f t="shared" si="3"/>
        <v>504</v>
      </c>
      <c r="J4" s="430">
        <v>510</v>
      </c>
    </row>
    <row r="5" spans="1:10" x14ac:dyDescent="0.25">
      <c r="A5" t="s">
        <v>249</v>
      </c>
      <c r="B5" t="s">
        <v>250</v>
      </c>
      <c r="C5" t="str">
        <f>Tabela4[[#This Row],[Tipo]]&amp;" - "&amp;Tabela4[[#This Row],[PRODUTO]]&amp;" - "&amp;Tabela4[[#This Row],[Embalagem]]</f>
        <v>INOCULANTE - LAL FIX NITRO - B. ELCANI - 3 Lt (50doses x 60ml)</v>
      </c>
      <c r="D5" t="s">
        <v>251</v>
      </c>
      <c r="E5" s="456">
        <f>Tabela4[[#This Row],[30/11/2023]]</f>
        <v>230</v>
      </c>
      <c r="F5" s="456">
        <f t="shared" si="2"/>
        <v>209</v>
      </c>
      <c r="G5" s="456">
        <f t="shared" si="0"/>
        <v>214</v>
      </c>
      <c r="H5" s="456">
        <f t="shared" si="1"/>
        <v>222</v>
      </c>
      <c r="I5" s="456">
        <f t="shared" si="3"/>
        <v>227</v>
      </c>
      <c r="J5" s="430">
        <v>230</v>
      </c>
    </row>
    <row r="6" spans="1:10" x14ac:dyDescent="0.25">
      <c r="A6" t="s">
        <v>252</v>
      </c>
      <c r="B6" t="s">
        <v>250</v>
      </c>
      <c r="C6" t="str">
        <f>Tabela4[[#This Row],[Tipo]]&amp;" - "&amp;Tabela4[[#This Row],[PRODUTO]]&amp;" - "&amp;Tabela4[[#This Row],[Embalagem]]</f>
        <v>INOCULANTE - LAL RISE AZOS - 3 Lt (30 doses x 100 ml)</v>
      </c>
      <c r="D6" t="s">
        <v>253</v>
      </c>
      <c r="E6" s="456">
        <f>Tabela4[[#This Row],[30/11/2023]]</f>
        <v>250</v>
      </c>
      <c r="F6" s="456">
        <f t="shared" si="2"/>
        <v>227</v>
      </c>
      <c r="G6" s="456">
        <f t="shared" si="0"/>
        <v>232</v>
      </c>
      <c r="H6" s="456">
        <f t="shared" ref="H6:H15" si="4">ROUND($J6*(POWER(1.012,_xlfn.DAYS($H$1,$J$1)/30)),0)</f>
        <v>241</v>
      </c>
      <c r="I6" s="456">
        <f t="shared" si="3"/>
        <v>247</v>
      </c>
      <c r="J6" s="430">
        <v>250</v>
      </c>
    </row>
    <row r="7" spans="1:10" x14ac:dyDescent="0.25">
      <c r="A7" t="s">
        <v>254</v>
      </c>
      <c r="B7" t="s">
        <v>250</v>
      </c>
      <c r="C7" t="str">
        <f>Tabela4[[#This Row],[Tipo]]&amp;" - "&amp;Tabela4[[#This Row],[PRODUTO]]&amp;" - "&amp;Tabela4[[#This Row],[Embalagem]]</f>
        <v>INOCULANTE - STARFIX FEIJÃO - 3 Lt (30 doses x 100 ml)</v>
      </c>
      <c r="D7" t="s">
        <v>253</v>
      </c>
      <c r="E7" s="456">
        <f>Tabela4[[#This Row],[30/11/2023]]</f>
        <v>250</v>
      </c>
      <c r="F7" s="456">
        <f t="shared" si="2"/>
        <v>227</v>
      </c>
      <c r="G7" s="456">
        <f t="shared" si="0"/>
        <v>232</v>
      </c>
      <c r="H7" s="456">
        <f t="shared" si="4"/>
        <v>241</v>
      </c>
      <c r="I7" s="456">
        <f t="shared" ref="I7:I15" si="5">ROUND($J7*(POWER(1.012,_xlfn.DAYS($I$1,$J$1)/30)),0)</f>
        <v>247</v>
      </c>
      <c r="J7" s="430">
        <v>250</v>
      </c>
    </row>
    <row r="8" spans="1:10" x14ac:dyDescent="0.25">
      <c r="A8" t="s">
        <v>255</v>
      </c>
      <c r="B8" t="s">
        <v>250</v>
      </c>
      <c r="C8" t="str">
        <f>Tabela4[[#This Row],[Tipo]]&amp;" - "&amp;Tabela4[[#This Row],[PRODUTO]]&amp;" - "&amp;Tabela4[[#This Row],[Embalagem]]</f>
        <v>INOCULANTE - STARFIX SOJA - B. JAPONICUM - 3 Lt (50doses x 60ml)</v>
      </c>
      <c r="D8" t="s">
        <v>251</v>
      </c>
      <c r="E8" s="456">
        <f>Tabela4[[#This Row],[30/11/2023]]</f>
        <v>230</v>
      </c>
      <c r="F8" s="456">
        <f>ROUND($J8*(POWER(1.012,_xlfn.DAYS($F$1,$J$1)/30)),0)</f>
        <v>209</v>
      </c>
      <c r="G8" s="456">
        <f t="shared" si="0"/>
        <v>214</v>
      </c>
      <c r="H8" s="456">
        <f t="shared" si="4"/>
        <v>222</v>
      </c>
      <c r="I8" s="456">
        <f t="shared" si="5"/>
        <v>227</v>
      </c>
      <c r="J8" s="430">
        <v>230</v>
      </c>
    </row>
    <row r="9" spans="1:10" x14ac:dyDescent="0.25">
      <c r="A9" t="s">
        <v>256</v>
      </c>
      <c r="B9" t="s">
        <v>301</v>
      </c>
      <c r="C9" t="str">
        <f>Tabela4[[#This Row],[Tipo]]&amp;" - "&amp;Tabela4[[#This Row],[PRODUTO]]&amp;" - "&amp;Tabela4[[#This Row],[Embalagem]]</f>
        <v>INSETICIDA (RECEITA) - CRYSTAL (BT) - 5 Lt</v>
      </c>
      <c r="D9" t="s">
        <v>258</v>
      </c>
      <c r="E9" s="456">
        <f>Tabela4[[#This Row],[30/11/2023]]</f>
        <v>325</v>
      </c>
      <c r="F9" s="456">
        <f t="shared" si="2"/>
        <v>295</v>
      </c>
      <c r="G9" s="456">
        <f t="shared" si="0"/>
        <v>302</v>
      </c>
      <c r="H9" s="456">
        <f t="shared" si="4"/>
        <v>313</v>
      </c>
      <c r="I9" s="456">
        <f t="shared" si="5"/>
        <v>321</v>
      </c>
      <c r="J9" s="430">
        <v>325</v>
      </c>
    </row>
    <row r="10" spans="1:10" x14ac:dyDescent="0.25">
      <c r="A10" t="s">
        <v>256</v>
      </c>
      <c r="B10" t="s">
        <v>301</v>
      </c>
      <c r="C10" t="str">
        <f>Tabela4[[#This Row],[Tipo]]&amp;" - "&amp;Tabela4[[#This Row],[PRODUTO]]&amp;" - "&amp;Tabela4[[#This Row],[Embalagem]]</f>
        <v>INSETICIDA (RECEITA) - CRYSTAL (BT) - Lt</v>
      </c>
      <c r="D10" t="s">
        <v>245</v>
      </c>
      <c r="E10" s="456">
        <f>Tabela4[[#This Row],[30/11/2023]]</f>
        <v>65</v>
      </c>
      <c r="F10" s="456">
        <f t="shared" si="2"/>
        <v>59</v>
      </c>
      <c r="G10" s="456">
        <f t="shared" si="0"/>
        <v>60</v>
      </c>
      <c r="H10" s="456">
        <f t="shared" si="4"/>
        <v>63</v>
      </c>
      <c r="I10" s="456">
        <f t="shared" si="5"/>
        <v>64</v>
      </c>
      <c r="J10" s="430">
        <v>65</v>
      </c>
    </row>
    <row r="11" spans="1:10" x14ac:dyDescent="0.25">
      <c r="A11" t="s">
        <v>259</v>
      </c>
      <c r="B11" t="s">
        <v>257</v>
      </c>
      <c r="C11" t="str">
        <f>Tabela4[[#This Row],[Tipo]]&amp;" - "&amp;Tabela4[[#This Row],[PRODUTO]]&amp;" - "&amp;Tabela4[[#This Row],[Embalagem]]</f>
        <v>INSETICIDA - GRANADA - Kg (vácuo)</v>
      </c>
      <c r="D11" t="s">
        <v>247</v>
      </c>
      <c r="E11" s="456">
        <f>Tabela4[[#This Row],[30/11/2023]]</f>
        <v>350</v>
      </c>
      <c r="F11" s="456">
        <f t="shared" si="2"/>
        <v>318</v>
      </c>
      <c r="G11" s="456">
        <f t="shared" si="0"/>
        <v>325</v>
      </c>
      <c r="H11" s="456">
        <f t="shared" si="4"/>
        <v>337</v>
      </c>
      <c r="I11" s="456">
        <f t="shared" si="5"/>
        <v>346</v>
      </c>
      <c r="J11" s="430">
        <v>350</v>
      </c>
    </row>
    <row r="12" spans="1:10" x14ac:dyDescent="0.25">
      <c r="A12" t="s">
        <v>260</v>
      </c>
      <c r="B12" t="s">
        <v>301</v>
      </c>
      <c r="C12" t="str">
        <f>Tabela4[[#This Row],[Tipo]]&amp;" - "&amp;Tabela4[[#This Row],[PRODUTO]]&amp;" - "&amp;Tabela4[[#This Row],[Embalagem]]</f>
        <v>INSETICIDA (RECEITA) - LAL GUARD JAVA (Ver disponibilidade) - Kg (vácuo)</v>
      </c>
      <c r="D12" t="s">
        <v>247</v>
      </c>
      <c r="E12" s="456">
        <f>Tabela4[[#This Row],[30/11/2023]]</f>
        <v>485</v>
      </c>
      <c r="F12" s="456">
        <f t="shared" si="2"/>
        <v>440</v>
      </c>
      <c r="G12" s="456">
        <f t="shared" si="0"/>
        <v>451</v>
      </c>
      <c r="H12" s="456">
        <f t="shared" si="4"/>
        <v>468</v>
      </c>
      <c r="I12" s="456">
        <f t="shared" si="5"/>
        <v>479</v>
      </c>
      <c r="J12" s="430">
        <v>485</v>
      </c>
    </row>
    <row r="13" spans="1:10" x14ac:dyDescent="0.25">
      <c r="A13" t="s">
        <v>261</v>
      </c>
      <c r="B13" t="s">
        <v>300</v>
      </c>
      <c r="C13" t="str">
        <f>Tabela4[[#This Row],[Tipo]]&amp;" - "&amp;Tabela4[[#This Row],[PRODUTO]]&amp;" - "&amp;Tabela4[[#This Row],[Embalagem]]</f>
        <v>NEMATICIDA (RECEITA) - LAL NIX RESIST (CISTO) - Kg (vácuo)</v>
      </c>
      <c r="D13" t="s">
        <v>247</v>
      </c>
      <c r="E13" s="456">
        <f>Tabela4[[#This Row],[30/11/2023]]</f>
        <v>660</v>
      </c>
      <c r="F13" s="456">
        <f t="shared" si="2"/>
        <v>599</v>
      </c>
      <c r="G13" s="456">
        <f t="shared" si="0"/>
        <v>613</v>
      </c>
      <c r="H13" s="456">
        <f t="shared" si="4"/>
        <v>636</v>
      </c>
      <c r="I13" s="456">
        <f t="shared" si="5"/>
        <v>652</v>
      </c>
      <c r="J13" s="430">
        <v>660</v>
      </c>
    </row>
    <row r="14" spans="1:10" x14ac:dyDescent="0.25">
      <c r="A14" t="s">
        <v>263</v>
      </c>
      <c r="B14" t="s">
        <v>262</v>
      </c>
      <c r="C14" t="str">
        <f>Tabela4[[#This Row],[Tipo]]&amp;" - "&amp;Tabela4[[#This Row],[PRODUTO]]&amp;" - "&amp;Tabela4[[#This Row],[Embalagem]]</f>
        <v>NEMATICIDA - ONIX - Lt</v>
      </c>
      <c r="D14" t="s">
        <v>245</v>
      </c>
      <c r="E14" s="456">
        <f>Tabela4[[#This Row],[30/11/2023]]</f>
        <v>320</v>
      </c>
      <c r="F14" s="456">
        <f t="shared" si="2"/>
        <v>290</v>
      </c>
      <c r="G14" s="456">
        <f t="shared" si="0"/>
        <v>297</v>
      </c>
      <c r="H14" s="456">
        <f t="shared" si="4"/>
        <v>309</v>
      </c>
      <c r="I14" s="456">
        <f t="shared" si="5"/>
        <v>316</v>
      </c>
      <c r="J14" s="430">
        <v>320</v>
      </c>
    </row>
    <row r="15" spans="1:10" x14ac:dyDescent="0.25">
      <c r="A15" t="s">
        <v>264</v>
      </c>
      <c r="B15" t="s">
        <v>262</v>
      </c>
      <c r="C15" t="str">
        <f>Tabela4[[#This Row],[Tipo]]&amp;" - "&amp;Tabela4[[#This Row],[PRODUTO]]&amp;" - "&amp;Tabela4[[#This Row],[Embalagem]]</f>
        <v>NEMATICIDA - RIZOS - Lt</v>
      </c>
      <c r="D15" t="s">
        <v>245</v>
      </c>
      <c r="E15" s="456">
        <f>Tabela4[[#This Row],[30/11/2023]]</f>
        <v>320</v>
      </c>
      <c r="F15" s="456">
        <f t="shared" si="2"/>
        <v>290</v>
      </c>
      <c r="G15" s="456">
        <f t="shared" si="0"/>
        <v>297</v>
      </c>
      <c r="H15" s="456">
        <f t="shared" si="4"/>
        <v>309</v>
      </c>
      <c r="I15" s="456">
        <f t="shared" si="5"/>
        <v>316</v>
      </c>
      <c r="J15" s="430">
        <v>320</v>
      </c>
    </row>
    <row r="17" spans="3:6" x14ac:dyDescent="0.25">
      <c r="C17" t="s">
        <v>287</v>
      </c>
    </row>
    <row r="18" spans="3:6" x14ac:dyDescent="0.25">
      <c r="C18" t="s">
        <v>280</v>
      </c>
    </row>
    <row r="22" spans="3:6" x14ac:dyDescent="0.25">
      <c r="F22" s="456"/>
    </row>
    <row r="23" spans="3:6" x14ac:dyDescent="0.25">
      <c r="F23" s="456"/>
    </row>
    <row r="24" spans="3:6" x14ac:dyDescent="0.25">
      <c r="F24" s="456"/>
    </row>
  </sheetData>
  <phoneticPr fontId="55" type="noConversion"/>
  <pageMargins left="0.51181102362204722" right="0.51181102362204722" top="1.34" bottom="0.78740157480314965" header="0.31496062992125984" footer="0.31496062992125984"/>
  <pageSetup paperSize="9" orientation="landscape" horizontalDpi="0" verticalDpi="0" r:id="rId1"/>
  <headerFooter>
    <oddHeader>&amp;C&amp;G&amp;R&amp;G</oddHeader>
  </headerFooter>
  <legacyDrawingHF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B6:U59"/>
  <sheetViews>
    <sheetView showGridLines="0" zoomScale="90" zoomScaleNormal="90" workbookViewId="0">
      <selection activeCell="D45" sqref="D45"/>
    </sheetView>
  </sheetViews>
  <sheetFormatPr defaultColWidth="9.140625" defaultRowHeight="15.75" x14ac:dyDescent="0.25"/>
  <cols>
    <col min="1" max="1" width="9.140625" style="16"/>
    <col min="2" max="2" width="8" style="16" customWidth="1"/>
    <col min="3" max="3" width="6.85546875" style="16" customWidth="1"/>
    <col min="4" max="4" width="11.7109375" style="16" customWidth="1"/>
    <col min="5" max="6" width="11.85546875" style="16" bestFit="1" customWidth="1"/>
    <col min="7" max="7" width="10.28515625" style="16" customWidth="1"/>
    <col min="8" max="8" width="13" style="16" customWidth="1"/>
    <col min="9" max="9" width="14.42578125" style="16" bestFit="1" customWidth="1"/>
    <col min="10" max="10" width="15.7109375" style="16" bestFit="1" customWidth="1"/>
    <col min="11" max="11" width="9.28515625" style="16" customWidth="1"/>
    <col min="12" max="12" width="9.140625" style="16"/>
    <col min="13" max="13" width="16.140625" style="16" customWidth="1"/>
    <col min="14" max="14" width="16" style="16" customWidth="1"/>
    <col min="15" max="20" width="9.140625" style="16"/>
    <col min="21" max="21" width="11.85546875" style="16" bestFit="1" customWidth="1"/>
    <col min="22" max="257" width="9.140625" style="16"/>
    <col min="258" max="258" width="8" style="16" customWidth="1"/>
    <col min="259" max="259" width="6.85546875" style="16" customWidth="1"/>
    <col min="260" max="260" width="14" style="16" bestFit="1" customWidth="1"/>
    <col min="261" max="262" width="9.140625" style="16"/>
    <col min="263" max="263" width="10.28515625" style="16" customWidth="1"/>
    <col min="264" max="264" width="13" style="16" customWidth="1"/>
    <col min="265" max="265" width="14.42578125" style="16" bestFit="1" customWidth="1"/>
    <col min="266" max="266" width="15.7109375" style="16" bestFit="1" customWidth="1"/>
    <col min="267" max="513" width="9.140625" style="16"/>
    <col min="514" max="514" width="8" style="16" customWidth="1"/>
    <col min="515" max="515" width="6.85546875" style="16" customWidth="1"/>
    <col min="516" max="516" width="14" style="16" bestFit="1" customWidth="1"/>
    <col min="517" max="518" width="9.140625" style="16"/>
    <col min="519" max="519" width="10.28515625" style="16" customWidth="1"/>
    <col min="520" max="520" width="13" style="16" customWidth="1"/>
    <col min="521" max="521" width="14.42578125" style="16" bestFit="1" customWidth="1"/>
    <col min="522" max="522" width="15.7109375" style="16" bestFit="1" customWidth="1"/>
    <col min="523" max="769" width="9.140625" style="16"/>
    <col min="770" max="770" width="8" style="16" customWidth="1"/>
    <col min="771" max="771" width="6.85546875" style="16" customWidth="1"/>
    <col min="772" max="772" width="14" style="16" bestFit="1" customWidth="1"/>
    <col min="773" max="774" width="9.140625" style="16"/>
    <col min="775" max="775" width="10.28515625" style="16" customWidth="1"/>
    <col min="776" max="776" width="13" style="16" customWidth="1"/>
    <col min="777" max="777" width="14.42578125" style="16" bestFit="1" customWidth="1"/>
    <col min="778" max="778" width="15.7109375" style="16" bestFit="1" customWidth="1"/>
    <col min="779" max="1025" width="9.140625" style="16"/>
    <col min="1026" max="1026" width="8" style="16" customWidth="1"/>
    <col min="1027" max="1027" width="6.85546875" style="16" customWidth="1"/>
    <col min="1028" max="1028" width="14" style="16" bestFit="1" customWidth="1"/>
    <col min="1029" max="1030" width="9.140625" style="16"/>
    <col min="1031" max="1031" width="10.28515625" style="16" customWidth="1"/>
    <col min="1032" max="1032" width="13" style="16" customWidth="1"/>
    <col min="1033" max="1033" width="14.42578125" style="16" bestFit="1" customWidth="1"/>
    <col min="1034" max="1034" width="15.7109375" style="16" bestFit="1" customWidth="1"/>
    <col min="1035" max="1281" width="9.140625" style="16"/>
    <col min="1282" max="1282" width="8" style="16" customWidth="1"/>
    <col min="1283" max="1283" width="6.85546875" style="16" customWidth="1"/>
    <col min="1284" max="1284" width="14" style="16" bestFit="1" customWidth="1"/>
    <col min="1285" max="1286" width="9.140625" style="16"/>
    <col min="1287" max="1287" width="10.28515625" style="16" customWidth="1"/>
    <col min="1288" max="1288" width="13" style="16" customWidth="1"/>
    <col min="1289" max="1289" width="14.42578125" style="16" bestFit="1" customWidth="1"/>
    <col min="1290" max="1290" width="15.7109375" style="16" bestFit="1" customWidth="1"/>
    <col min="1291" max="1537" width="9.140625" style="16"/>
    <col min="1538" max="1538" width="8" style="16" customWidth="1"/>
    <col min="1539" max="1539" width="6.85546875" style="16" customWidth="1"/>
    <col min="1540" max="1540" width="14" style="16" bestFit="1" customWidth="1"/>
    <col min="1541" max="1542" width="9.140625" style="16"/>
    <col min="1543" max="1543" width="10.28515625" style="16" customWidth="1"/>
    <col min="1544" max="1544" width="13" style="16" customWidth="1"/>
    <col min="1545" max="1545" width="14.42578125" style="16" bestFit="1" customWidth="1"/>
    <col min="1546" max="1546" width="15.7109375" style="16" bestFit="1" customWidth="1"/>
    <col min="1547" max="1793" width="9.140625" style="16"/>
    <col min="1794" max="1794" width="8" style="16" customWidth="1"/>
    <col min="1795" max="1795" width="6.85546875" style="16" customWidth="1"/>
    <col min="1796" max="1796" width="14" style="16" bestFit="1" customWidth="1"/>
    <col min="1797" max="1798" width="9.140625" style="16"/>
    <col min="1799" max="1799" width="10.28515625" style="16" customWidth="1"/>
    <col min="1800" max="1800" width="13" style="16" customWidth="1"/>
    <col min="1801" max="1801" width="14.42578125" style="16" bestFit="1" customWidth="1"/>
    <col min="1802" max="1802" width="15.7109375" style="16" bestFit="1" customWidth="1"/>
    <col min="1803" max="2049" width="9.140625" style="16"/>
    <col min="2050" max="2050" width="8" style="16" customWidth="1"/>
    <col min="2051" max="2051" width="6.85546875" style="16" customWidth="1"/>
    <col min="2052" max="2052" width="14" style="16" bestFit="1" customWidth="1"/>
    <col min="2053" max="2054" width="9.140625" style="16"/>
    <col min="2055" max="2055" width="10.28515625" style="16" customWidth="1"/>
    <col min="2056" max="2056" width="13" style="16" customWidth="1"/>
    <col min="2057" max="2057" width="14.42578125" style="16" bestFit="1" customWidth="1"/>
    <col min="2058" max="2058" width="15.7109375" style="16" bestFit="1" customWidth="1"/>
    <col min="2059" max="2305" width="9.140625" style="16"/>
    <col min="2306" max="2306" width="8" style="16" customWidth="1"/>
    <col min="2307" max="2307" width="6.85546875" style="16" customWidth="1"/>
    <col min="2308" max="2308" width="14" style="16" bestFit="1" customWidth="1"/>
    <col min="2309" max="2310" width="9.140625" style="16"/>
    <col min="2311" max="2311" width="10.28515625" style="16" customWidth="1"/>
    <col min="2312" max="2312" width="13" style="16" customWidth="1"/>
    <col min="2313" max="2313" width="14.42578125" style="16" bestFit="1" customWidth="1"/>
    <col min="2314" max="2314" width="15.7109375" style="16" bestFit="1" customWidth="1"/>
    <col min="2315" max="2561" width="9.140625" style="16"/>
    <col min="2562" max="2562" width="8" style="16" customWidth="1"/>
    <col min="2563" max="2563" width="6.85546875" style="16" customWidth="1"/>
    <col min="2564" max="2564" width="14" style="16" bestFit="1" customWidth="1"/>
    <col min="2565" max="2566" width="9.140625" style="16"/>
    <col min="2567" max="2567" width="10.28515625" style="16" customWidth="1"/>
    <col min="2568" max="2568" width="13" style="16" customWidth="1"/>
    <col min="2569" max="2569" width="14.42578125" style="16" bestFit="1" customWidth="1"/>
    <col min="2570" max="2570" width="15.7109375" style="16" bestFit="1" customWidth="1"/>
    <col min="2571" max="2817" width="9.140625" style="16"/>
    <col min="2818" max="2818" width="8" style="16" customWidth="1"/>
    <col min="2819" max="2819" width="6.85546875" style="16" customWidth="1"/>
    <col min="2820" max="2820" width="14" style="16" bestFit="1" customWidth="1"/>
    <col min="2821" max="2822" width="9.140625" style="16"/>
    <col min="2823" max="2823" width="10.28515625" style="16" customWidth="1"/>
    <col min="2824" max="2824" width="13" style="16" customWidth="1"/>
    <col min="2825" max="2825" width="14.42578125" style="16" bestFit="1" customWidth="1"/>
    <col min="2826" max="2826" width="15.7109375" style="16" bestFit="1" customWidth="1"/>
    <col min="2827" max="3073" width="9.140625" style="16"/>
    <col min="3074" max="3074" width="8" style="16" customWidth="1"/>
    <col min="3075" max="3075" width="6.85546875" style="16" customWidth="1"/>
    <col min="3076" max="3076" width="14" style="16" bestFit="1" customWidth="1"/>
    <col min="3077" max="3078" width="9.140625" style="16"/>
    <col min="3079" max="3079" width="10.28515625" style="16" customWidth="1"/>
    <col min="3080" max="3080" width="13" style="16" customWidth="1"/>
    <col min="3081" max="3081" width="14.42578125" style="16" bestFit="1" customWidth="1"/>
    <col min="3082" max="3082" width="15.7109375" style="16" bestFit="1" customWidth="1"/>
    <col min="3083" max="3329" width="9.140625" style="16"/>
    <col min="3330" max="3330" width="8" style="16" customWidth="1"/>
    <col min="3331" max="3331" width="6.85546875" style="16" customWidth="1"/>
    <col min="3332" max="3332" width="14" style="16" bestFit="1" customWidth="1"/>
    <col min="3333" max="3334" width="9.140625" style="16"/>
    <col min="3335" max="3335" width="10.28515625" style="16" customWidth="1"/>
    <col min="3336" max="3336" width="13" style="16" customWidth="1"/>
    <col min="3337" max="3337" width="14.42578125" style="16" bestFit="1" customWidth="1"/>
    <col min="3338" max="3338" width="15.7109375" style="16" bestFit="1" customWidth="1"/>
    <col min="3339" max="3585" width="9.140625" style="16"/>
    <col min="3586" max="3586" width="8" style="16" customWidth="1"/>
    <col min="3587" max="3587" width="6.85546875" style="16" customWidth="1"/>
    <col min="3588" max="3588" width="14" style="16" bestFit="1" customWidth="1"/>
    <col min="3589" max="3590" width="9.140625" style="16"/>
    <col min="3591" max="3591" width="10.28515625" style="16" customWidth="1"/>
    <col min="3592" max="3592" width="13" style="16" customWidth="1"/>
    <col min="3593" max="3593" width="14.42578125" style="16" bestFit="1" customWidth="1"/>
    <col min="3594" max="3594" width="15.7109375" style="16" bestFit="1" customWidth="1"/>
    <col min="3595" max="3841" width="9.140625" style="16"/>
    <col min="3842" max="3842" width="8" style="16" customWidth="1"/>
    <col min="3843" max="3843" width="6.85546875" style="16" customWidth="1"/>
    <col min="3844" max="3844" width="14" style="16" bestFit="1" customWidth="1"/>
    <col min="3845" max="3846" width="9.140625" style="16"/>
    <col min="3847" max="3847" width="10.28515625" style="16" customWidth="1"/>
    <col min="3848" max="3848" width="13" style="16" customWidth="1"/>
    <col min="3849" max="3849" width="14.42578125" style="16" bestFit="1" customWidth="1"/>
    <col min="3850" max="3850" width="15.7109375" style="16" bestFit="1" customWidth="1"/>
    <col min="3851" max="4097" width="9.140625" style="16"/>
    <col min="4098" max="4098" width="8" style="16" customWidth="1"/>
    <col min="4099" max="4099" width="6.85546875" style="16" customWidth="1"/>
    <col min="4100" max="4100" width="14" style="16" bestFit="1" customWidth="1"/>
    <col min="4101" max="4102" width="9.140625" style="16"/>
    <col min="4103" max="4103" width="10.28515625" style="16" customWidth="1"/>
    <col min="4104" max="4104" width="13" style="16" customWidth="1"/>
    <col min="4105" max="4105" width="14.42578125" style="16" bestFit="1" customWidth="1"/>
    <col min="4106" max="4106" width="15.7109375" style="16" bestFit="1" customWidth="1"/>
    <col min="4107" max="4353" width="9.140625" style="16"/>
    <col min="4354" max="4354" width="8" style="16" customWidth="1"/>
    <col min="4355" max="4355" width="6.85546875" style="16" customWidth="1"/>
    <col min="4356" max="4356" width="14" style="16" bestFit="1" customWidth="1"/>
    <col min="4357" max="4358" width="9.140625" style="16"/>
    <col min="4359" max="4359" width="10.28515625" style="16" customWidth="1"/>
    <col min="4360" max="4360" width="13" style="16" customWidth="1"/>
    <col min="4361" max="4361" width="14.42578125" style="16" bestFit="1" customWidth="1"/>
    <col min="4362" max="4362" width="15.7109375" style="16" bestFit="1" customWidth="1"/>
    <col min="4363" max="4609" width="9.140625" style="16"/>
    <col min="4610" max="4610" width="8" style="16" customWidth="1"/>
    <col min="4611" max="4611" width="6.85546875" style="16" customWidth="1"/>
    <col min="4612" max="4612" width="14" style="16" bestFit="1" customWidth="1"/>
    <col min="4613" max="4614" width="9.140625" style="16"/>
    <col min="4615" max="4615" width="10.28515625" style="16" customWidth="1"/>
    <col min="4616" max="4616" width="13" style="16" customWidth="1"/>
    <col min="4617" max="4617" width="14.42578125" style="16" bestFit="1" customWidth="1"/>
    <col min="4618" max="4618" width="15.7109375" style="16" bestFit="1" customWidth="1"/>
    <col min="4619" max="4865" width="9.140625" style="16"/>
    <col min="4866" max="4866" width="8" style="16" customWidth="1"/>
    <col min="4867" max="4867" width="6.85546875" style="16" customWidth="1"/>
    <col min="4868" max="4868" width="14" style="16" bestFit="1" customWidth="1"/>
    <col min="4869" max="4870" width="9.140625" style="16"/>
    <col min="4871" max="4871" width="10.28515625" style="16" customWidth="1"/>
    <col min="4872" max="4872" width="13" style="16" customWidth="1"/>
    <col min="4873" max="4873" width="14.42578125" style="16" bestFit="1" customWidth="1"/>
    <col min="4874" max="4874" width="15.7109375" style="16" bestFit="1" customWidth="1"/>
    <col min="4875" max="5121" width="9.140625" style="16"/>
    <col min="5122" max="5122" width="8" style="16" customWidth="1"/>
    <col min="5123" max="5123" width="6.85546875" style="16" customWidth="1"/>
    <col min="5124" max="5124" width="14" style="16" bestFit="1" customWidth="1"/>
    <col min="5125" max="5126" width="9.140625" style="16"/>
    <col min="5127" max="5127" width="10.28515625" style="16" customWidth="1"/>
    <col min="5128" max="5128" width="13" style="16" customWidth="1"/>
    <col min="5129" max="5129" width="14.42578125" style="16" bestFit="1" customWidth="1"/>
    <col min="5130" max="5130" width="15.7109375" style="16" bestFit="1" customWidth="1"/>
    <col min="5131" max="5377" width="9.140625" style="16"/>
    <col min="5378" max="5378" width="8" style="16" customWidth="1"/>
    <col min="5379" max="5379" width="6.85546875" style="16" customWidth="1"/>
    <col min="5380" max="5380" width="14" style="16" bestFit="1" customWidth="1"/>
    <col min="5381" max="5382" width="9.140625" style="16"/>
    <col min="5383" max="5383" width="10.28515625" style="16" customWidth="1"/>
    <col min="5384" max="5384" width="13" style="16" customWidth="1"/>
    <col min="5385" max="5385" width="14.42578125" style="16" bestFit="1" customWidth="1"/>
    <col min="5386" max="5386" width="15.7109375" style="16" bestFit="1" customWidth="1"/>
    <col min="5387" max="5633" width="9.140625" style="16"/>
    <col min="5634" max="5634" width="8" style="16" customWidth="1"/>
    <col min="5635" max="5635" width="6.85546875" style="16" customWidth="1"/>
    <col min="5636" max="5636" width="14" style="16" bestFit="1" customWidth="1"/>
    <col min="5637" max="5638" width="9.140625" style="16"/>
    <col min="5639" max="5639" width="10.28515625" style="16" customWidth="1"/>
    <col min="5640" max="5640" width="13" style="16" customWidth="1"/>
    <col min="5641" max="5641" width="14.42578125" style="16" bestFit="1" customWidth="1"/>
    <col min="5642" max="5642" width="15.7109375" style="16" bestFit="1" customWidth="1"/>
    <col min="5643" max="5889" width="9.140625" style="16"/>
    <col min="5890" max="5890" width="8" style="16" customWidth="1"/>
    <col min="5891" max="5891" width="6.85546875" style="16" customWidth="1"/>
    <col min="5892" max="5892" width="14" style="16" bestFit="1" customWidth="1"/>
    <col min="5893" max="5894" width="9.140625" style="16"/>
    <col min="5895" max="5895" width="10.28515625" style="16" customWidth="1"/>
    <col min="5896" max="5896" width="13" style="16" customWidth="1"/>
    <col min="5897" max="5897" width="14.42578125" style="16" bestFit="1" customWidth="1"/>
    <col min="5898" max="5898" width="15.7109375" style="16" bestFit="1" customWidth="1"/>
    <col min="5899" max="6145" width="9.140625" style="16"/>
    <col min="6146" max="6146" width="8" style="16" customWidth="1"/>
    <col min="6147" max="6147" width="6.85546875" style="16" customWidth="1"/>
    <col min="6148" max="6148" width="14" style="16" bestFit="1" customWidth="1"/>
    <col min="6149" max="6150" width="9.140625" style="16"/>
    <col min="6151" max="6151" width="10.28515625" style="16" customWidth="1"/>
    <col min="6152" max="6152" width="13" style="16" customWidth="1"/>
    <col min="6153" max="6153" width="14.42578125" style="16" bestFit="1" customWidth="1"/>
    <col min="6154" max="6154" width="15.7109375" style="16" bestFit="1" customWidth="1"/>
    <col min="6155" max="6401" width="9.140625" style="16"/>
    <col min="6402" max="6402" width="8" style="16" customWidth="1"/>
    <col min="6403" max="6403" width="6.85546875" style="16" customWidth="1"/>
    <col min="6404" max="6404" width="14" style="16" bestFit="1" customWidth="1"/>
    <col min="6405" max="6406" width="9.140625" style="16"/>
    <col min="6407" max="6407" width="10.28515625" style="16" customWidth="1"/>
    <col min="6408" max="6408" width="13" style="16" customWidth="1"/>
    <col min="6409" max="6409" width="14.42578125" style="16" bestFit="1" customWidth="1"/>
    <col min="6410" max="6410" width="15.7109375" style="16" bestFit="1" customWidth="1"/>
    <col min="6411" max="6657" width="9.140625" style="16"/>
    <col min="6658" max="6658" width="8" style="16" customWidth="1"/>
    <col min="6659" max="6659" width="6.85546875" style="16" customWidth="1"/>
    <col min="6660" max="6660" width="14" style="16" bestFit="1" customWidth="1"/>
    <col min="6661" max="6662" width="9.140625" style="16"/>
    <col min="6663" max="6663" width="10.28515625" style="16" customWidth="1"/>
    <col min="6664" max="6664" width="13" style="16" customWidth="1"/>
    <col min="6665" max="6665" width="14.42578125" style="16" bestFit="1" customWidth="1"/>
    <col min="6666" max="6666" width="15.7109375" style="16" bestFit="1" customWidth="1"/>
    <col min="6667" max="6913" width="9.140625" style="16"/>
    <col min="6914" max="6914" width="8" style="16" customWidth="1"/>
    <col min="6915" max="6915" width="6.85546875" style="16" customWidth="1"/>
    <col min="6916" max="6916" width="14" style="16" bestFit="1" customWidth="1"/>
    <col min="6917" max="6918" width="9.140625" style="16"/>
    <col min="6919" max="6919" width="10.28515625" style="16" customWidth="1"/>
    <col min="6920" max="6920" width="13" style="16" customWidth="1"/>
    <col min="6921" max="6921" width="14.42578125" style="16" bestFit="1" customWidth="1"/>
    <col min="6922" max="6922" width="15.7109375" style="16" bestFit="1" customWidth="1"/>
    <col min="6923" max="7169" width="9.140625" style="16"/>
    <col min="7170" max="7170" width="8" style="16" customWidth="1"/>
    <col min="7171" max="7171" width="6.85546875" style="16" customWidth="1"/>
    <col min="7172" max="7172" width="14" style="16" bestFit="1" customWidth="1"/>
    <col min="7173" max="7174" width="9.140625" style="16"/>
    <col min="7175" max="7175" width="10.28515625" style="16" customWidth="1"/>
    <col min="7176" max="7176" width="13" style="16" customWidth="1"/>
    <col min="7177" max="7177" width="14.42578125" style="16" bestFit="1" customWidth="1"/>
    <col min="7178" max="7178" width="15.7109375" style="16" bestFit="1" customWidth="1"/>
    <col min="7179" max="7425" width="9.140625" style="16"/>
    <col min="7426" max="7426" width="8" style="16" customWidth="1"/>
    <col min="7427" max="7427" width="6.85546875" style="16" customWidth="1"/>
    <col min="7428" max="7428" width="14" style="16" bestFit="1" customWidth="1"/>
    <col min="7429" max="7430" width="9.140625" style="16"/>
    <col min="7431" max="7431" width="10.28515625" style="16" customWidth="1"/>
    <col min="7432" max="7432" width="13" style="16" customWidth="1"/>
    <col min="7433" max="7433" width="14.42578125" style="16" bestFit="1" customWidth="1"/>
    <col min="7434" max="7434" width="15.7109375" style="16" bestFit="1" customWidth="1"/>
    <col min="7435" max="7681" width="9.140625" style="16"/>
    <col min="7682" max="7682" width="8" style="16" customWidth="1"/>
    <col min="7683" max="7683" width="6.85546875" style="16" customWidth="1"/>
    <col min="7684" max="7684" width="14" style="16" bestFit="1" customWidth="1"/>
    <col min="7685" max="7686" width="9.140625" style="16"/>
    <col min="7687" max="7687" width="10.28515625" style="16" customWidth="1"/>
    <col min="7688" max="7688" width="13" style="16" customWidth="1"/>
    <col min="7689" max="7689" width="14.42578125" style="16" bestFit="1" customWidth="1"/>
    <col min="7690" max="7690" width="15.7109375" style="16" bestFit="1" customWidth="1"/>
    <col min="7691" max="7937" width="9.140625" style="16"/>
    <col min="7938" max="7938" width="8" style="16" customWidth="1"/>
    <col min="7939" max="7939" width="6.85546875" style="16" customWidth="1"/>
    <col min="7940" max="7940" width="14" style="16" bestFit="1" customWidth="1"/>
    <col min="7941" max="7942" width="9.140625" style="16"/>
    <col min="7943" max="7943" width="10.28515625" style="16" customWidth="1"/>
    <col min="7944" max="7944" width="13" style="16" customWidth="1"/>
    <col min="7945" max="7945" width="14.42578125" style="16" bestFit="1" customWidth="1"/>
    <col min="7946" max="7946" width="15.7109375" style="16" bestFit="1" customWidth="1"/>
    <col min="7947" max="8193" width="9.140625" style="16"/>
    <col min="8194" max="8194" width="8" style="16" customWidth="1"/>
    <col min="8195" max="8195" width="6.85546875" style="16" customWidth="1"/>
    <col min="8196" max="8196" width="14" style="16" bestFit="1" customWidth="1"/>
    <col min="8197" max="8198" width="9.140625" style="16"/>
    <col min="8199" max="8199" width="10.28515625" style="16" customWidth="1"/>
    <col min="8200" max="8200" width="13" style="16" customWidth="1"/>
    <col min="8201" max="8201" width="14.42578125" style="16" bestFit="1" customWidth="1"/>
    <col min="8202" max="8202" width="15.7109375" style="16" bestFit="1" customWidth="1"/>
    <col min="8203" max="8449" width="9.140625" style="16"/>
    <col min="8450" max="8450" width="8" style="16" customWidth="1"/>
    <col min="8451" max="8451" width="6.85546875" style="16" customWidth="1"/>
    <col min="8452" max="8452" width="14" style="16" bestFit="1" customWidth="1"/>
    <col min="8453" max="8454" width="9.140625" style="16"/>
    <col min="8455" max="8455" width="10.28515625" style="16" customWidth="1"/>
    <col min="8456" max="8456" width="13" style="16" customWidth="1"/>
    <col min="8457" max="8457" width="14.42578125" style="16" bestFit="1" customWidth="1"/>
    <col min="8458" max="8458" width="15.7109375" style="16" bestFit="1" customWidth="1"/>
    <col min="8459" max="8705" width="9.140625" style="16"/>
    <col min="8706" max="8706" width="8" style="16" customWidth="1"/>
    <col min="8707" max="8707" width="6.85546875" style="16" customWidth="1"/>
    <col min="8708" max="8708" width="14" style="16" bestFit="1" customWidth="1"/>
    <col min="8709" max="8710" width="9.140625" style="16"/>
    <col min="8711" max="8711" width="10.28515625" style="16" customWidth="1"/>
    <col min="8712" max="8712" width="13" style="16" customWidth="1"/>
    <col min="8713" max="8713" width="14.42578125" style="16" bestFit="1" customWidth="1"/>
    <col min="8714" max="8714" width="15.7109375" style="16" bestFit="1" customWidth="1"/>
    <col min="8715" max="8961" width="9.140625" style="16"/>
    <col min="8962" max="8962" width="8" style="16" customWidth="1"/>
    <col min="8963" max="8963" width="6.85546875" style="16" customWidth="1"/>
    <col min="8964" max="8964" width="14" style="16" bestFit="1" customWidth="1"/>
    <col min="8965" max="8966" width="9.140625" style="16"/>
    <col min="8967" max="8967" width="10.28515625" style="16" customWidth="1"/>
    <col min="8968" max="8968" width="13" style="16" customWidth="1"/>
    <col min="8969" max="8969" width="14.42578125" style="16" bestFit="1" customWidth="1"/>
    <col min="8970" max="8970" width="15.7109375" style="16" bestFit="1" customWidth="1"/>
    <col min="8971" max="9217" width="9.140625" style="16"/>
    <col min="9218" max="9218" width="8" style="16" customWidth="1"/>
    <col min="9219" max="9219" width="6.85546875" style="16" customWidth="1"/>
    <col min="9220" max="9220" width="14" style="16" bestFit="1" customWidth="1"/>
    <col min="9221" max="9222" width="9.140625" style="16"/>
    <col min="9223" max="9223" width="10.28515625" style="16" customWidth="1"/>
    <col min="9224" max="9224" width="13" style="16" customWidth="1"/>
    <col min="9225" max="9225" width="14.42578125" style="16" bestFit="1" customWidth="1"/>
    <col min="9226" max="9226" width="15.7109375" style="16" bestFit="1" customWidth="1"/>
    <col min="9227" max="9473" width="9.140625" style="16"/>
    <col min="9474" max="9474" width="8" style="16" customWidth="1"/>
    <col min="9475" max="9475" width="6.85546875" style="16" customWidth="1"/>
    <col min="9476" max="9476" width="14" style="16" bestFit="1" customWidth="1"/>
    <col min="9477" max="9478" width="9.140625" style="16"/>
    <col min="9479" max="9479" width="10.28515625" style="16" customWidth="1"/>
    <col min="9480" max="9480" width="13" style="16" customWidth="1"/>
    <col min="9481" max="9481" width="14.42578125" style="16" bestFit="1" customWidth="1"/>
    <col min="9482" max="9482" width="15.7109375" style="16" bestFit="1" customWidth="1"/>
    <col min="9483" max="9729" width="9.140625" style="16"/>
    <col min="9730" max="9730" width="8" style="16" customWidth="1"/>
    <col min="9731" max="9731" width="6.85546875" style="16" customWidth="1"/>
    <col min="9732" max="9732" width="14" style="16" bestFit="1" customWidth="1"/>
    <col min="9733" max="9734" width="9.140625" style="16"/>
    <col min="9735" max="9735" width="10.28515625" style="16" customWidth="1"/>
    <col min="9736" max="9736" width="13" style="16" customWidth="1"/>
    <col min="9737" max="9737" width="14.42578125" style="16" bestFit="1" customWidth="1"/>
    <col min="9738" max="9738" width="15.7109375" style="16" bestFit="1" customWidth="1"/>
    <col min="9739" max="9985" width="9.140625" style="16"/>
    <col min="9986" max="9986" width="8" style="16" customWidth="1"/>
    <col min="9987" max="9987" width="6.85546875" style="16" customWidth="1"/>
    <col min="9988" max="9988" width="14" style="16" bestFit="1" customWidth="1"/>
    <col min="9989" max="9990" width="9.140625" style="16"/>
    <col min="9991" max="9991" width="10.28515625" style="16" customWidth="1"/>
    <col min="9992" max="9992" width="13" style="16" customWidth="1"/>
    <col min="9993" max="9993" width="14.42578125" style="16" bestFit="1" customWidth="1"/>
    <col min="9994" max="9994" width="15.7109375" style="16" bestFit="1" customWidth="1"/>
    <col min="9995" max="10241" width="9.140625" style="16"/>
    <col min="10242" max="10242" width="8" style="16" customWidth="1"/>
    <col min="10243" max="10243" width="6.85546875" style="16" customWidth="1"/>
    <col min="10244" max="10244" width="14" style="16" bestFit="1" customWidth="1"/>
    <col min="10245" max="10246" width="9.140625" style="16"/>
    <col min="10247" max="10247" width="10.28515625" style="16" customWidth="1"/>
    <col min="10248" max="10248" width="13" style="16" customWidth="1"/>
    <col min="10249" max="10249" width="14.42578125" style="16" bestFit="1" customWidth="1"/>
    <col min="10250" max="10250" width="15.7109375" style="16" bestFit="1" customWidth="1"/>
    <col min="10251" max="10497" width="9.140625" style="16"/>
    <col min="10498" max="10498" width="8" style="16" customWidth="1"/>
    <col min="10499" max="10499" width="6.85546875" style="16" customWidth="1"/>
    <col min="10500" max="10500" width="14" style="16" bestFit="1" customWidth="1"/>
    <col min="10501" max="10502" width="9.140625" style="16"/>
    <col min="10503" max="10503" width="10.28515625" style="16" customWidth="1"/>
    <col min="10504" max="10504" width="13" style="16" customWidth="1"/>
    <col min="10505" max="10505" width="14.42578125" style="16" bestFit="1" customWidth="1"/>
    <col min="10506" max="10506" width="15.7109375" style="16" bestFit="1" customWidth="1"/>
    <col min="10507" max="10753" width="9.140625" style="16"/>
    <col min="10754" max="10754" width="8" style="16" customWidth="1"/>
    <col min="10755" max="10755" width="6.85546875" style="16" customWidth="1"/>
    <col min="10756" max="10756" width="14" style="16" bestFit="1" customWidth="1"/>
    <col min="10757" max="10758" width="9.140625" style="16"/>
    <col min="10759" max="10759" width="10.28515625" style="16" customWidth="1"/>
    <col min="10760" max="10760" width="13" style="16" customWidth="1"/>
    <col min="10761" max="10761" width="14.42578125" style="16" bestFit="1" customWidth="1"/>
    <col min="10762" max="10762" width="15.7109375" style="16" bestFit="1" customWidth="1"/>
    <col min="10763" max="11009" width="9.140625" style="16"/>
    <col min="11010" max="11010" width="8" style="16" customWidth="1"/>
    <col min="11011" max="11011" width="6.85546875" style="16" customWidth="1"/>
    <col min="11012" max="11012" width="14" style="16" bestFit="1" customWidth="1"/>
    <col min="11013" max="11014" width="9.140625" style="16"/>
    <col min="11015" max="11015" width="10.28515625" style="16" customWidth="1"/>
    <col min="11016" max="11016" width="13" style="16" customWidth="1"/>
    <col min="11017" max="11017" width="14.42578125" style="16" bestFit="1" customWidth="1"/>
    <col min="11018" max="11018" width="15.7109375" style="16" bestFit="1" customWidth="1"/>
    <col min="11019" max="11265" width="9.140625" style="16"/>
    <col min="11266" max="11266" width="8" style="16" customWidth="1"/>
    <col min="11267" max="11267" width="6.85546875" style="16" customWidth="1"/>
    <col min="11268" max="11268" width="14" style="16" bestFit="1" customWidth="1"/>
    <col min="11269" max="11270" width="9.140625" style="16"/>
    <col min="11271" max="11271" width="10.28515625" style="16" customWidth="1"/>
    <col min="11272" max="11272" width="13" style="16" customWidth="1"/>
    <col min="11273" max="11273" width="14.42578125" style="16" bestFit="1" customWidth="1"/>
    <col min="11274" max="11274" width="15.7109375" style="16" bestFit="1" customWidth="1"/>
    <col min="11275" max="11521" width="9.140625" style="16"/>
    <col min="11522" max="11522" width="8" style="16" customWidth="1"/>
    <col min="11523" max="11523" width="6.85546875" style="16" customWidth="1"/>
    <col min="11524" max="11524" width="14" style="16" bestFit="1" customWidth="1"/>
    <col min="11525" max="11526" width="9.140625" style="16"/>
    <col min="11527" max="11527" width="10.28515625" style="16" customWidth="1"/>
    <col min="11528" max="11528" width="13" style="16" customWidth="1"/>
    <col min="11529" max="11529" width="14.42578125" style="16" bestFit="1" customWidth="1"/>
    <col min="11530" max="11530" width="15.7109375" style="16" bestFit="1" customWidth="1"/>
    <col min="11531" max="11777" width="9.140625" style="16"/>
    <col min="11778" max="11778" width="8" style="16" customWidth="1"/>
    <col min="11779" max="11779" width="6.85546875" style="16" customWidth="1"/>
    <col min="11780" max="11780" width="14" style="16" bestFit="1" customWidth="1"/>
    <col min="11781" max="11782" width="9.140625" style="16"/>
    <col min="11783" max="11783" width="10.28515625" style="16" customWidth="1"/>
    <col min="11784" max="11784" width="13" style="16" customWidth="1"/>
    <col min="11785" max="11785" width="14.42578125" style="16" bestFit="1" customWidth="1"/>
    <col min="11786" max="11786" width="15.7109375" style="16" bestFit="1" customWidth="1"/>
    <col min="11787" max="12033" width="9.140625" style="16"/>
    <col min="12034" max="12034" width="8" style="16" customWidth="1"/>
    <col min="12035" max="12035" width="6.85546875" style="16" customWidth="1"/>
    <col min="12036" max="12036" width="14" style="16" bestFit="1" customWidth="1"/>
    <col min="12037" max="12038" width="9.140625" style="16"/>
    <col min="12039" max="12039" width="10.28515625" style="16" customWidth="1"/>
    <col min="12040" max="12040" width="13" style="16" customWidth="1"/>
    <col min="12041" max="12041" width="14.42578125" style="16" bestFit="1" customWidth="1"/>
    <col min="12042" max="12042" width="15.7109375" style="16" bestFit="1" customWidth="1"/>
    <col min="12043" max="12289" width="9.140625" style="16"/>
    <col min="12290" max="12290" width="8" style="16" customWidth="1"/>
    <col min="12291" max="12291" width="6.85546875" style="16" customWidth="1"/>
    <col min="12292" max="12292" width="14" style="16" bestFit="1" customWidth="1"/>
    <col min="12293" max="12294" width="9.140625" style="16"/>
    <col min="12295" max="12295" width="10.28515625" style="16" customWidth="1"/>
    <col min="12296" max="12296" width="13" style="16" customWidth="1"/>
    <col min="12297" max="12297" width="14.42578125" style="16" bestFit="1" customWidth="1"/>
    <col min="12298" max="12298" width="15.7109375" style="16" bestFit="1" customWidth="1"/>
    <col min="12299" max="12545" width="9.140625" style="16"/>
    <col min="12546" max="12546" width="8" style="16" customWidth="1"/>
    <col min="12547" max="12547" width="6.85546875" style="16" customWidth="1"/>
    <col min="12548" max="12548" width="14" style="16" bestFit="1" customWidth="1"/>
    <col min="12549" max="12550" width="9.140625" style="16"/>
    <col min="12551" max="12551" width="10.28515625" style="16" customWidth="1"/>
    <col min="12552" max="12552" width="13" style="16" customWidth="1"/>
    <col min="12553" max="12553" width="14.42578125" style="16" bestFit="1" customWidth="1"/>
    <col min="12554" max="12554" width="15.7109375" style="16" bestFit="1" customWidth="1"/>
    <col min="12555" max="12801" width="9.140625" style="16"/>
    <col min="12802" max="12802" width="8" style="16" customWidth="1"/>
    <col min="12803" max="12803" width="6.85546875" style="16" customWidth="1"/>
    <col min="12804" max="12804" width="14" style="16" bestFit="1" customWidth="1"/>
    <col min="12805" max="12806" width="9.140625" style="16"/>
    <col min="12807" max="12807" width="10.28515625" style="16" customWidth="1"/>
    <col min="12808" max="12808" width="13" style="16" customWidth="1"/>
    <col min="12809" max="12809" width="14.42578125" style="16" bestFit="1" customWidth="1"/>
    <col min="12810" max="12810" width="15.7109375" style="16" bestFit="1" customWidth="1"/>
    <col min="12811" max="13057" width="9.140625" style="16"/>
    <col min="13058" max="13058" width="8" style="16" customWidth="1"/>
    <col min="13059" max="13059" width="6.85546875" style="16" customWidth="1"/>
    <col min="13060" max="13060" width="14" style="16" bestFit="1" customWidth="1"/>
    <col min="13061" max="13062" width="9.140625" style="16"/>
    <col min="13063" max="13063" width="10.28515625" style="16" customWidth="1"/>
    <col min="13064" max="13064" width="13" style="16" customWidth="1"/>
    <col min="13065" max="13065" width="14.42578125" style="16" bestFit="1" customWidth="1"/>
    <col min="13066" max="13066" width="15.7109375" style="16" bestFit="1" customWidth="1"/>
    <col min="13067" max="13313" width="9.140625" style="16"/>
    <col min="13314" max="13314" width="8" style="16" customWidth="1"/>
    <col min="13315" max="13315" width="6.85546875" style="16" customWidth="1"/>
    <col min="13316" max="13316" width="14" style="16" bestFit="1" customWidth="1"/>
    <col min="13317" max="13318" width="9.140625" style="16"/>
    <col min="13319" max="13319" width="10.28515625" style="16" customWidth="1"/>
    <col min="13320" max="13320" width="13" style="16" customWidth="1"/>
    <col min="13321" max="13321" width="14.42578125" style="16" bestFit="1" customWidth="1"/>
    <col min="13322" max="13322" width="15.7109375" style="16" bestFit="1" customWidth="1"/>
    <col min="13323" max="13569" width="9.140625" style="16"/>
    <col min="13570" max="13570" width="8" style="16" customWidth="1"/>
    <col min="13571" max="13571" width="6.85546875" style="16" customWidth="1"/>
    <col min="13572" max="13572" width="14" style="16" bestFit="1" customWidth="1"/>
    <col min="13573" max="13574" width="9.140625" style="16"/>
    <col min="13575" max="13575" width="10.28515625" style="16" customWidth="1"/>
    <col min="13576" max="13576" width="13" style="16" customWidth="1"/>
    <col min="13577" max="13577" width="14.42578125" style="16" bestFit="1" customWidth="1"/>
    <col min="13578" max="13578" width="15.7109375" style="16" bestFit="1" customWidth="1"/>
    <col min="13579" max="13825" width="9.140625" style="16"/>
    <col min="13826" max="13826" width="8" style="16" customWidth="1"/>
    <col min="13827" max="13827" width="6.85546875" style="16" customWidth="1"/>
    <col min="13828" max="13828" width="14" style="16" bestFit="1" customWidth="1"/>
    <col min="13829" max="13830" width="9.140625" style="16"/>
    <col min="13831" max="13831" width="10.28515625" style="16" customWidth="1"/>
    <col min="13832" max="13832" width="13" style="16" customWidth="1"/>
    <col min="13833" max="13833" width="14.42578125" style="16" bestFit="1" customWidth="1"/>
    <col min="13834" max="13834" width="15.7109375" style="16" bestFit="1" customWidth="1"/>
    <col min="13835" max="14081" width="9.140625" style="16"/>
    <col min="14082" max="14082" width="8" style="16" customWidth="1"/>
    <col min="14083" max="14083" width="6.85546875" style="16" customWidth="1"/>
    <col min="14084" max="14084" width="14" style="16" bestFit="1" customWidth="1"/>
    <col min="14085" max="14086" width="9.140625" style="16"/>
    <col min="14087" max="14087" width="10.28515625" style="16" customWidth="1"/>
    <col min="14088" max="14088" width="13" style="16" customWidth="1"/>
    <col min="14089" max="14089" width="14.42578125" style="16" bestFit="1" customWidth="1"/>
    <col min="14090" max="14090" width="15.7109375" style="16" bestFit="1" customWidth="1"/>
    <col min="14091" max="14337" width="9.140625" style="16"/>
    <col min="14338" max="14338" width="8" style="16" customWidth="1"/>
    <col min="14339" max="14339" width="6.85546875" style="16" customWidth="1"/>
    <col min="14340" max="14340" width="14" style="16" bestFit="1" customWidth="1"/>
    <col min="14341" max="14342" width="9.140625" style="16"/>
    <col min="14343" max="14343" width="10.28515625" style="16" customWidth="1"/>
    <col min="14344" max="14344" width="13" style="16" customWidth="1"/>
    <col min="14345" max="14345" width="14.42578125" style="16" bestFit="1" customWidth="1"/>
    <col min="14346" max="14346" width="15.7109375" style="16" bestFit="1" customWidth="1"/>
    <col min="14347" max="14593" width="9.140625" style="16"/>
    <col min="14594" max="14594" width="8" style="16" customWidth="1"/>
    <col min="14595" max="14595" width="6.85546875" style="16" customWidth="1"/>
    <col min="14596" max="14596" width="14" style="16" bestFit="1" customWidth="1"/>
    <col min="14597" max="14598" width="9.140625" style="16"/>
    <col min="14599" max="14599" width="10.28515625" style="16" customWidth="1"/>
    <col min="14600" max="14600" width="13" style="16" customWidth="1"/>
    <col min="14601" max="14601" width="14.42578125" style="16" bestFit="1" customWidth="1"/>
    <col min="14602" max="14602" width="15.7109375" style="16" bestFit="1" customWidth="1"/>
    <col min="14603" max="14849" width="9.140625" style="16"/>
    <col min="14850" max="14850" width="8" style="16" customWidth="1"/>
    <col min="14851" max="14851" width="6.85546875" style="16" customWidth="1"/>
    <col min="14852" max="14852" width="14" style="16" bestFit="1" customWidth="1"/>
    <col min="14853" max="14854" width="9.140625" style="16"/>
    <col min="14855" max="14855" width="10.28515625" style="16" customWidth="1"/>
    <col min="14856" max="14856" width="13" style="16" customWidth="1"/>
    <col min="14857" max="14857" width="14.42578125" style="16" bestFit="1" customWidth="1"/>
    <col min="14858" max="14858" width="15.7109375" style="16" bestFit="1" customWidth="1"/>
    <col min="14859" max="15105" width="9.140625" style="16"/>
    <col min="15106" max="15106" width="8" style="16" customWidth="1"/>
    <col min="15107" max="15107" width="6.85546875" style="16" customWidth="1"/>
    <col min="15108" max="15108" width="14" style="16" bestFit="1" customWidth="1"/>
    <col min="15109" max="15110" width="9.140625" style="16"/>
    <col min="15111" max="15111" width="10.28515625" style="16" customWidth="1"/>
    <col min="15112" max="15112" width="13" style="16" customWidth="1"/>
    <col min="15113" max="15113" width="14.42578125" style="16" bestFit="1" customWidth="1"/>
    <col min="15114" max="15114" width="15.7109375" style="16" bestFit="1" customWidth="1"/>
    <col min="15115" max="15361" width="9.140625" style="16"/>
    <col min="15362" max="15362" width="8" style="16" customWidth="1"/>
    <col min="15363" max="15363" width="6.85546875" style="16" customWidth="1"/>
    <col min="15364" max="15364" width="14" style="16" bestFit="1" customWidth="1"/>
    <col min="15365" max="15366" width="9.140625" style="16"/>
    <col min="15367" max="15367" width="10.28515625" style="16" customWidth="1"/>
    <col min="15368" max="15368" width="13" style="16" customWidth="1"/>
    <col min="15369" max="15369" width="14.42578125" style="16" bestFit="1" customWidth="1"/>
    <col min="15370" max="15370" width="15.7109375" style="16" bestFit="1" customWidth="1"/>
    <col min="15371" max="15617" width="9.140625" style="16"/>
    <col min="15618" max="15618" width="8" style="16" customWidth="1"/>
    <col min="15619" max="15619" width="6.85546875" style="16" customWidth="1"/>
    <col min="15620" max="15620" width="14" style="16" bestFit="1" customWidth="1"/>
    <col min="15621" max="15622" width="9.140625" style="16"/>
    <col min="15623" max="15623" width="10.28515625" style="16" customWidth="1"/>
    <col min="15624" max="15624" width="13" style="16" customWidth="1"/>
    <col min="15625" max="15625" width="14.42578125" style="16" bestFit="1" customWidth="1"/>
    <col min="15626" max="15626" width="15.7109375" style="16" bestFit="1" customWidth="1"/>
    <col min="15627" max="15873" width="9.140625" style="16"/>
    <col min="15874" max="15874" width="8" style="16" customWidth="1"/>
    <col min="15875" max="15875" width="6.85546875" style="16" customWidth="1"/>
    <col min="15876" max="15876" width="14" style="16" bestFit="1" customWidth="1"/>
    <col min="15877" max="15878" width="9.140625" style="16"/>
    <col min="15879" max="15879" width="10.28515625" style="16" customWidth="1"/>
    <col min="15880" max="15880" width="13" style="16" customWidth="1"/>
    <col min="15881" max="15881" width="14.42578125" style="16" bestFit="1" customWidth="1"/>
    <col min="15882" max="15882" width="15.7109375" style="16" bestFit="1" customWidth="1"/>
    <col min="15883" max="16129" width="9.140625" style="16"/>
    <col min="16130" max="16130" width="8" style="16" customWidth="1"/>
    <col min="16131" max="16131" width="6.85546875" style="16" customWidth="1"/>
    <col min="16132" max="16132" width="14" style="16" bestFit="1" customWidth="1"/>
    <col min="16133" max="16134" width="9.140625" style="16"/>
    <col min="16135" max="16135" width="10.28515625" style="16" customWidth="1"/>
    <col min="16136" max="16136" width="13" style="16" customWidth="1"/>
    <col min="16137" max="16137" width="14.42578125" style="16" bestFit="1" customWidth="1"/>
    <col min="16138" max="16138" width="15.7109375" style="16" bestFit="1" customWidth="1"/>
    <col min="16139" max="16384" width="9.140625" style="16"/>
  </cols>
  <sheetData>
    <row r="6" spans="2:10" ht="16.5" thickBot="1" x14ac:dyDescent="0.3"/>
    <row r="7" spans="2:10" x14ac:dyDescent="0.25">
      <c r="B7" s="676" t="s">
        <v>4</v>
      </c>
      <c r="C7" s="677"/>
      <c r="D7" s="677"/>
      <c r="E7" s="677"/>
      <c r="F7" s="677"/>
      <c r="G7" s="677"/>
      <c r="H7" s="677"/>
      <c r="I7" s="677"/>
      <c r="J7" s="678"/>
    </row>
    <row r="8" spans="2:10" x14ac:dyDescent="0.25">
      <c r="B8" s="679" t="s">
        <v>5</v>
      </c>
      <c r="C8" s="630"/>
      <c r="D8" s="630"/>
      <c r="E8" s="680" t="s">
        <v>6</v>
      </c>
      <c r="F8" s="630"/>
      <c r="G8" s="630"/>
      <c r="H8" s="680" t="s">
        <v>7</v>
      </c>
      <c r="I8" s="630"/>
      <c r="J8" s="681"/>
    </row>
    <row r="9" spans="2:10" ht="16.5" thickBot="1" x14ac:dyDescent="0.3">
      <c r="B9" s="682" t="s">
        <v>8</v>
      </c>
      <c r="C9" s="683"/>
      <c r="D9" s="683"/>
      <c r="E9" s="683"/>
      <c r="F9" s="17"/>
      <c r="G9" s="684" t="str">
        <f>"FONE: (45)3242-2210         V.:"&amp;GERAL!C26</f>
        <v>FONE: (45)3242-2210         V.:Versão: 45791</v>
      </c>
      <c r="H9" s="684"/>
      <c r="I9" s="684"/>
      <c r="J9" s="685"/>
    </row>
    <row r="10" spans="2:10" ht="16.5" thickBot="1" x14ac:dyDescent="0.3">
      <c r="E10" s="18"/>
      <c r="F10" s="18"/>
      <c r="G10" s="18"/>
      <c r="H10" s="19"/>
    </row>
    <row r="11" spans="2:10" x14ac:dyDescent="0.25">
      <c r="B11" s="20"/>
      <c r="C11" s="103" t="s">
        <v>65</v>
      </c>
      <c r="D11" s="21"/>
      <c r="E11" s="22"/>
      <c r="F11" s="22"/>
      <c r="G11" s="22"/>
      <c r="H11" s="23" t="s">
        <v>9</v>
      </c>
      <c r="I11" s="24">
        <f ca="1">TODAY()</f>
        <v>45828</v>
      </c>
      <c r="J11" s="25"/>
    </row>
    <row r="12" spans="2:10" x14ac:dyDescent="0.25">
      <c r="B12" s="26"/>
      <c r="J12" s="27"/>
    </row>
    <row r="13" spans="2:10" x14ac:dyDescent="0.25">
      <c r="B13" s="26"/>
      <c r="C13" s="28" t="s">
        <v>37</v>
      </c>
      <c r="D13" s="29"/>
      <c r="E13" s="660"/>
      <c r="F13" s="661"/>
      <c r="G13" s="661"/>
      <c r="H13" s="661"/>
      <c r="I13" s="662"/>
      <c r="J13" s="30"/>
    </row>
    <row r="14" spans="2:10" x14ac:dyDescent="0.25">
      <c r="B14" s="26"/>
      <c r="C14" s="28" t="s">
        <v>38</v>
      </c>
      <c r="D14" s="29"/>
      <c r="E14" s="660"/>
      <c r="F14" s="661"/>
      <c r="G14" s="661"/>
      <c r="H14" s="661"/>
      <c r="I14" s="662"/>
      <c r="J14" s="30"/>
    </row>
    <row r="15" spans="2:10" x14ac:dyDescent="0.25">
      <c r="B15" s="26"/>
      <c r="C15" s="31" t="s">
        <v>39</v>
      </c>
      <c r="E15" s="660"/>
      <c r="F15" s="661"/>
      <c r="G15" s="661"/>
      <c r="H15" s="661"/>
      <c r="I15" s="662"/>
      <c r="J15" s="30"/>
    </row>
    <row r="16" spans="2:10" x14ac:dyDescent="0.25">
      <c r="B16" s="26"/>
      <c r="C16" s="28" t="s">
        <v>40</v>
      </c>
      <c r="D16" s="29"/>
      <c r="E16" s="14"/>
      <c r="F16" s="542" t="s">
        <v>366</v>
      </c>
      <c r="G16" s="663"/>
      <c r="H16" s="663"/>
      <c r="I16" s="664"/>
      <c r="J16" s="30"/>
    </row>
    <row r="17" spans="2:21" x14ac:dyDescent="0.25">
      <c r="B17" s="26"/>
      <c r="C17" s="31" t="s">
        <v>41</v>
      </c>
      <c r="E17" s="661"/>
      <c r="F17" s="661"/>
      <c r="G17" s="661"/>
      <c r="H17" s="172" t="s">
        <v>113</v>
      </c>
      <c r="I17" s="170"/>
      <c r="J17" s="30"/>
      <c r="K17" s="32"/>
    </row>
    <row r="18" spans="2:21" x14ac:dyDescent="0.25">
      <c r="B18" s="26"/>
      <c r="C18" s="28" t="s">
        <v>42</v>
      </c>
      <c r="D18" s="29"/>
      <c r="E18" s="661"/>
      <c r="F18" s="661"/>
      <c r="G18" s="661"/>
      <c r="H18" s="661"/>
      <c r="I18" s="662"/>
      <c r="J18" s="30"/>
    </row>
    <row r="19" spans="2:21" x14ac:dyDescent="0.25">
      <c r="B19" s="26"/>
      <c r="C19" s="28" t="s">
        <v>43</v>
      </c>
      <c r="D19" s="29"/>
      <c r="E19" s="660"/>
      <c r="F19" s="661"/>
      <c r="G19" s="661"/>
      <c r="H19" s="661"/>
      <c r="I19" s="662"/>
      <c r="J19" s="30"/>
    </row>
    <row r="20" spans="2:21" x14ac:dyDescent="0.25">
      <c r="B20" s="26"/>
      <c r="E20" s="54"/>
      <c r="F20" s="54"/>
      <c r="G20" s="54"/>
      <c r="H20" s="54"/>
      <c r="I20" s="54"/>
      <c r="J20" s="27"/>
    </row>
    <row r="21" spans="2:21" ht="16.5" thickBot="1" x14ac:dyDescent="0.3">
      <c r="B21" s="33"/>
      <c r="C21" s="17"/>
      <c r="D21" s="17"/>
      <c r="E21" s="58"/>
      <c r="F21" s="58"/>
      <c r="G21" s="58"/>
      <c r="H21" s="58"/>
      <c r="I21" s="58"/>
      <c r="J21" s="34"/>
    </row>
    <row r="22" spans="2:21" ht="16.5" thickBot="1" x14ac:dyDescent="0.3">
      <c r="E22" s="54"/>
      <c r="F22" s="54"/>
      <c r="G22" s="54"/>
      <c r="H22" s="54"/>
      <c r="I22" s="54"/>
    </row>
    <row r="23" spans="2:21" x14ac:dyDescent="0.25">
      <c r="B23" s="20"/>
      <c r="C23" s="21"/>
      <c r="D23" s="21"/>
      <c r="E23" s="59"/>
      <c r="F23" s="59"/>
      <c r="G23" s="59"/>
      <c r="H23" s="59"/>
      <c r="I23" s="59"/>
      <c r="J23" s="25"/>
    </row>
    <row r="24" spans="2:21" x14ac:dyDescent="0.25">
      <c r="B24" s="26"/>
      <c r="C24" s="28" t="s">
        <v>10</v>
      </c>
      <c r="D24" s="29"/>
      <c r="E24" s="660"/>
      <c r="F24" s="660"/>
      <c r="G24" s="660"/>
      <c r="H24" s="660"/>
      <c r="I24" s="672"/>
      <c r="J24" s="27"/>
    </row>
    <row r="25" spans="2:21" x14ac:dyDescent="0.25">
      <c r="B25" s="26"/>
      <c r="C25" s="28" t="s">
        <v>135</v>
      </c>
      <c r="D25" s="35"/>
      <c r="E25" s="666"/>
      <c r="F25" s="666"/>
      <c r="G25" s="666"/>
      <c r="H25" s="666"/>
      <c r="I25" s="667"/>
      <c r="J25" s="27"/>
    </row>
    <row r="26" spans="2:21" x14ac:dyDescent="0.25">
      <c r="B26" s="26"/>
      <c r="C26" s="28" t="s">
        <v>11</v>
      </c>
      <c r="D26" s="35"/>
      <c r="E26" s="673"/>
      <c r="F26" s="673"/>
      <c r="G26" s="673"/>
      <c r="H26" s="673"/>
      <c r="I26" s="674"/>
      <c r="J26" s="27"/>
    </row>
    <row r="27" spans="2:21" x14ac:dyDescent="0.25">
      <c r="B27" s="26"/>
      <c r="C27" s="28" t="s">
        <v>13</v>
      </c>
      <c r="D27" s="35"/>
      <c r="E27" s="665"/>
      <c r="F27" s="661"/>
      <c r="G27" s="661"/>
      <c r="H27" s="661"/>
      <c r="I27" s="662"/>
      <c r="J27" s="27"/>
      <c r="U27" s="394"/>
    </row>
    <row r="28" spans="2:21" x14ac:dyDescent="0.25">
      <c r="B28" s="26"/>
      <c r="C28" s="28" t="s">
        <v>14</v>
      </c>
      <c r="D28" s="35"/>
      <c r="E28" s="675"/>
      <c r="F28" s="673"/>
      <c r="G28" s="673"/>
      <c r="H28" s="673"/>
      <c r="I28" s="674"/>
      <c r="J28" s="27"/>
    </row>
    <row r="29" spans="2:21" ht="16.5" thickBot="1" x14ac:dyDescent="0.3">
      <c r="B29" s="33"/>
      <c r="C29" s="209" t="s">
        <v>370</v>
      </c>
      <c r="D29" s="245"/>
      <c r="E29" s="246"/>
      <c r="F29" s="246"/>
      <c r="G29" s="246"/>
      <c r="H29" s="246"/>
      <c r="I29" s="246"/>
      <c r="J29" s="34"/>
    </row>
    <row r="30" spans="2:21" ht="16.5" thickBot="1" x14ac:dyDescent="0.3"/>
    <row r="31" spans="2:21" x14ac:dyDescent="0.25">
      <c r="B31" s="20"/>
      <c r="C31" s="21"/>
      <c r="D31" s="36"/>
      <c r="E31" s="21"/>
      <c r="F31" s="21"/>
      <c r="G31" s="21"/>
      <c r="H31" s="21"/>
      <c r="I31" s="21"/>
      <c r="J31" s="25"/>
      <c r="U31" s="396"/>
    </row>
    <row r="32" spans="2:21" x14ac:dyDescent="0.25">
      <c r="B32" s="37" t="s">
        <v>15</v>
      </c>
      <c r="D32" s="407">
        <f>'INPUT DADOS'!C8</f>
        <v>45838</v>
      </c>
      <c r="E32" s="395"/>
      <c r="F32" s="394"/>
      <c r="G32" s="39" t="s">
        <v>16</v>
      </c>
      <c r="H32" s="10"/>
      <c r="J32" s="27"/>
    </row>
    <row r="33" spans="2:14" x14ac:dyDescent="0.25">
      <c r="B33" s="37" t="s">
        <v>17</v>
      </c>
      <c r="D33" s="8"/>
      <c r="G33" s="39" t="s">
        <v>18</v>
      </c>
      <c r="H33" s="10"/>
      <c r="J33" s="27"/>
    </row>
    <row r="34" spans="2:14" x14ac:dyDescent="0.25">
      <c r="B34" s="37" t="s">
        <v>19</v>
      </c>
      <c r="D34" s="11"/>
      <c r="E34" s="41" t="s">
        <v>128</v>
      </c>
      <c r="G34" s="39" t="s">
        <v>21</v>
      </c>
      <c r="H34" s="12"/>
      <c r="J34" s="27"/>
      <c r="M34" s="399"/>
      <c r="N34" s="38"/>
    </row>
    <row r="35" spans="2:14" x14ac:dyDescent="0.25">
      <c r="B35" s="37" t="s">
        <v>23</v>
      </c>
      <c r="D35" s="13"/>
      <c r="E35" s="42"/>
      <c r="G35" s="43" t="str">
        <f>IF('INPUT DADOS'!B4="n","(**)"," ")</f>
        <v xml:space="preserve"> </v>
      </c>
      <c r="H35" s="44"/>
      <c r="J35" s="27"/>
      <c r="M35" s="400"/>
      <c r="N35" s="174"/>
    </row>
    <row r="36" spans="2:14" x14ac:dyDescent="0.25">
      <c r="B36" s="37" t="s">
        <v>24</v>
      </c>
      <c r="D36" s="13" t="s">
        <v>405</v>
      </c>
      <c r="E36" s="42"/>
      <c r="G36" s="39"/>
      <c r="H36" s="44"/>
      <c r="J36" s="27"/>
      <c r="L36" s="55"/>
      <c r="M36" s="397"/>
    </row>
    <row r="37" spans="2:14" ht="16.5" thickBot="1" x14ac:dyDescent="0.3">
      <c r="B37" s="33"/>
      <c r="C37" s="17"/>
      <c r="D37" s="17"/>
      <c r="E37" s="17"/>
      <c r="F37" s="17"/>
      <c r="G37" s="17"/>
      <c r="H37" s="17"/>
      <c r="I37" s="17"/>
      <c r="J37" s="34"/>
      <c r="L37" s="55"/>
      <c r="M37" s="398"/>
    </row>
    <row r="38" spans="2:14" ht="16.5" thickBot="1" x14ac:dyDescent="0.3">
      <c r="L38" s="55"/>
      <c r="M38" s="55"/>
    </row>
    <row r="39" spans="2:14" x14ac:dyDescent="0.25">
      <c r="B39" s="668" t="s">
        <v>25</v>
      </c>
      <c r="C39" s="669"/>
      <c r="D39" s="45" t="s">
        <v>26</v>
      </c>
      <c r="E39" s="669" t="s">
        <v>27</v>
      </c>
      <c r="F39" s="669"/>
      <c r="G39" s="669"/>
      <c r="H39" s="669"/>
      <c r="I39" s="45" t="s">
        <v>28</v>
      </c>
      <c r="J39" s="46" t="s">
        <v>46</v>
      </c>
    </row>
    <row r="40" spans="2:14" x14ac:dyDescent="0.25">
      <c r="B40" s="670">
        <f>'INPUT DADOS'!B5</f>
        <v>50</v>
      </c>
      <c r="C40" s="671"/>
      <c r="D40" s="156" t="s">
        <v>30</v>
      </c>
      <c r="E40" s="642" t="str">
        <f>IF('INPUT DADOS'!B3="n","SERVIÇO AGRICULTURA DE PRECISÃO","SERVIÇO A.P. - REANALISE")</f>
        <v>SERVIÇO AGRICULTURA DE PRECISÃO</v>
      </c>
      <c r="F40" s="643"/>
      <c r="G40" s="643"/>
      <c r="H40" s="644"/>
      <c r="I40" s="157">
        <f>J40/B40</f>
        <v>412.80438473144551</v>
      </c>
      <c r="J40" s="158">
        <f>'INPUT DADOS'!B8</f>
        <v>20640.219236572277</v>
      </c>
    </row>
    <row r="41" spans="2:14" x14ac:dyDescent="0.25">
      <c r="B41" s="640">
        <f>'INPUT DADOS'!B6</f>
        <v>41</v>
      </c>
      <c r="C41" s="641"/>
      <c r="D41" s="156" t="s">
        <v>35</v>
      </c>
      <c r="E41" s="642" t="str">
        <f>"ANÁLISE INCLUSA ("&amp;'INPUT DADOS'!C6&amp;")"</f>
        <v>ANÁLISE INCLUSA (2,95 ha/ponto)</v>
      </c>
      <c r="F41" s="643"/>
      <c r="G41" s="643"/>
      <c r="H41" s="644"/>
      <c r="I41" s="157"/>
      <c r="J41" s="158">
        <f t="shared" ref="J41:J48" si="0">I41*B41</f>
        <v>0</v>
      </c>
    </row>
    <row r="42" spans="2:14" x14ac:dyDescent="0.25">
      <c r="B42" s="631"/>
      <c r="C42" s="632"/>
      <c r="D42" s="156"/>
      <c r="E42" s="159" t="str">
        <f>"RECOMENDAÇÕES DE CORRETIVOS"&amp;IF('INPUT DADOS'!E4="X"," E ADUBAÇÃO DE BASE","")</f>
        <v>RECOMENDAÇÕES DE CORRETIVOS E ADUBAÇÃO DE BASE</v>
      </c>
      <c r="F42" s="160"/>
      <c r="G42" s="160"/>
      <c r="H42" s="161"/>
      <c r="I42" s="162"/>
      <c r="J42" s="158">
        <f t="shared" si="0"/>
        <v>0</v>
      </c>
    </row>
    <row r="43" spans="2:14" x14ac:dyDescent="0.25">
      <c r="B43" s="633"/>
      <c r="C43" s="634"/>
      <c r="D43" s="156"/>
      <c r="E43" s="163" t="str">
        <f>IF('INPUT DADOS'!E5="X","ENXOFRE","") &amp; IF('INPUT DADOS'!E6="X",", MICRO","") &amp; IF('INPUT DADOS'!E8="X",", FISICA","") &amp; IF('INPUT DADOS'!E7="X",", ANÁLISE DE 20-40CM.","")</f>
        <v>ENXOFRE, MICRO, ANÁLISE DE 20-40CM.</v>
      </c>
      <c r="F43" s="164"/>
      <c r="G43" s="164"/>
      <c r="H43" s="165"/>
      <c r="I43" s="157"/>
      <c r="J43" s="158">
        <f t="shared" si="0"/>
        <v>0</v>
      </c>
    </row>
    <row r="44" spans="2:14" x14ac:dyDescent="0.25">
      <c r="B44" s="635"/>
      <c r="C44" s="636"/>
      <c r="D44" s="156"/>
      <c r="E44" s="637" t="str">
        <f>UPPER('INPUT DADOS'!C9)</f>
        <v>DESCONTO DE -6,39%</v>
      </c>
      <c r="F44" s="638"/>
      <c r="G44" s="638"/>
      <c r="H44" s="639"/>
      <c r="I44" s="157">
        <f>J44/B40</f>
        <v>-26.39765626689492</v>
      </c>
      <c r="J44" s="158">
        <f>'INPUT DADOS'!B9-'INPUT DADOS'!B8</f>
        <v>-1319.882813344746</v>
      </c>
    </row>
    <row r="45" spans="2:14" x14ac:dyDescent="0.25">
      <c r="B45" s="650"/>
      <c r="C45" s="651"/>
      <c r="D45" s="12"/>
      <c r="E45" s="652"/>
      <c r="F45" s="653"/>
      <c r="G45" s="653"/>
      <c r="H45" s="654"/>
      <c r="I45" s="70"/>
      <c r="J45" s="49">
        <f>I45*B45</f>
        <v>0</v>
      </c>
    </row>
    <row r="46" spans="2:14" x14ac:dyDescent="0.25">
      <c r="B46" s="650"/>
      <c r="C46" s="651"/>
      <c r="D46" s="12"/>
      <c r="E46" s="652"/>
      <c r="F46" s="653"/>
      <c r="G46" s="653"/>
      <c r="H46" s="654"/>
      <c r="I46" s="70"/>
      <c r="J46" s="49">
        <f t="shared" si="0"/>
        <v>0</v>
      </c>
    </row>
    <row r="47" spans="2:14" x14ac:dyDescent="0.25">
      <c r="B47" s="655"/>
      <c r="C47" s="656"/>
      <c r="D47" s="12"/>
      <c r="E47" s="652"/>
      <c r="F47" s="653"/>
      <c r="G47" s="653"/>
      <c r="H47" s="654"/>
      <c r="I47" s="71"/>
      <c r="J47" s="49">
        <f t="shared" si="0"/>
        <v>0</v>
      </c>
    </row>
    <row r="48" spans="2:14" ht="16.5" thickBot="1" x14ac:dyDescent="0.3">
      <c r="B48" s="655"/>
      <c r="C48" s="656"/>
      <c r="D48" s="239"/>
      <c r="E48" s="657"/>
      <c r="F48" s="658"/>
      <c r="G48" s="658"/>
      <c r="H48" s="659"/>
      <c r="I48" s="71"/>
      <c r="J48" s="49">
        <f t="shared" si="0"/>
        <v>0</v>
      </c>
    </row>
    <row r="49" spans="2:10" ht="16.5" thickBot="1" x14ac:dyDescent="0.3">
      <c r="B49" s="645">
        <f>I49/B40</f>
        <v>386.40672846455061</v>
      </c>
      <c r="C49" s="646"/>
      <c r="E49" s="647" t="s">
        <v>31</v>
      </c>
      <c r="F49" s="647"/>
      <c r="G49" s="647"/>
      <c r="H49" s="647"/>
      <c r="I49" s="648">
        <f>SUM(J40:J48)</f>
        <v>19320.336423227531</v>
      </c>
      <c r="J49" s="649"/>
    </row>
    <row r="50" spans="2:10" x14ac:dyDescent="0.25">
      <c r="B50" s="629"/>
      <c r="C50" s="629"/>
      <c r="D50" s="32"/>
      <c r="E50" s="630"/>
      <c r="F50" s="630"/>
      <c r="G50" s="630"/>
      <c r="H50" s="630"/>
    </row>
    <row r="51" spans="2:10" x14ac:dyDescent="0.25">
      <c r="B51" s="51"/>
      <c r="C51" s="51"/>
      <c r="E51" s="52"/>
      <c r="F51" s="52"/>
      <c r="G51" s="52"/>
      <c r="H51" s="52"/>
    </row>
    <row r="52" spans="2:10" x14ac:dyDescent="0.25">
      <c r="B52" s="623"/>
      <c r="C52" s="624"/>
      <c r="D52" s="624"/>
      <c r="E52" s="624"/>
      <c r="F52" s="624"/>
      <c r="G52" s="624"/>
      <c r="H52" s="624"/>
      <c r="I52" s="624"/>
      <c r="J52" s="625"/>
    </row>
    <row r="53" spans="2:10" x14ac:dyDescent="0.25">
      <c r="B53" s="626"/>
      <c r="C53" s="627"/>
      <c r="D53" s="627"/>
      <c r="E53" s="627"/>
      <c r="F53" s="627"/>
      <c r="G53" s="627"/>
      <c r="H53" s="627"/>
      <c r="I53" s="627"/>
      <c r="J53" s="628"/>
    </row>
    <row r="54" spans="2:10" x14ac:dyDescent="0.25">
      <c r="B54" s="626"/>
      <c r="C54" s="627"/>
      <c r="D54" s="627"/>
      <c r="E54" s="627"/>
      <c r="F54" s="627"/>
      <c r="G54" s="627"/>
      <c r="H54" s="627"/>
      <c r="I54" s="627"/>
      <c r="J54" s="628"/>
    </row>
    <row r="55" spans="2:10" x14ac:dyDescent="0.25">
      <c r="B55" s="626"/>
      <c r="C55" s="627"/>
      <c r="D55" s="627"/>
      <c r="E55" s="627"/>
      <c r="F55" s="627"/>
      <c r="G55" s="627"/>
      <c r="H55" s="627"/>
      <c r="I55" s="627"/>
      <c r="J55" s="628"/>
    </row>
    <row r="56" spans="2:10" x14ac:dyDescent="0.25">
      <c r="B56" s="344" t="s">
        <v>196</v>
      </c>
      <c r="C56" s="54"/>
      <c r="D56" s="54"/>
      <c r="E56" s="54"/>
      <c r="F56" s="54"/>
      <c r="G56" s="54"/>
      <c r="H56" s="54"/>
      <c r="I56" s="54"/>
      <c r="J56" s="54"/>
    </row>
    <row r="58" spans="2:10" x14ac:dyDescent="0.25">
      <c r="B58" s="55" t="s">
        <v>32</v>
      </c>
      <c r="G58" s="55" t="s">
        <v>33</v>
      </c>
    </row>
    <row r="59" spans="2:10" x14ac:dyDescent="0.25">
      <c r="B59" s="55" t="s">
        <v>34</v>
      </c>
      <c r="G59" s="16">
        <f>E13</f>
        <v>0</v>
      </c>
    </row>
  </sheetData>
  <sheetProtection selectLockedCells="1"/>
  <mergeCells count="45">
    <mergeCell ref="B7:J7"/>
    <mergeCell ref="B8:D8"/>
    <mergeCell ref="E8:G8"/>
    <mergeCell ref="H8:J8"/>
    <mergeCell ref="B9:E9"/>
    <mergeCell ref="G9:J9"/>
    <mergeCell ref="B40:C40"/>
    <mergeCell ref="E40:H40"/>
    <mergeCell ref="E24:I24"/>
    <mergeCell ref="E26:I26"/>
    <mergeCell ref="E28:I28"/>
    <mergeCell ref="E19:I19"/>
    <mergeCell ref="E17:G17"/>
    <mergeCell ref="E27:I27"/>
    <mergeCell ref="E25:I25"/>
    <mergeCell ref="B39:C39"/>
    <mergeCell ref="E39:H39"/>
    <mergeCell ref="E13:I13"/>
    <mergeCell ref="E14:I14"/>
    <mergeCell ref="E15:I15"/>
    <mergeCell ref="E18:I18"/>
    <mergeCell ref="G16:I16"/>
    <mergeCell ref="B49:C49"/>
    <mergeCell ref="E49:H49"/>
    <mergeCell ref="I49:J49"/>
    <mergeCell ref="B45:C45"/>
    <mergeCell ref="E45:H45"/>
    <mergeCell ref="B46:C46"/>
    <mergeCell ref="B47:C47"/>
    <mergeCell ref="B48:C48"/>
    <mergeCell ref="E48:H48"/>
    <mergeCell ref="E46:H46"/>
    <mergeCell ref="E47:H47"/>
    <mergeCell ref="B42:C42"/>
    <mergeCell ref="B43:C43"/>
    <mergeCell ref="B44:C44"/>
    <mergeCell ref="E44:H44"/>
    <mergeCell ref="B41:C41"/>
    <mergeCell ref="E41:H41"/>
    <mergeCell ref="B52:J52"/>
    <mergeCell ref="B53:J53"/>
    <mergeCell ref="B54:J54"/>
    <mergeCell ref="B55:J55"/>
    <mergeCell ref="B50:C50"/>
    <mergeCell ref="E50:H50"/>
  </mergeCells>
  <dataValidations disablePrompts="1" count="1">
    <dataValidation type="date" allowBlank="1" showInputMessage="1" showErrorMessage="1" errorTitle="Data Inválida!" promptTitle="ATENÇÃO!" prompt="Preencha com &quot;DD/MM/AA&quot;" sqref="D32" xr:uid="{2AD84C05-4DC6-492D-A43A-534CE7CEF431}">
      <formula1>44927</formula1>
      <formula2>47572</formula2>
    </dataValidation>
  </dataValidations>
  <pageMargins left="0.511811024" right="0.511811024" top="0.78740157499999996" bottom="0.78740157499999996" header="0.31496062000000002" footer="0.31496062000000002"/>
  <pageSetup paperSize="9" scale="75" orientation="portrait" horizontalDpi="360" verticalDpi="36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4"/>
  <dimension ref="B6:K60"/>
  <sheetViews>
    <sheetView showGridLines="0" topLeftCell="A21" zoomScale="90" zoomScaleNormal="90" workbookViewId="0">
      <selection activeCell="E13" sqref="E13:I13"/>
    </sheetView>
  </sheetViews>
  <sheetFormatPr defaultColWidth="9.140625" defaultRowHeight="15.75" x14ac:dyDescent="0.25"/>
  <cols>
    <col min="1" max="1" width="9.140625" style="16"/>
    <col min="2" max="2" width="8" style="16" customWidth="1"/>
    <col min="3" max="3" width="6.85546875" style="16" customWidth="1"/>
    <col min="4" max="4" width="11.7109375" style="16" customWidth="1"/>
    <col min="5" max="6" width="9.140625" style="16"/>
    <col min="7" max="7" width="10.28515625" style="16" customWidth="1"/>
    <col min="8" max="8" width="16.28515625" style="16" customWidth="1"/>
    <col min="9" max="9" width="14.42578125" style="16" bestFit="1" customWidth="1"/>
    <col min="10" max="10" width="15.7109375" style="16" bestFit="1" customWidth="1"/>
    <col min="11" max="257" width="9.140625" style="16"/>
    <col min="258" max="258" width="8" style="16" customWidth="1"/>
    <col min="259" max="259" width="6.85546875" style="16" customWidth="1"/>
    <col min="260" max="260" width="14" style="16" bestFit="1" customWidth="1"/>
    <col min="261" max="262" width="9.140625" style="16"/>
    <col min="263" max="263" width="10.28515625" style="16" customWidth="1"/>
    <col min="264" max="264" width="13" style="16" customWidth="1"/>
    <col min="265" max="265" width="14.42578125" style="16" bestFit="1" customWidth="1"/>
    <col min="266" max="266" width="15.7109375" style="16" bestFit="1" customWidth="1"/>
    <col min="267" max="513" width="9.140625" style="16"/>
    <col min="514" max="514" width="8" style="16" customWidth="1"/>
    <col min="515" max="515" width="6.85546875" style="16" customWidth="1"/>
    <col min="516" max="516" width="14" style="16" bestFit="1" customWidth="1"/>
    <col min="517" max="518" width="9.140625" style="16"/>
    <col min="519" max="519" width="10.28515625" style="16" customWidth="1"/>
    <col min="520" max="520" width="13" style="16" customWidth="1"/>
    <col min="521" max="521" width="14.42578125" style="16" bestFit="1" customWidth="1"/>
    <col min="522" max="522" width="15.7109375" style="16" bestFit="1" customWidth="1"/>
    <col min="523" max="769" width="9.140625" style="16"/>
    <col min="770" max="770" width="8" style="16" customWidth="1"/>
    <col min="771" max="771" width="6.85546875" style="16" customWidth="1"/>
    <col min="772" max="772" width="14" style="16" bestFit="1" customWidth="1"/>
    <col min="773" max="774" width="9.140625" style="16"/>
    <col min="775" max="775" width="10.28515625" style="16" customWidth="1"/>
    <col min="776" max="776" width="13" style="16" customWidth="1"/>
    <col min="777" max="777" width="14.42578125" style="16" bestFit="1" customWidth="1"/>
    <col min="778" max="778" width="15.7109375" style="16" bestFit="1" customWidth="1"/>
    <col min="779" max="1025" width="9.140625" style="16"/>
    <col min="1026" max="1026" width="8" style="16" customWidth="1"/>
    <col min="1027" max="1027" width="6.85546875" style="16" customWidth="1"/>
    <col min="1028" max="1028" width="14" style="16" bestFit="1" customWidth="1"/>
    <col min="1029" max="1030" width="9.140625" style="16"/>
    <col min="1031" max="1031" width="10.28515625" style="16" customWidth="1"/>
    <col min="1032" max="1032" width="13" style="16" customWidth="1"/>
    <col min="1033" max="1033" width="14.42578125" style="16" bestFit="1" customWidth="1"/>
    <col min="1034" max="1034" width="15.7109375" style="16" bestFit="1" customWidth="1"/>
    <col min="1035" max="1281" width="9.140625" style="16"/>
    <col min="1282" max="1282" width="8" style="16" customWidth="1"/>
    <col min="1283" max="1283" width="6.85546875" style="16" customWidth="1"/>
    <col min="1284" max="1284" width="14" style="16" bestFit="1" customWidth="1"/>
    <col min="1285" max="1286" width="9.140625" style="16"/>
    <col min="1287" max="1287" width="10.28515625" style="16" customWidth="1"/>
    <col min="1288" max="1288" width="13" style="16" customWidth="1"/>
    <col min="1289" max="1289" width="14.42578125" style="16" bestFit="1" customWidth="1"/>
    <col min="1290" max="1290" width="15.7109375" style="16" bestFit="1" customWidth="1"/>
    <col min="1291" max="1537" width="9.140625" style="16"/>
    <col min="1538" max="1538" width="8" style="16" customWidth="1"/>
    <col min="1539" max="1539" width="6.85546875" style="16" customWidth="1"/>
    <col min="1540" max="1540" width="14" style="16" bestFit="1" customWidth="1"/>
    <col min="1541" max="1542" width="9.140625" style="16"/>
    <col min="1543" max="1543" width="10.28515625" style="16" customWidth="1"/>
    <col min="1544" max="1544" width="13" style="16" customWidth="1"/>
    <col min="1545" max="1545" width="14.42578125" style="16" bestFit="1" customWidth="1"/>
    <col min="1546" max="1546" width="15.7109375" style="16" bestFit="1" customWidth="1"/>
    <col min="1547" max="1793" width="9.140625" style="16"/>
    <col min="1794" max="1794" width="8" style="16" customWidth="1"/>
    <col min="1795" max="1795" width="6.85546875" style="16" customWidth="1"/>
    <col min="1796" max="1796" width="14" style="16" bestFit="1" customWidth="1"/>
    <col min="1797" max="1798" width="9.140625" style="16"/>
    <col min="1799" max="1799" width="10.28515625" style="16" customWidth="1"/>
    <col min="1800" max="1800" width="13" style="16" customWidth="1"/>
    <col min="1801" max="1801" width="14.42578125" style="16" bestFit="1" customWidth="1"/>
    <col min="1802" max="1802" width="15.7109375" style="16" bestFit="1" customWidth="1"/>
    <col min="1803" max="2049" width="9.140625" style="16"/>
    <col min="2050" max="2050" width="8" style="16" customWidth="1"/>
    <col min="2051" max="2051" width="6.85546875" style="16" customWidth="1"/>
    <col min="2052" max="2052" width="14" style="16" bestFit="1" customWidth="1"/>
    <col min="2053" max="2054" width="9.140625" style="16"/>
    <col min="2055" max="2055" width="10.28515625" style="16" customWidth="1"/>
    <col min="2056" max="2056" width="13" style="16" customWidth="1"/>
    <col min="2057" max="2057" width="14.42578125" style="16" bestFit="1" customWidth="1"/>
    <col min="2058" max="2058" width="15.7109375" style="16" bestFit="1" customWidth="1"/>
    <col min="2059" max="2305" width="9.140625" style="16"/>
    <col min="2306" max="2306" width="8" style="16" customWidth="1"/>
    <col min="2307" max="2307" width="6.85546875" style="16" customWidth="1"/>
    <col min="2308" max="2308" width="14" style="16" bestFit="1" customWidth="1"/>
    <col min="2309" max="2310" width="9.140625" style="16"/>
    <col min="2311" max="2311" width="10.28515625" style="16" customWidth="1"/>
    <col min="2312" max="2312" width="13" style="16" customWidth="1"/>
    <col min="2313" max="2313" width="14.42578125" style="16" bestFit="1" customWidth="1"/>
    <col min="2314" max="2314" width="15.7109375" style="16" bestFit="1" customWidth="1"/>
    <col min="2315" max="2561" width="9.140625" style="16"/>
    <col min="2562" max="2562" width="8" style="16" customWidth="1"/>
    <col min="2563" max="2563" width="6.85546875" style="16" customWidth="1"/>
    <col min="2564" max="2564" width="14" style="16" bestFit="1" customWidth="1"/>
    <col min="2565" max="2566" width="9.140625" style="16"/>
    <col min="2567" max="2567" width="10.28515625" style="16" customWidth="1"/>
    <col min="2568" max="2568" width="13" style="16" customWidth="1"/>
    <col min="2569" max="2569" width="14.42578125" style="16" bestFit="1" customWidth="1"/>
    <col min="2570" max="2570" width="15.7109375" style="16" bestFit="1" customWidth="1"/>
    <col min="2571" max="2817" width="9.140625" style="16"/>
    <col min="2818" max="2818" width="8" style="16" customWidth="1"/>
    <col min="2819" max="2819" width="6.85546875" style="16" customWidth="1"/>
    <col min="2820" max="2820" width="14" style="16" bestFit="1" customWidth="1"/>
    <col min="2821" max="2822" width="9.140625" style="16"/>
    <col min="2823" max="2823" width="10.28515625" style="16" customWidth="1"/>
    <col min="2824" max="2824" width="13" style="16" customWidth="1"/>
    <col min="2825" max="2825" width="14.42578125" style="16" bestFit="1" customWidth="1"/>
    <col min="2826" max="2826" width="15.7109375" style="16" bestFit="1" customWidth="1"/>
    <col min="2827" max="3073" width="9.140625" style="16"/>
    <col min="3074" max="3074" width="8" style="16" customWidth="1"/>
    <col min="3075" max="3075" width="6.85546875" style="16" customWidth="1"/>
    <col min="3076" max="3076" width="14" style="16" bestFit="1" customWidth="1"/>
    <col min="3077" max="3078" width="9.140625" style="16"/>
    <col min="3079" max="3079" width="10.28515625" style="16" customWidth="1"/>
    <col min="3080" max="3080" width="13" style="16" customWidth="1"/>
    <col min="3081" max="3081" width="14.42578125" style="16" bestFit="1" customWidth="1"/>
    <col min="3082" max="3082" width="15.7109375" style="16" bestFit="1" customWidth="1"/>
    <col min="3083" max="3329" width="9.140625" style="16"/>
    <col min="3330" max="3330" width="8" style="16" customWidth="1"/>
    <col min="3331" max="3331" width="6.85546875" style="16" customWidth="1"/>
    <col min="3332" max="3332" width="14" style="16" bestFit="1" customWidth="1"/>
    <col min="3333" max="3334" width="9.140625" style="16"/>
    <col min="3335" max="3335" width="10.28515625" style="16" customWidth="1"/>
    <col min="3336" max="3336" width="13" style="16" customWidth="1"/>
    <col min="3337" max="3337" width="14.42578125" style="16" bestFit="1" customWidth="1"/>
    <col min="3338" max="3338" width="15.7109375" style="16" bestFit="1" customWidth="1"/>
    <col min="3339" max="3585" width="9.140625" style="16"/>
    <col min="3586" max="3586" width="8" style="16" customWidth="1"/>
    <col min="3587" max="3587" width="6.85546875" style="16" customWidth="1"/>
    <col min="3588" max="3588" width="14" style="16" bestFit="1" customWidth="1"/>
    <col min="3589" max="3590" width="9.140625" style="16"/>
    <col min="3591" max="3591" width="10.28515625" style="16" customWidth="1"/>
    <col min="3592" max="3592" width="13" style="16" customWidth="1"/>
    <col min="3593" max="3593" width="14.42578125" style="16" bestFit="1" customWidth="1"/>
    <col min="3594" max="3594" width="15.7109375" style="16" bestFit="1" customWidth="1"/>
    <col min="3595" max="3841" width="9.140625" style="16"/>
    <col min="3842" max="3842" width="8" style="16" customWidth="1"/>
    <col min="3843" max="3843" width="6.85546875" style="16" customWidth="1"/>
    <col min="3844" max="3844" width="14" style="16" bestFit="1" customWidth="1"/>
    <col min="3845" max="3846" width="9.140625" style="16"/>
    <col min="3847" max="3847" width="10.28515625" style="16" customWidth="1"/>
    <col min="3848" max="3848" width="13" style="16" customWidth="1"/>
    <col min="3849" max="3849" width="14.42578125" style="16" bestFit="1" customWidth="1"/>
    <col min="3850" max="3850" width="15.7109375" style="16" bestFit="1" customWidth="1"/>
    <col min="3851" max="4097" width="9.140625" style="16"/>
    <col min="4098" max="4098" width="8" style="16" customWidth="1"/>
    <col min="4099" max="4099" width="6.85546875" style="16" customWidth="1"/>
    <col min="4100" max="4100" width="14" style="16" bestFit="1" customWidth="1"/>
    <col min="4101" max="4102" width="9.140625" style="16"/>
    <col min="4103" max="4103" width="10.28515625" style="16" customWidth="1"/>
    <col min="4104" max="4104" width="13" style="16" customWidth="1"/>
    <col min="4105" max="4105" width="14.42578125" style="16" bestFit="1" customWidth="1"/>
    <col min="4106" max="4106" width="15.7109375" style="16" bestFit="1" customWidth="1"/>
    <col min="4107" max="4353" width="9.140625" style="16"/>
    <col min="4354" max="4354" width="8" style="16" customWidth="1"/>
    <col min="4355" max="4355" width="6.85546875" style="16" customWidth="1"/>
    <col min="4356" max="4356" width="14" style="16" bestFit="1" customWidth="1"/>
    <col min="4357" max="4358" width="9.140625" style="16"/>
    <col min="4359" max="4359" width="10.28515625" style="16" customWidth="1"/>
    <col min="4360" max="4360" width="13" style="16" customWidth="1"/>
    <col min="4361" max="4361" width="14.42578125" style="16" bestFit="1" customWidth="1"/>
    <col min="4362" max="4362" width="15.7109375" style="16" bestFit="1" customWidth="1"/>
    <col min="4363" max="4609" width="9.140625" style="16"/>
    <col min="4610" max="4610" width="8" style="16" customWidth="1"/>
    <col min="4611" max="4611" width="6.85546875" style="16" customWidth="1"/>
    <col min="4612" max="4612" width="14" style="16" bestFit="1" customWidth="1"/>
    <col min="4613" max="4614" width="9.140625" style="16"/>
    <col min="4615" max="4615" width="10.28515625" style="16" customWidth="1"/>
    <col min="4616" max="4616" width="13" style="16" customWidth="1"/>
    <col min="4617" max="4617" width="14.42578125" style="16" bestFit="1" customWidth="1"/>
    <col min="4618" max="4618" width="15.7109375" style="16" bestFit="1" customWidth="1"/>
    <col min="4619" max="4865" width="9.140625" style="16"/>
    <col min="4866" max="4866" width="8" style="16" customWidth="1"/>
    <col min="4867" max="4867" width="6.85546875" style="16" customWidth="1"/>
    <col min="4868" max="4868" width="14" style="16" bestFit="1" customWidth="1"/>
    <col min="4869" max="4870" width="9.140625" style="16"/>
    <col min="4871" max="4871" width="10.28515625" style="16" customWidth="1"/>
    <col min="4872" max="4872" width="13" style="16" customWidth="1"/>
    <col min="4873" max="4873" width="14.42578125" style="16" bestFit="1" customWidth="1"/>
    <col min="4874" max="4874" width="15.7109375" style="16" bestFit="1" customWidth="1"/>
    <col min="4875" max="5121" width="9.140625" style="16"/>
    <col min="5122" max="5122" width="8" style="16" customWidth="1"/>
    <col min="5123" max="5123" width="6.85546875" style="16" customWidth="1"/>
    <col min="5124" max="5124" width="14" style="16" bestFit="1" customWidth="1"/>
    <col min="5125" max="5126" width="9.140625" style="16"/>
    <col min="5127" max="5127" width="10.28515625" style="16" customWidth="1"/>
    <col min="5128" max="5128" width="13" style="16" customWidth="1"/>
    <col min="5129" max="5129" width="14.42578125" style="16" bestFit="1" customWidth="1"/>
    <col min="5130" max="5130" width="15.7109375" style="16" bestFit="1" customWidth="1"/>
    <col min="5131" max="5377" width="9.140625" style="16"/>
    <col min="5378" max="5378" width="8" style="16" customWidth="1"/>
    <col min="5379" max="5379" width="6.85546875" style="16" customWidth="1"/>
    <col min="5380" max="5380" width="14" style="16" bestFit="1" customWidth="1"/>
    <col min="5381" max="5382" width="9.140625" style="16"/>
    <col min="5383" max="5383" width="10.28515625" style="16" customWidth="1"/>
    <col min="5384" max="5384" width="13" style="16" customWidth="1"/>
    <col min="5385" max="5385" width="14.42578125" style="16" bestFit="1" customWidth="1"/>
    <col min="5386" max="5386" width="15.7109375" style="16" bestFit="1" customWidth="1"/>
    <col min="5387" max="5633" width="9.140625" style="16"/>
    <col min="5634" max="5634" width="8" style="16" customWidth="1"/>
    <col min="5635" max="5635" width="6.85546875" style="16" customWidth="1"/>
    <col min="5636" max="5636" width="14" style="16" bestFit="1" customWidth="1"/>
    <col min="5637" max="5638" width="9.140625" style="16"/>
    <col min="5639" max="5639" width="10.28515625" style="16" customWidth="1"/>
    <col min="5640" max="5640" width="13" style="16" customWidth="1"/>
    <col min="5641" max="5641" width="14.42578125" style="16" bestFit="1" customWidth="1"/>
    <col min="5642" max="5642" width="15.7109375" style="16" bestFit="1" customWidth="1"/>
    <col min="5643" max="5889" width="9.140625" style="16"/>
    <col min="5890" max="5890" width="8" style="16" customWidth="1"/>
    <col min="5891" max="5891" width="6.85546875" style="16" customWidth="1"/>
    <col min="5892" max="5892" width="14" style="16" bestFit="1" customWidth="1"/>
    <col min="5893" max="5894" width="9.140625" style="16"/>
    <col min="5895" max="5895" width="10.28515625" style="16" customWidth="1"/>
    <col min="5896" max="5896" width="13" style="16" customWidth="1"/>
    <col min="5897" max="5897" width="14.42578125" style="16" bestFit="1" customWidth="1"/>
    <col min="5898" max="5898" width="15.7109375" style="16" bestFit="1" customWidth="1"/>
    <col min="5899" max="6145" width="9.140625" style="16"/>
    <col min="6146" max="6146" width="8" style="16" customWidth="1"/>
    <col min="6147" max="6147" width="6.85546875" style="16" customWidth="1"/>
    <col min="6148" max="6148" width="14" style="16" bestFit="1" customWidth="1"/>
    <col min="6149" max="6150" width="9.140625" style="16"/>
    <col min="6151" max="6151" width="10.28515625" style="16" customWidth="1"/>
    <col min="6152" max="6152" width="13" style="16" customWidth="1"/>
    <col min="6153" max="6153" width="14.42578125" style="16" bestFit="1" customWidth="1"/>
    <col min="6154" max="6154" width="15.7109375" style="16" bestFit="1" customWidth="1"/>
    <col min="6155" max="6401" width="9.140625" style="16"/>
    <col min="6402" max="6402" width="8" style="16" customWidth="1"/>
    <col min="6403" max="6403" width="6.85546875" style="16" customWidth="1"/>
    <col min="6404" max="6404" width="14" style="16" bestFit="1" customWidth="1"/>
    <col min="6405" max="6406" width="9.140625" style="16"/>
    <col min="6407" max="6407" width="10.28515625" style="16" customWidth="1"/>
    <col min="6408" max="6408" width="13" style="16" customWidth="1"/>
    <col min="6409" max="6409" width="14.42578125" style="16" bestFit="1" customWidth="1"/>
    <col min="6410" max="6410" width="15.7109375" style="16" bestFit="1" customWidth="1"/>
    <col min="6411" max="6657" width="9.140625" style="16"/>
    <col min="6658" max="6658" width="8" style="16" customWidth="1"/>
    <col min="6659" max="6659" width="6.85546875" style="16" customWidth="1"/>
    <col min="6660" max="6660" width="14" style="16" bestFit="1" customWidth="1"/>
    <col min="6661" max="6662" width="9.140625" style="16"/>
    <col min="6663" max="6663" width="10.28515625" style="16" customWidth="1"/>
    <col min="6664" max="6664" width="13" style="16" customWidth="1"/>
    <col min="6665" max="6665" width="14.42578125" style="16" bestFit="1" customWidth="1"/>
    <col min="6666" max="6666" width="15.7109375" style="16" bestFit="1" customWidth="1"/>
    <col min="6667" max="6913" width="9.140625" style="16"/>
    <col min="6914" max="6914" width="8" style="16" customWidth="1"/>
    <col min="6915" max="6915" width="6.85546875" style="16" customWidth="1"/>
    <col min="6916" max="6916" width="14" style="16" bestFit="1" customWidth="1"/>
    <col min="6917" max="6918" width="9.140625" style="16"/>
    <col min="6919" max="6919" width="10.28515625" style="16" customWidth="1"/>
    <col min="6920" max="6920" width="13" style="16" customWidth="1"/>
    <col min="6921" max="6921" width="14.42578125" style="16" bestFit="1" customWidth="1"/>
    <col min="6922" max="6922" width="15.7109375" style="16" bestFit="1" customWidth="1"/>
    <col min="6923" max="7169" width="9.140625" style="16"/>
    <col min="7170" max="7170" width="8" style="16" customWidth="1"/>
    <col min="7171" max="7171" width="6.85546875" style="16" customWidth="1"/>
    <col min="7172" max="7172" width="14" style="16" bestFit="1" customWidth="1"/>
    <col min="7173" max="7174" width="9.140625" style="16"/>
    <col min="7175" max="7175" width="10.28515625" style="16" customWidth="1"/>
    <col min="7176" max="7176" width="13" style="16" customWidth="1"/>
    <col min="7177" max="7177" width="14.42578125" style="16" bestFit="1" customWidth="1"/>
    <col min="7178" max="7178" width="15.7109375" style="16" bestFit="1" customWidth="1"/>
    <col min="7179" max="7425" width="9.140625" style="16"/>
    <col min="7426" max="7426" width="8" style="16" customWidth="1"/>
    <col min="7427" max="7427" width="6.85546875" style="16" customWidth="1"/>
    <col min="7428" max="7428" width="14" style="16" bestFit="1" customWidth="1"/>
    <col min="7429" max="7430" width="9.140625" style="16"/>
    <col min="7431" max="7431" width="10.28515625" style="16" customWidth="1"/>
    <col min="7432" max="7432" width="13" style="16" customWidth="1"/>
    <col min="7433" max="7433" width="14.42578125" style="16" bestFit="1" customWidth="1"/>
    <col min="7434" max="7434" width="15.7109375" style="16" bestFit="1" customWidth="1"/>
    <col min="7435" max="7681" width="9.140625" style="16"/>
    <col min="7682" max="7682" width="8" style="16" customWidth="1"/>
    <col min="7683" max="7683" width="6.85546875" style="16" customWidth="1"/>
    <col min="7684" max="7684" width="14" style="16" bestFit="1" customWidth="1"/>
    <col min="7685" max="7686" width="9.140625" style="16"/>
    <col min="7687" max="7687" width="10.28515625" style="16" customWidth="1"/>
    <col min="7688" max="7688" width="13" style="16" customWidth="1"/>
    <col min="7689" max="7689" width="14.42578125" style="16" bestFit="1" customWidth="1"/>
    <col min="7690" max="7690" width="15.7109375" style="16" bestFit="1" customWidth="1"/>
    <col min="7691" max="7937" width="9.140625" style="16"/>
    <col min="7938" max="7938" width="8" style="16" customWidth="1"/>
    <col min="7939" max="7939" width="6.85546875" style="16" customWidth="1"/>
    <col min="7940" max="7940" width="14" style="16" bestFit="1" customWidth="1"/>
    <col min="7941" max="7942" width="9.140625" style="16"/>
    <col min="7943" max="7943" width="10.28515625" style="16" customWidth="1"/>
    <col min="7944" max="7944" width="13" style="16" customWidth="1"/>
    <col min="7945" max="7945" width="14.42578125" style="16" bestFit="1" customWidth="1"/>
    <col min="7946" max="7946" width="15.7109375" style="16" bestFit="1" customWidth="1"/>
    <col min="7947" max="8193" width="9.140625" style="16"/>
    <col min="8194" max="8194" width="8" style="16" customWidth="1"/>
    <col min="8195" max="8195" width="6.85546875" style="16" customWidth="1"/>
    <col min="8196" max="8196" width="14" style="16" bestFit="1" customWidth="1"/>
    <col min="8197" max="8198" width="9.140625" style="16"/>
    <col min="8199" max="8199" width="10.28515625" style="16" customWidth="1"/>
    <col min="8200" max="8200" width="13" style="16" customWidth="1"/>
    <col min="8201" max="8201" width="14.42578125" style="16" bestFit="1" customWidth="1"/>
    <col min="8202" max="8202" width="15.7109375" style="16" bestFit="1" customWidth="1"/>
    <col min="8203" max="8449" width="9.140625" style="16"/>
    <col min="8450" max="8450" width="8" style="16" customWidth="1"/>
    <col min="8451" max="8451" width="6.85546875" style="16" customWidth="1"/>
    <col min="8452" max="8452" width="14" style="16" bestFit="1" customWidth="1"/>
    <col min="8453" max="8454" width="9.140625" style="16"/>
    <col min="8455" max="8455" width="10.28515625" style="16" customWidth="1"/>
    <col min="8456" max="8456" width="13" style="16" customWidth="1"/>
    <col min="8457" max="8457" width="14.42578125" style="16" bestFit="1" customWidth="1"/>
    <col min="8458" max="8458" width="15.7109375" style="16" bestFit="1" customWidth="1"/>
    <col min="8459" max="8705" width="9.140625" style="16"/>
    <col min="8706" max="8706" width="8" style="16" customWidth="1"/>
    <col min="8707" max="8707" width="6.85546875" style="16" customWidth="1"/>
    <col min="8708" max="8708" width="14" style="16" bestFit="1" customWidth="1"/>
    <col min="8709" max="8710" width="9.140625" style="16"/>
    <col min="8711" max="8711" width="10.28515625" style="16" customWidth="1"/>
    <col min="8712" max="8712" width="13" style="16" customWidth="1"/>
    <col min="8713" max="8713" width="14.42578125" style="16" bestFit="1" customWidth="1"/>
    <col min="8714" max="8714" width="15.7109375" style="16" bestFit="1" customWidth="1"/>
    <col min="8715" max="8961" width="9.140625" style="16"/>
    <col min="8962" max="8962" width="8" style="16" customWidth="1"/>
    <col min="8963" max="8963" width="6.85546875" style="16" customWidth="1"/>
    <col min="8964" max="8964" width="14" style="16" bestFit="1" customWidth="1"/>
    <col min="8965" max="8966" width="9.140625" style="16"/>
    <col min="8967" max="8967" width="10.28515625" style="16" customWidth="1"/>
    <col min="8968" max="8968" width="13" style="16" customWidth="1"/>
    <col min="8969" max="8969" width="14.42578125" style="16" bestFit="1" customWidth="1"/>
    <col min="8970" max="8970" width="15.7109375" style="16" bestFit="1" customWidth="1"/>
    <col min="8971" max="9217" width="9.140625" style="16"/>
    <col min="9218" max="9218" width="8" style="16" customWidth="1"/>
    <col min="9219" max="9219" width="6.85546875" style="16" customWidth="1"/>
    <col min="9220" max="9220" width="14" style="16" bestFit="1" customWidth="1"/>
    <col min="9221" max="9222" width="9.140625" style="16"/>
    <col min="9223" max="9223" width="10.28515625" style="16" customWidth="1"/>
    <col min="9224" max="9224" width="13" style="16" customWidth="1"/>
    <col min="9225" max="9225" width="14.42578125" style="16" bestFit="1" customWidth="1"/>
    <col min="9226" max="9226" width="15.7109375" style="16" bestFit="1" customWidth="1"/>
    <col min="9227" max="9473" width="9.140625" style="16"/>
    <col min="9474" max="9474" width="8" style="16" customWidth="1"/>
    <col min="9475" max="9475" width="6.85546875" style="16" customWidth="1"/>
    <col min="9476" max="9476" width="14" style="16" bestFit="1" customWidth="1"/>
    <col min="9477" max="9478" width="9.140625" style="16"/>
    <col min="9479" max="9479" width="10.28515625" style="16" customWidth="1"/>
    <col min="9480" max="9480" width="13" style="16" customWidth="1"/>
    <col min="9481" max="9481" width="14.42578125" style="16" bestFit="1" customWidth="1"/>
    <col min="9482" max="9482" width="15.7109375" style="16" bestFit="1" customWidth="1"/>
    <col min="9483" max="9729" width="9.140625" style="16"/>
    <col min="9730" max="9730" width="8" style="16" customWidth="1"/>
    <col min="9731" max="9731" width="6.85546875" style="16" customWidth="1"/>
    <col min="9732" max="9732" width="14" style="16" bestFit="1" customWidth="1"/>
    <col min="9733" max="9734" width="9.140625" style="16"/>
    <col min="9735" max="9735" width="10.28515625" style="16" customWidth="1"/>
    <col min="9736" max="9736" width="13" style="16" customWidth="1"/>
    <col min="9737" max="9737" width="14.42578125" style="16" bestFit="1" customWidth="1"/>
    <col min="9738" max="9738" width="15.7109375" style="16" bestFit="1" customWidth="1"/>
    <col min="9739" max="9985" width="9.140625" style="16"/>
    <col min="9986" max="9986" width="8" style="16" customWidth="1"/>
    <col min="9987" max="9987" width="6.85546875" style="16" customWidth="1"/>
    <col min="9988" max="9988" width="14" style="16" bestFit="1" customWidth="1"/>
    <col min="9989" max="9990" width="9.140625" style="16"/>
    <col min="9991" max="9991" width="10.28515625" style="16" customWidth="1"/>
    <col min="9992" max="9992" width="13" style="16" customWidth="1"/>
    <col min="9993" max="9993" width="14.42578125" style="16" bestFit="1" customWidth="1"/>
    <col min="9994" max="9994" width="15.7109375" style="16" bestFit="1" customWidth="1"/>
    <col min="9995" max="10241" width="9.140625" style="16"/>
    <col min="10242" max="10242" width="8" style="16" customWidth="1"/>
    <col min="10243" max="10243" width="6.85546875" style="16" customWidth="1"/>
    <col min="10244" max="10244" width="14" style="16" bestFit="1" customWidth="1"/>
    <col min="10245" max="10246" width="9.140625" style="16"/>
    <col min="10247" max="10247" width="10.28515625" style="16" customWidth="1"/>
    <col min="10248" max="10248" width="13" style="16" customWidth="1"/>
    <col min="10249" max="10249" width="14.42578125" style="16" bestFit="1" customWidth="1"/>
    <col min="10250" max="10250" width="15.7109375" style="16" bestFit="1" customWidth="1"/>
    <col min="10251" max="10497" width="9.140625" style="16"/>
    <col min="10498" max="10498" width="8" style="16" customWidth="1"/>
    <col min="10499" max="10499" width="6.85546875" style="16" customWidth="1"/>
    <col min="10500" max="10500" width="14" style="16" bestFit="1" customWidth="1"/>
    <col min="10501" max="10502" width="9.140625" style="16"/>
    <col min="10503" max="10503" width="10.28515625" style="16" customWidth="1"/>
    <col min="10504" max="10504" width="13" style="16" customWidth="1"/>
    <col min="10505" max="10505" width="14.42578125" style="16" bestFit="1" customWidth="1"/>
    <col min="10506" max="10506" width="15.7109375" style="16" bestFit="1" customWidth="1"/>
    <col min="10507" max="10753" width="9.140625" style="16"/>
    <col min="10754" max="10754" width="8" style="16" customWidth="1"/>
    <col min="10755" max="10755" width="6.85546875" style="16" customWidth="1"/>
    <col min="10756" max="10756" width="14" style="16" bestFit="1" customWidth="1"/>
    <col min="10757" max="10758" width="9.140625" style="16"/>
    <col min="10759" max="10759" width="10.28515625" style="16" customWidth="1"/>
    <col min="10760" max="10760" width="13" style="16" customWidth="1"/>
    <col min="10761" max="10761" width="14.42578125" style="16" bestFit="1" customWidth="1"/>
    <col min="10762" max="10762" width="15.7109375" style="16" bestFit="1" customWidth="1"/>
    <col min="10763" max="11009" width="9.140625" style="16"/>
    <col min="11010" max="11010" width="8" style="16" customWidth="1"/>
    <col min="11011" max="11011" width="6.85546875" style="16" customWidth="1"/>
    <col min="11012" max="11012" width="14" style="16" bestFit="1" customWidth="1"/>
    <col min="11013" max="11014" width="9.140625" style="16"/>
    <col min="11015" max="11015" width="10.28515625" style="16" customWidth="1"/>
    <col min="11016" max="11016" width="13" style="16" customWidth="1"/>
    <col min="11017" max="11017" width="14.42578125" style="16" bestFit="1" customWidth="1"/>
    <col min="11018" max="11018" width="15.7109375" style="16" bestFit="1" customWidth="1"/>
    <col min="11019" max="11265" width="9.140625" style="16"/>
    <col min="11266" max="11266" width="8" style="16" customWidth="1"/>
    <col min="11267" max="11267" width="6.85546875" style="16" customWidth="1"/>
    <col min="11268" max="11268" width="14" style="16" bestFit="1" customWidth="1"/>
    <col min="11269" max="11270" width="9.140625" style="16"/>
    <col min="11271" max="11271" width="10.28515625" style="16" customWidth="1"/>
    <col min="11272" max="11272" width="13" style="16" customWidth="1"/>
    <col min="11273" max="11273" width="14.42578125" style="16" bestFit="1" customWidth="1"/>
    <col min="11274" max="11274" width="15.7109375" style="16" bestFit="1" customWidth="1"/>
    <col min="11275" max="11521" width="9.140625" style="16"/>
    <col min="11522" max="11522" width="8" style="16" customWidth="1"/>
    <col min="11523" max="11523" width="6.85546875" style="16" customWidth="1"/>
    <col min="11524" max="11524" width="14" style="16" bestFit="1" customWidth="1"/>
    <col min="11525" max="11526" width="9.140625" style="16"/>
    <col min="11527" max="11527" width="10.28515625" style="16" customWidth="1"/>
    <col min="11528" max="11528" width="13" style="16" customWidth="1"/>
    <col min="11529" max="11529" width="14.42578125" style="16" bestFit="1" customWidth="1"/>
    <col min="11530" max="11530" width="15.7109375" style="16" bestFit="1" customWidth="1"/>
    <col min="11531" max="11777" width="9.140625" style="16"/>
    <col min="11778" max="11778" width="8" style="16" customWidth="1"/>
    <col min="11779" max="11779" width="6.85546875" style="16" customWidth="1"/>
    <col min="11780" max="11780" width="14" style="16" bestFit="1" customWidth="1"/>
    <col min="11781" max="11782" width="9.140625" style="16"/>
    <col min="11783" max="11783" width="10.28515625" style="16" customWidth="1"/>
    <col min="11784" max="11784" width="13" style="16" customWidth="1"/>
    <col min="11785" max="11785" width="14.42578125" style="16" bestFit="1" customWidth="1"/>
    <col min="11786" max="11786" width="15.7109375" style="16" bestFit="1" customWidth="1"/>
    <col min="11787" max="12033" width="9.140625" style="16"/>
    <col min="12034" max="12034" width="8" style="16" customWidth="1"/>
    <col min="12035" max="12035" width="6.85546875" style="16" customWidth="1"/>
    <col min="12036" max="12036" width="14" style="16" bestFit="1" customWidth="1"/>
    <col min="12037" max="12038" width="9.140625" style="16"/>
    <col min="12039" max="12039" width="10.28515625" style="16" customWidth="1"/>
    <col min="12040" max="12040" width="13" style="16" customWidth="1"/>
    <col min="12041" max="12041" width="14.42578125" style="16" bestFit="1" customWidth="1"/>
    <col min="12042" max="12042" width="15.7109375" style="16" bestFit="1" customWidth="1"/>
    <col min="12043" max="12289" width="9.140625" style="16"/>
    <col min="12290" max="12290" width="8" style="16" customWidth="1"/>
    <col min="12291" max="12291" width="6.85546875" style="16" customWidth="1"/>
    <col min="12292" max="12292" width="14" style="16" bestFit="1" customWidth="1"/>
    <col min="12293" max="12294" width="9.140625" style="16"/>
    <col min="12295" max="12295" width="10.28515625" style="16" customWidth="1"/>
    <col min="12296" max="12296" width="13" style="16" customWidth="1"/>
    <col min="12297" max="12297" width="14.42578125" style="16" bestFit="1" customWidth="1"/>
    <col min="12298" max="12298" width="15.7109375" style="16" bestFit="1" customWidth="1"/>
    <col min="12299" max="12545" width="9.140625" style="16"/>
    <col min="12546" max="12546" width="8" style="16" customWidth="1"/>
    <col min="12547" max="12547" width="6.85546875" style="16" customWidth="1"/>
    <col min="12548" max="12548" width="14" style="16" bestFit="1" customWidth="1"/>
    <col min="12549" max="12550" width="9.140625" style="16"/>
    <col min="12551" max="12551" width="10.28515625" style="16" customWidth="1"/>
    <col min="12552" max="12552" width="13" style="16" customWidth="1"/>
    <col min="12553" max="12553" width="14.42578125" style="16" bestFit="1" customWidth="1"/>
    <col min="12554" max="12554" width="15.7109375" style="16" bestFit="1" customWidth="1"/>
    <col min="12555" max="12801" width="9.140625" style="16"/>
    <col min="12802" max="12802" width="8" style="16" customWidth="1"/>
    <col min="12803" max="12803" width="6.85546875" style="16" customWidth="1"/>
    <col min="12804" max="12804" width="14" style="16" bestFit="1" customWidth="1"/>
    <col min="12805" max="12806" width="9.140625" style="16"/>
    <col min="12807" max="12807" width="10.28515625" style="16" customWidth="1"/>
    <col min="12808" max="12808" width="13" style="16" customWidth="1"/>
    <col min="12809" max="12809" width="14.42578125" style="16" bestFit="1" customWidth="1"/>
    <col min="12810" max="12810" width="15.7109375" style="16" bestFit="1" customWidth="1"/>
    <col min="12811" max="13057" width="9.140625" style="16"/>
    <col min="13058" max="13058" width="8" style="16" customWidth="1"/>
    <col min="13059" max="13059" width="6.85546875" style="16" customWidth="1"/>
    <col min="13060" max="13060" width="14" style="16" bestFit="1" customWidth="1"/>
    <col min="13061" max="13062" width="9.140625" style="16"/>
    <col min="13063" max="13063" width="10.28515625" style="16" customWidth="1"/>
    <col min="13064" max="13064" width="13" style="16" customWidth="1"/>
    <col min="13065" max="13065" width="14.42578125" style="16" bestFit="1" customWidth="1"/>
    <col min="13066" max="13066" width="15.7109375" style="16" bestFit="1" customWidth="1"/>
    <col min="13067" max="13313" width="9.140625" style="16"/>
    <col min="13314" max="13314" width="8" style="16" customWidth="1"/>
    <col min="13315" max="13315" width="6.85546875" style="16" customWidth="1"/>
    <col min="13316" max="13316" width="14" style="16" bestFit="1" customWidth="1"/>
    <col min="13317" max="13318" width="9.140625" style="16"/>
    <col min="13319" max="13319" width="10.28515625" style="16" customWidth="1"/>
    <col min="13320" max="13320" width="13" style="16" customWidth="1"/>
    <col min="13321" max="13321" width="14.42578125" style="16" bestFit="1" customWidth="1"/>
    <col min="13322" max="13322" width="15.7109375" style="16" bestFit="1" customWidth="1"/>
    <col min="13323" max="13569" width="9.140625" style="16"/>
    <col min="13570" max="13570" width="8" style="16" customWidth="1"/>
    <col min="13571" max="13571" width="6.85546875" style="16" customWidth="1"/>
    <col min="13572" max="13572" width="14" style="16" bestFit="1" customWidth="1"/>
    <col min="13573" max="13574" width="9.140625" style="16"/>
    <col min="13575" max="13575" width="10.28515625" style="16" customWidth="1"/>
    <col min="13576" max="13576" width="13" style="16" customWidth="1"/>
    <col min="13577" max="13577" width="14.42578125" style="16" bestFit="1" customWidth="1"/>
    <col min="13578" max="13578" width="15.7109375" style="16" bestFit="1" customWidth="1"/>
    <col min="13579" max="13825" width="9.140625" style="16"/>
    <col min="13826" max="13826" width="8" style="16" customWidth="1"/>
    <col min="13827" max="13827" width="6.85546875" style="16" customWidth="1"/>
    <col min="13828" max="13828" width="14" style="16" bestFit="1" customWidth="1"/>
    <col min="13829" max="13830" width="9.140625" style="16"/>
    <col min="13831" max="13831" width="10.28515625" style="16" customWidth="1"/>
    <col min="13832" max="13832" width="13" style="16" customWidth="1"/>
    <col min="13833" max="13833" width="14.42578125" style="16" bestFit="1" customWidth="1"/>
    <col min="13834" max="13834" width="15.7109375" style="16" bestFit="1" customWidth="1"/>
    <col min="13835" max="14081" width="9.140625" style="16"/>
    <col min="14082" max="14082" width="8" style="16" customWidth="1"/>
    <col min="14083" max="14083" width="6.85546875" style="16" customWidth="1"/>
    <col min="14084" max="14084" width="14" style="16" bestFit="1" customWidth="1"/>
    <col min="14085" max="14086" width="9.140625" style="16"/>
    <col min="14087" max="14087" width="10.28515625" style="16" customWidth="1"/>
    <col min="14088" max="14088" width="13" style="16" customWidth="1"/>
    <col min="14089" max="14089" width="14.42578125" style="16" bestFit="1" customWidth="1"/>
    <col min="14090" max="14090" width="15.7109375" style="16" bestFit="1" customWidth="1"/>
    <col min="14091" max="14337" width="9.140625" style="16"/>
    <col min="14338" max="14338" width="8" style="16" customWidth="1"/>
    <col min="14339" max="14339" width="6.85546875" style="16" customWidth="1"/>
    <col min="14340" max="14340" width="14" style="16" bestFit="1" customWidth="1"/>
    <col min="14341" max="14342" width="9.140625" style="16"/>
    <col min="14343" max="14343" width="10.28515625" style="16" customWidth="1"/>
    <col min="14344" max="14344" width="13" style="16" customWidth="1"/>
    <col min="14345" max="14345" width="14.42578125" style="16" bestFit="1" customWidth="1"/>
    <col min="14346" max="14346" width="15.7109375" style="16" bestFit="1" customWidth="1"/>
    <col min="14347" max="14593" width="9.140625" style="16"/>
    <col min="14594" max="14594" width="8" style="16" customWidth="1"/>
    <col min="14595" max="14595" width="6.85546875" style="16" customWidth="1"/>
    <col min="14596" max="14596" width="14" style="16" bestFit="1" customWidth="1"/>
    <col min="14597" max="14598" width="9.140625" style="16"/>
    <col min="14599" max="14599" width="10.28515625" style="16" customWidth="1"/>
    <col min="14600" max="14600" width="13" style="16" customWidth="1"/>
    <col min="14601" max="14601" width="14.42578125" style="16" bestFit="1" customWidth="1"/>
    <col min="14602" max="14602" width="15.7109375" style="16" bestFit="1" customWidth="1"/>
    <col min="14603" max="14849" width="9.140625" style="16"/>
    <col min="14850" max="14850" width="8" style="16" customWidth="1"/>
    <col min="14851" max="14851" width="6.85546875" style="16" customWidth="1"/>
    <col min="14852" max="14852" width="14" style="16" bestFit="1" customWidth="1"/>
    <col min="14853" max="14854" width="9.140625" style="16"/>
    <col min="14855" max="14855" width="10.28515625" style="16" customWidth="1"/>
    <col min="14856" max="14856" width="13" style="16" customWidth="1"/>
    <col min="14857" max="14857" width="14.42578125" style="16" bestFit="1" customWidth="1"/>
    <col min="14858" max="14858" width="15.7109375" style="16" bestFit="1" customWidth="1"/>
    <col min="14859" max="15105" width="9.140625" style="16"/>
    <col min="15106" max="15106" width="8" style="16" customWidth="1"/>
    <col min="15107" max="15107" width="6.85546875" style="16" customWidth="1"/>
    <col min="15108" max="15108" width="14" style="16" bestFit="1" customWidth="1"/>
    <col min="15109" max="15110" width="9.140625" style="16"/>
    <col min="15111" max="15111" width="10.28515625" style="16" customWidth="1"/>
    <col min="15112" max="15112" width="13" style="16" customWidth="1"/>
    <col min="15113" max="15113" width="14.42578125" style="16" bestFit="1" customWidth="1"/>
    <col min="15114" max="15114" width="15.7109375" style="16" bestFit="1" customWidth="1"/>
    <col min="15115" max="15361" width="9.140625" style="16"/>
    <col min="15362" max="15362" width="8" style="16" customWidth="1"/>
    <col min="15363" max="15363" width="6.85546875" style="16" customWidth="1"/>
    <col min="15364" max="15364" width="14" style="16" bestFit="1" customWidth="1"/>
    <col min="15365" max="15366" width="9.140625" style="16"/>
    <col min="15367" max="15367" width="10.28515625" style="16" customWidth="1"/>
    <col min="15368" max="15368" width="13" style="16" customWidth="1"/>
    <col min="15369" max="15369" width="14.42578125" style="16" bestFit="1" customWidth="1"/>
    <col min="15370" max="15370" width="15.7109375" style="16" bestFit="1" customWidth="1"/>
    <col min="15371" max="15617" width="9.140625" style="16"/>
    <col min="15618" max="15618" width="8" style="16" customWidth="1"/>
    <col min="15619" max="15619" width="6.85546875" style="16" customWidth="1"/>
    <col min="15620" max="15620" width="14" style="16" bestFit="1" customWidth="1"/>
    <col min="15621" max="15622" width="9.140625" style="16"/>
    <col min="15623" max="15623" width="10.28515625" style="16" customWidth="1"/>
    <col min="15624" max="15624" width="13" style="16" customWidth="1"/>
    <col min="15625" max="15625" width="14.42578125" style="16" bestFit="1" customWidth="1"/>
    <col min="15626" max="15626" width="15.7109375" style="16" bestFit="1" customWidth="1"/>
    <col min="15627" max="15873" width="9.140625" style="16"/>
    <col min="15874" max="15874" width="8" style="16" customWidth="1"/>
    <col min="15875" max="15875" width="6.85546875" style="16" customWidth="1"/>
    <col min="15876" max="15876" width="14" style="16" bestFit="1" customWidth="1"/>
    <col min="15877" max="15878" width="9.140625" style="16"/>
    <col min="15879" max="15879" width="10.28515625" style="16" customWidth="1"/>
    <col min="15880" max="15880" width="13" style="16" customWidth="1"/>
    <col min="15881" max="15881" width="14.42578125" style="16" bestFit="1" customWidth="1"/>
    <col min="15882" max="15882" width="15.7109375" style="16" bestFit="1" customWidth="1"/>
    <col min="15883" max="16129" width="9.140625" style="16"/>
    <col min="16130" max="16130" width="8" style="16" customWidth="1"/>
    <col min="16131" max="16131" width="6.85546875" style="16" customWidth="1"/>
    <col min="16132" max="16132" width="14" style="16" bestFit="1" customWidth="1"/>
    <col min="16133" max="16134" width="9.140625" style="16"/>
    <col min="16135" max="16135" width="10.28515625" style="16" customWidth="1"/>
    <col min="16136" max="16136" width="13" style="16" customWidth="1"/>
    <col min="16137" max="16137" width="14.42578125" style="16" bestFit="1" customWidth="1"/>
    <col min="16138" max="16138" width="15.7109375" style="16" bestFit="1" customWidth="1"/>
    <col min="16139" max="16384" width="9.140625" style="16"/>
  </cols>
  <sheetData>
    <row r="6" spans="2:10" ht="16.5" thickBot="1" x14ac:dyDescent="0.3"/>
    <row r="7" spans="2:10" x14ac:dyDescent="0.25">
      <c r="B7" s="676" t="s">
        <v>4</v>
      </c>
      <c r="C7" s="677"/>
      <c r="D7" s="677"/>
      <c r="E7" s="677"/>
      <c r="F7" s="677"/>
      <c r="G7" s="677"/>
      <c r="H7" s="677"/>
      <c r="I7" s="677"/>
      <c r="J7" s="678"/>
    </row>
    <row r="8" spans="2:10" x14ac:dyDescent="0.25">
      <c r="B8" s="679" t="s">
        <v>5</v>
      </c>
      <c r="C8" s="630"/>
      <c r="D8" s="630"/>
      <c r="E8" s="680" t="s">
        <v>6</v>
      </c>
      <c r="F8" s="630"/>
      <c r="G8" s="630"/>
      <c r="H8" s="680" t="s">
        <v>7</v>
      </c>
      <c r="I8" s="630"/>
      <c r="J8" s="681"/>
    </row>
    <row r="9" spans="2:10" ht="16.5" thickBot="1" x14ac:dyDescent="0.3">
      <c r="B9" s="682" t="s">
        <v>8</v>
      </c>
      <c r="C9" s="683"/>
      <c r="D9" s="683"/>
      <c r="E9" s="683"/>
      <c r="F9" s="17"/>
      <c r="G9" s="684" t="str">
        <f>"FONE: (45)3242-2210         V.:"&amp;GERAL!C26</f>
        <v>FONE: (45)3242-2210         V.:Versão: 45791</v>
      </c>
      <c r="H9" s="684"/>
      <c r="I9" s="684"/>
      <c r="J9" s="685"/>
    </row>
    <row r="10" spans="2:10" ht="16.5" thickBot="1" x14ac:dyDescent="0.3">
      <c r="E10" s="18"/>
      <c r="F10" s="18"/>
      <c r="G10" s="18"/>
      <c r="H10" s="19"/>
    </row>
    <row r="11" spans="2:10" x14ac:dyDescent="0.25">
      <c r="B11" s="20"/>
      <c r="C11" s="103" t="s">
        <v>66</v>
      </c>
      <c r="D11" s="21"/>
      <c r="E11" s="22"/>
      <c r="F11" s="22"/>
      <c r="G11" s="22"/>
      <c r="H11" s="23" t="s">
        <v>9</v>
      </c>
      <c r="I11" s="24">
        <f ca="1">TODAY()</f>
        <v>45828</v>
      </c>
      <c r="J11" s="25"/>
    </row>
    <row r="12" spans="2:10" x14ac:dyDescent="0.25">
      <c r="B12" s="26"/>
      <c r="J12" s="27"/>
    </row>
    <row r="13" spans="2:10" x14ac:dyDescent="0.25">
      <c r="B13" s="26"/>
      <c r="C13" s="28" t="s">
        <v>37</v>
      </c>
      <c r="D13" s="29"/>
      <c r="E13" s="691" t="str">
        <f>IF('PEDIDO VIA CLIENTE'!E13:I13&lt;&gt;0,'PEDIDO VIA CLIENTE'!E13:I13," ")</f>
        <v xml:space="preserve"> </v>
      </c>
      <c r="F13" s="689"/>
      <c r="G13" s="689"/>
      <c r="H13" s="689"/>
      <c r="I13" s="690"/>
      <c r="J13" s="30"/>
    </row>
    <row r="14" spans="2:10" x14ac:dyDescent="0.25">
      <c r="B14" s="26"/>
      <c r="C14" s="28" t="s">
        <v>38</v>
      </c>
      <c r="D14" s="29"/>
      <c r="E14" s="691" t="str">
        <f>IF('PEDIDO VIA CLIENTE'!E14:I14&lt;&gt;0,'PEDIDO VIA CLIENTE'!E14:I14," ")</f>
        <v xml:space="preserve"> </v>
      </c>
      <c r="F14" s="689"/>
      <c r="G14" s="689"/>
      <c r="H14" s="689"/>
      <c r="I14" s="690"/>
      <c r="J14" s="30"/>
    </row>
    <row r="15" spans="2:10" x14ac:dyDescent="0.25">
      <c r="B15" s="26"/>
      <c r="C15" s="31" t="s">
        <v>39</v>
      </c>
      <c r="E15" s="691" t="str">
        <f>IF('PEDIDO VIA CLIENTE'!E15:I15&lt;&gt;0,'PEDIDO VIA CLIENTE'!E15:I15," ")</f>
        <v xml:space="preserve"> </v>
      </c>
      <c r="F15" s="689"/>
      <c r="G15" s="689"/>
      <c r="H15" s="689"/>
      <c r="I15" s="690"/>
      <c r="J15" s="30"/>
    </row>
    <row r="16" spans="2:10" x14ac:dyDescent="0.25">
      <c r="B16" s="26"/>
      <c r="C16" s="28" t="s">
        <v>40</v>
      </c>
      <c r="D16" s="29"/>
      <c r="E16" s="78" t="str">
        <f>IF('PEDIDO VIA CLIENTE'!E16&lt;&gt;0,'PEDIDO VIA CLIENTE'!E16," ")</f>
        <v xml:space="preserve"> </v>
      </c>
      <c r="F16" s="543" t="s">
        <v>366</v>
      </c>
      <c r="G16" s="689" t="str">
        <f>IF('PEDIDO VIA CLIENTE'!G16:I16&lt;&gt;0,'PEDIDO VIA CLIENTE'!G16:I16," ")</f>
        <v xml:space="preserve"> </v>
      </c>
      <c r="H16" s="689"/>
      <c r="I16" s="690"/>
      <c r="J16" s="30"/>
    </row>
    <row r="17" spans="2:11" x14ac:dyDescent="0.25">
      <c r="B17" s="26"/>
      <c r="C17" s="31" t="s">
        <v>41</v>
      </c>
      <c r="E17" s="691" t="str">
        <f>IF('PEDIDO VIA CLIENTE'!E17:I17&lt;&gt;0,'PEDIDO VIA CLIENTE'!E17:I17," ")</f>
        <v xml:space="preserve"> </v>
      </c>
      <c r="F17" s="691"/>
      <c r="G17" s="691"/>
      <c r="H17" s="173" t="str">
        <f>'PEDIDO VIA CLIENTE'!H17:I17</f>
        <v>Nascimento:</v>
      </c>
      <c r="I17" s="171" t="str">
        <f>IF('PEDIDO VIA CLIENTE'!I17&lt;&gt;0,'PEDIDO VIA CLIENTE'!I17,"")</f>
        <v/>
      </c>
      <c r="J17" s="30"/>
      <c r="K17" s="32"/>
    </row>
    <row r="18" spans="2:11" x14ac:dyDescent="0.25">
      <c r="B18" s="26"/>
      <c r="C18" s="28" t="s">
        <v>42</v>
      </c>
      <c r="D18" s="29"/>
      <c r="E18" s="691" t="str">
        <f>IF('PEDIDO VIA CLIENTE'!E18:I18&lt;&gt;0,'PEDIDO VIA CLIENTE'!E18:I18," ")</f>
        <v xml:space="preserve"> </v>
      </c>
      <c r="F18" s="689"/>
      <c r="G18" s="689"/>
      <c r="H18" s="689"/>
      <c r="I18" s="690"/>
      <c r="J18" s="30"/>
    </row>
    <row r="19" spans="2:11" x14ac:dyDescent="0.25">
      <c r="B19" s="26"/>
      <c r="C19" s="28" t="s">
        <v>43</v>
      </c>
      <c r="D19" s="29"/>
      <c r="E19" s="691" t="str">
        <f>IF('PEDIDO VIA CLIENTE'!E19:I19&lt;&gt;0,'PEDIDO VIA CLIENTE'!E19:I19," ")</f>
        <v xml:space="preserve"> </v>
      </c>
      <c r="F19" s="689"/>
      <c r="G19" s="689"/>
      <c r="H19" s="689"/>
      <c r="I19" s="690"/>
      <c r="J19" s="30"/>
    </row>
    <row r="20" spans="2:11" x14ac:dyDescent="0.25">
      <c r="B20" s="26"/>
      <c r="J20" s="27"/>
    </row>
    <row r="21" spans="2:11" ht="16.5" thickBot="1" x14ac:dyDescent="0.3">
      <c r="B21" s="33"/>
      <c r="C21" s="17"/>
      <c r="D21" s="17"/>
      <c r="E21" s="17"/>
      <c r="F21" s="17"/>
      <c r="G21" s="17"/>
      <c r="H21" s="17"/>
      <c r="I21" s="17"/>
      <c r="J21" s="34"/>
    </row>
    <row r="22" spans="2:11" ht="16.5" thickBot="1" x14ac:dyDescent="0.3"/>
    <row r="23" spans="2:11" x14ac:dyDescent="0.25">
      <c r="B23" s="20"/>
      <c r="C23" s="21"/>
      <c r="D23" s="21"/>
      <c r="E23" s="21"/>
      <c r="F23" s="21"/>
      <c r="G23" s="21"/>
      <c r="H23" s="21"/>
      <c r="I23" s="21"/>
      <c r="J23" s="25"/>
    </row>
    <row r="24" spans="2:11" x14ac:dyDescent="0.25">
      <c r="B24" s="26"/>
      <c r="C24" s="28" t="s">
        <v>10</v>
      </c>
      <c r="D24" s="29"/>
      <c r="E24" s="691" t="str">
        <f>IF('PEDIDO VIA CLIENTE'!E24:I24&lt;&gt;0,'PEDIDO VIA CLIENTE'!E24:I24," ")</f>
        <v xml:space="preserve"> </v>
      </c>
      <c r="F24" s="689"/>
      <c r="G24" s="689"/>
      <c r="H24" s="689"/>
      <c r="I24" s="690"/>
      <c r="J24" s="27"/>
    </row>
    <row r="25" spans="2:11" x14ac:dyDescent="0.25">
      <c r="B25" s="26"/>
      <c r="C25" s="28" t="str">
        <f>'PEDIDO VIA CLIENTE'!C25</f>
        <v>Data Prov. Coleta..:</v>
      </c>
      <c r="D25" s="29"/>
      <c r="E25" s="686" t="str">
        <f>IF('PEDIDO VIA CLIENTE'!E25:I25&lt;&gt;0,'PEDIDO VIA CLIENTE'!E25:I25," ")</f>
        <v xml:space="preserve"> </v>
      </c>
      <c r="F25" s="687"/>
      <c r="G25" s="687"/>
      <c r="H25" s="687"/>
      <c r="I25" s="688"/>
      <c r="J25" s="27"/>
    </row>
    <row r="26" spans="2:11" x14ac:dyDescent="0.25">
      <c r="B26" s="26"/>
      <c r="C26" s="28" t="s">
        <v>11</v>
      </c>
      <c r="D26" s="35"/>
      <c r="E26" s="691" t="str">
        <f>IF('PEDIDO VIA CLIENTE'!E26:I26&lt;&gt;0,'PEDIDO VIA CLIENTE'!E26:I26," ")</f>
        <v xml:space="preserve"> </v>
      </c>
      <c r="F26" s="689"/>
      <c r="G26" s="689"/>
      <c r="H26" s="689"/>
      <c r="I26" s="690"/>
      <c r="J26" s="27"/>
    </row>
    <row r="27" spans="2:11" x14ac:dyDescent="0.25">
      <c r="B27" s="26"/>
      <c r="C27" s="28" t="s">
        <v>13</v>
      </c>
      <c r="D27" s="35"/>
      <c r="E27" s="691" t="str">
        <f>IF('PEDIDO VIA CLIENTE'!E27:I27&lt;&gt;0,'PEDIDO VIA CLIENTE'!E27:I27," ")</f>
        <v xml:space="preserve"> </v>
      </c>
      <c r="F27" s="689"/>
      <c r="G27" s="689"/>
      <c r="H27" s="689"/>
      <c r="I27" s="690"/>
      <c r="J27" s="27"/>
    </row>
    <row r="28" spans="2:11" x14ac:dyDescent="0.25">
      <c r="B28" s="26"/>
      <c r="C28" s="28" t="s">
        <v>14</v>
      </c>
      <c r="D28" s="35"/>
      <c r="E28" s="691" t="str">
        <f>IF('PEDIDO VIA CLIENTE'!E28:I28&lt;&gt;0,'PEDIDO VIA CLIENTE'!E28:I28," ")</f>
        <v xml:space="preserve"> </v>
      </c>
      <c r="F28" s="689"/>
      <c r="G28" s="689"/>
      <c r="H28" s="689"/>
      <c r="I28" s="690"/>
      <c r="J28" s="27"/>
    </row>
    <row r="29" spans="2:11" ht="16.5" thickBot="1" x14ac:dyDescent="0.3">
      <c r="B29" s="33"/>
      <c r="C29" s="209" t="str">
        <f>'PEDIDO VIA CLIENTE'!C29</f>
        <v>OBS: LAUDOS INCOMPLETOS OU INCORRETOS, SERÃO ALTERADOS A UM CUSTO DE R$25,00.</v>
      </c>
      <c r="D29" s="245"/>
      <c r="E29" s="247"/>
      <c r="F29" s="245"/>
      <c r="G29" s="245"/>
      <c r="H29" s="245"/>
      <c r="I29" s="245"/>
      <c r="J29" s="34"/>
    </row>
    <row r="30" spans="2:11" ht="16.5" thickBot="1" x14ac:dyDescent="0.3"/>
    <row r="31" spans="2:11" x14ac:dyDescent="0.25">
      <c r="B31" s="20"/>
      <c r="C31" s="21"/>
      <c r="D31" s="36"/>
      <c r="E31" s="21"/>
      <c r="F31" s="21"/>
      <c r="G31" s="21"/>
      <c r="H31" s="21"/>
      <c r="I31" s="21"/>
      <c r="J31" s="25"/>
    </row>
    <row r="32" spans="2:11" x14ac:dyDescent="0.25">
      <c r="B32" s="37" t="s">
        <v>15</v>
      </c>
      <c r="D32" s="38">
        <f>'PEDIDO VIA CLIENTE'!D32</f>
        <v>45838</v>
      </c>
      <c r="E32" s="32"/>
      <c r="G32" s="39" t="s">
        <v>16</v>
      </c>
      <c r="H32" s="40" t="str">
        <f>IF('PEDIDO VIA CLIENTE'!H32&lt;&gt;0, 'PEDIDO VIA CLIENTE'!H32," ")</f>
        <v xml:space="preserve"> </v>
      </c>
      <c r="J32" s="27"/>
    </row>
    <row r="33" spans="2:10" x14ac:dyDescent="0.25">
      <c r="B33" s="37" t="s">
        <v>44</v>
      </c>
      <c r="D33" s="38" t="str">
        <f>IF('PEDIDO VIA CLIENTE'!D33&lt;&gt;0,'PEDIDO VIA CLIENTE'!D33," ")</f>
        <v xml:space="preserve"> </v>
      </c>
      <c r="G33" s="39" t="s">
        <v>18</v>
      </c>
      <c r="H33" s="40" t="str">
        <f>IF('PEDIDO VIA CLIENTE'!H33&lt;&gt;0, 'PEDIDO VIA CLIENTE'!H33," ")</f>
        <v xml:space="preserve"> </v>
      </c>
      <c r="J33" s="27"/>
    </row>
    <row r="34" spans="2:10" x14ac:dyDescent="0.25">
      <c r="B34" s="37" t="s">
        <v>45</v>
      </c>
      <c r="D34" s="38" t="str">
        <f>IF('PEDIDO VIA CLIENTE'!D34&lt;&gt;0,'PEDIDO VIA CLIENTE'!D34," ")</f>
        <v xml:space="preserve"> </v>
      </c>
      <c r="E34" s="41" t="s">
        <v>20</v>
      </c>
      <c r="G34" s="39" t="s">
        <v>21</v>
      </c>
      <c r="H34" s="40" t="str">
        <f>IF('PEDIDO VIA CLIENTE'!H34&lt;&gt;0, 'PEDIDO VIA CLIENTE'!H34," ")</f>
        <v xml:space="preserve"> </v>
      </c>
      <c r="J34" s="27"/>
    </row>
    <row r="35" spans="2:10" x14ac:dyDescent="0.25">
      <c r="B35" s="37" t="s">
        <v>23</v>
      </c>
      <c r="D35" s="38" t="str">
        <f>IF('PEDIDO VIA CLIENTE'!D35&lt;&gt;0,'PEDIDO VIA CLIENTE'!D35," ")</f>
        <v xml:space="preserve"> </v>
      </c>
      <c r="E35" s="42"/>
      <c r="G35" s="43" t="str">
        <f>IF('INPUT DADOS'!B4="n","(**)"," ")</f>
        <v xml:space="preserve"> </v>
      </c>
      <c r="H35" s="44"/>
      <c r="J35" s="27"/>
    </row>
    <row r="36" spans="2:10" x14ac:dyDescent="0.25">
      <c r="B36" s="37" t="s">
        <v>24</v>
      </c>
      <c r="D36" s="38" t="str">
        <f>IF('PEDIDO VIA CLIENTE'!D36&lt;&gt;0,'PEDIDO VIA CLIENTE'!D36," ")</f>
        <v>VICTOR</v>
      </c>
      <c r="E36" s="42"/>
      <c r="G36" s="39"/>
      <c r="H36" s="44"/>
      <c r="J36" s="27"/>
    </row>
    <row r="37" spans="2:10" ht="16.5" thickBot="1" x14ac:dyDescent="0.3">
      <c r="B37" s="33"/>
      <c r="C37" s="17"/>
      <c r="D37" s="17"/>
      <c r="E37" s="17"/>
      <c r="F37" s="17"/>
      <c r="G37" s="17"/>
      <c r="H37" s="17"/>
      <c r="I37" s="17"/>
      <c r="J37" s="34"/>
    </row>
    <row r="38" spans="2:10" ht="16.5" thickBot="1" x14ac:dyDescent="0.3"/>
    <row r="39" spans="2:10" x14ac:dyDescent="0.25">
      <c r="B39" s="668" t="s">
        <v>25</v>
      </c>
      <c r="C39" s="669"/>
      <c r="D39" s="45" t="s">
        <v>26</v>
      </c>
      <c r="E39" s="669" t="s">
        <v>27</v>
      </c>
      <c r="F39" s="669"/>
      <c r="G39" s="669"/>
      <c r="H39" s="669"/>
      <c r="I39" s="45" t="s">
        <v>28</v>
      </c>
      <c r="J39" s="46" t="s">
        <v>29</v>
      </c>
    </row>
    <row r="40" spans="2:10" x14ac:dyDescent="0.25">
      <c r="B40" s="670">
        <f>'INPUT DADOS'!B5</f>
        <v>50</v>
      </c>
      <c r="C40" s="671"/>
      <c r="D40" s="156" t="s">
        <v>30</v>
      </c>
      <c r="E40" s="642" t="str">
        <f>IF('INPUT DADOS'!B3="n","SERVIÇO AGRICULTURA DE PRECISÃO","SERVIÇO A.P. - REANALISE")</f>
        <v>SERVIÇO AGRICULTURA DE PRECISÃO</v>
      </c>
      <c r="F40" s="643"/>
      <c r="G40" s="643"/>
      <c r="H40" s="644"/>
      <c r="I40" s="157">
        <f>J40/B40</f>
        <v>314.56072846455061</v>
      </c>
      <c r="J40" s="158">
        <f>(I50-J44-J43-J42-J41-J49-J48-J47-J46)</f>
        <v>15728.036423227531</v>
      </c>
    </row>
    <row r="41" spans="2:10" x14ac:dyDescent="0.25">
      <c r="B41" s="640">
        <f>'INPUT DADOS'!B21</f>
        <v>16</v>
      </c>
      <c r="C41" s="641"/>
      <c r="D41" s="156" t="s">
        <v>35</v>
      </c>
      <c r="E41" s="642" t="str">
        <f>"ANÁLISE COMPLETA "&amp; "(MACRO" &amp; IF('INPUT DADOS'!E4="X","+P_REM","") &amp; IF('INPUT DADOS'!E5="X","+S","") &amp; IF('INPUT DADOS'!E6="X","+MICRO","") &amp;")"</f>
        <v>ANÁLISE COMPLETA (MACRO+P_REM+S+MICRO)</v>
      </c>
      <c r="F41" s="643"/>
      <c r="G41" s="643"/>
      <c r="H41" s="644"/>
      <c r="I41" s="157">
        <f>'INPUT DADOS'!C21</f>
        <v>125.3</v>
      </c>
      <c r="J41" s="158">
        <f t="shared" ref="J41:J49" si="0">I41*B41</f>
        <v>2004.8</v>
      </c>
    </row>
    <row r="42" spans="2:10" x14ac:dyDescent="0.25">
      <c r="B42" s="631">
        <f>'INPUT DADOS'!B22</f>
        <v>25</v>
      </c>
      <c r="C42" s="632"/>
      <c r="D42" s="156" t="s">
        <v>35</v>
      </c>
      <c r="E42" s="642" t="str">
        <f>'INPUT DADOS'!A22</f>
        <v>ANÁLISES MACRO</v>
      </c>
      <c r="F42" s="643"/>
      <c r="G42" s="643"/>
      <c r="H42" s="644"/>
      <c r="I42" s="162">
        <f>'INPUT DADOS'!C22</f>
        <v>52.300000000000004</v>
      </c>
      <c r="J42" s="158">
        <f t="shared" si="0"/>
        <v>1307.5</v>
      </c>
    </row>
    <row r="43" spans="2:10" x14ac:dyDescent="0.25">
      <c r="B43" s="692">
        <f>'INPUT DADOS'!B24</f>
        <v>0</v>
      </c>
      <c r="C43" s="693"/>
      <c r="D43" s="156" t="s">
        <v>35</v>
      </c>
      <c r="E43" s="694" t="s">
        <v>93</v>
      </c>
      <c r="F43" s="643"/>
      <c r="G43" s="643"/>
      <c r="H43" s="644"/>
      <c r="I43" s="157">
        <f>'INPUT DADOS'!C24</f>
        <v>42.300000000000004</v>
      </c>
      <c r="J43" s="158">
        <f>I43*B43</f>
        <v>0</v>
      </c>
    </row>
    <row r="44" spans="2:10" x14ac:dyDescent="0.25">
      <c r="B44" s="692">
        <f>'INPUT DADOS'!B23</f>
        <v>4</v>
      </c>
      <c r="C44" s="693"/>
      <c r="D44" s="156" t="s">
        <v>35</v>
      </c>
      <c r="E44" s="199" t="s">
        <v>129</v>
      </c>
      <c r="F44" s="197"/>
      <c r="G44" s="197"/>
      <c r="H44" s="198"/>
      <c r="I44" s="157">
        <f>'INPUT DADOS'!C23</f>
        <v>70</v>
      </c>
      <c r="J44" s="158">
        <f>I44*B44</f>
        <v>280</v>
      </c>
    </row>
    <row r="45" spans="2:10" x14ac:dyDescent="0.25">
      <c r="B45" s="635"/>
      <c r="C45" s="636"/>
      <c r="D45" s="156"/>
      <c r="E45" s="695" t="str">
        <f>"GRID: ("&amp;'INPUT DADOS'!C6&amp;")      "&amp;'PEDIDO VIA CLIENTE'!E44:H44</f>
        <v>GRID: (2,95 ha/ponto)      DESCONTO DE -6,39%</v>
      </c>
      <c r="F45" s="696"/>
      <c r="G45" s="696"/>
      <c r="H45" s="697"/>
      <c r="I45" s="157">
        <f>'PEDIDO VIA CLIENTE'!I44</f>
        <v>-26.39765626689492</v>
      </c>
      <c r="J45" s="158">
        <f>I45*B45</f>
        <v>0</v>
      </c>
    </row>
    <row r="46" spans="2:10" x14ac:dyDescent="0.25">
      <c r="B46" s="698">
        <f>'PEDIDO VIA CLIENTE'!B45:C45</f>
        <v>0</v>
      </c>
      <c r="C46" s="699"/>
      <c r="D46" s="47">
        <f>'PEDIDO VIA CLIENTE'!D45</f>
        <v>0</v>
      </c>
      <c r="E46" s="700">
        <f>'PEDIDO VIA CLIENTE'!E45:H45</f>
        <v>0</v>
      </c>
      <c r="F46" s="691"/>
      <c r="G46" s="691"/>
      <c r="H46" s="701"/>
      <c r="I46" s="148">
        <f>'PEDIDO VIA CLIENTE'!I45</f>
        <v>0</v>
      </c>
      <c r="J46" s="125">
        <f t="shared" si="0"/>
        <v>0</v>
      </c>
    </row>
    <row r="47" spans="2:10" x14ac:dyDescent="0.25">
      <c r="B47" s="698">
        <f>'PEDIDO VIA CLIENTE'!B46:C46</f>
        <v>0</v>
      </c>
      <c r="C47" s="699"/>
      <c r="D47" s="47">
        <f>'PEDIDO VIA CLIENTE'!D46</f>
        <v>0</v>
      </c>
      <c r="E47" s="700">
        <f>'PEDIDO VIA CLIENTE'!E46:H46</f>
        <v>0</v>
      </c>
      <c r="F47" s="691"/>
      <c r="G47" s="691"/>
      <c r="H47" s="701"/>
      <c r="I47" s="148">
        <f>'PEDIDO VIA CLIENTE'!I46</f>
        <v>0</v>
      </c>
      <c r="J47" s="125">
        <f t="shared" si="0"/>
        <v>0</v>
      </c>
    </row>
    <row r="48" spans="2:10" x14ac:dyDescent="0.25">
      <c r="B48" s="698">
        <f>'PEDIDO VIA CLIENTE'!B47:C47</f>
        <v>0</v>
      </c>
      <c r="C48" s="699"/>
      <c r="D48" s="47">
        <f>'PEDIDO VIA CLIENTE'!D47</f>
        <v>0</v>
      </c>
      <c r="E48" s="700">
        <f>'PEDIDO VIA CLIENTE'!E47:H47</f>
        <v>0</v>
      </c>
      <c r="F48" s="691"/>
      <c r="G48" s="691"/>
      <c r="H48" s="701"/>
      <c r="I48" s="148">
        <f>'PEDIDO VIA CLIENTE'!I47</f>
        <v>0</v>
      </c>
      <c r="J48" s="125">
        <f t="shared" si="0"/>
        <v>0</v>
      </c>
    </row>
    <row r="49" spans="2:10" ht="16.5" thickBot="1" x14ac:dyDescent="0.3">
      <c r="B49" s="698">
        <f>'PEDIDO VIA CLIENTE'!B48:C48</f>
        <v>0</v>
      </c>
      <c r="C49" s="699"/>
      <c r="D49" s="527">
        <f>'PEDIDO VIA CLIENTE'!D48</f>
        <v>0</v>
      </c>
      <c r="E49" s="702">
        <f>'PEDIDO VIA CLIENTE'!E48:H48</f>
        <v>0</v>
      </c>
      <c r="F49" s="703"/>
      <c r="G49" s="703"/>
      <c r="H49" s="704"/>
      <c r="I49" s="148">
        <f>'PEDIDO VIA CLIENTE'!I48</f>
        <v>0</v>
      </c>
      <c r="J49" s="125">
        <f t="shared" si="0"/>
        <v>0</v>
      </c>
    </row>
    <row r="50" spans="2:10" ht="16.5" thickBot="1" x14ac:dyDescent="0.3">
      <c r="B50" s="708">
        <f>I50/B40</f>
        <v>386.40672846455061</v>
      </c>
      <c r="C50" s="709"/>
      <c r="E50" s="647" t="s">
        <v>31</v>
      </c>
      <c r="F50" s="647"/>
      <c r="G50" s="647"/>
      <c r="H50" s="647"/>
      <c r="I50" s="710">
        <f>'PEDIDO VIA CLIENTE'!I49</f>
        <v>19320.336423227531</v>
      </c>
      <c r="J50" s="711"/>
    </row>
    <row r="51" spans="2:10" x14ac:dyDescent="0.25">
      <c r="B51" s="629"/>
      <c r="C51" s="629"/>
      <c r="D51" s="32"/>
      <c r="E51" s="630"/>
      <c r="F51" s="630"/>
      <c r="G51" s="630"/>
      <c r="H51" s="630"/>
    </row>
    <row r="52" spans="2:10" x14ac:dyDescent="0.25">
      <c r="B52" s="51"/>
      <c r="C52" s="51"/>
      <c r="E52" s="52"/>
      <c r="F52" s="52"/>
      <c r="G52" s="52"/>
      <c r="H52" s="52"/>
    </row>
    <row r="53" spans="2:10" x14ac:dyDescent="0.25">
      <c r="B53" s="705" t="str">
        <f>IF('PEDIDO VIA CLIENTE'!B52&lt;&gt;0, 'PEDIDO VIA CLIENTE'!B52," ")</f>
        <v xml:space="preserve"> </v>
      </c>
      <c r="C53" s="706"/>
      <c r="D53" s="706"/>
      <c r="E53" s="706"/>
      <c r="F53" s="706"/>
      <c r="G53" s="706"/>
      <c r="H53" s="706"/>
      <c r="I53" s="706"/>
      <c r="J53" s="707"/>
    </row>
    <row r="54" spans="2:10" x14ac:dyDescent="0.25">
      <c r="B54" s="705" t="str">
        <f>IF('PEDIDO VIA CLIENTE'!B53&lt;&gt;0, 'PEDIDO VIA CLIENTE'!B53," ")</f>
        <v xml:space="preserve"> </v>
      </c>
      <c r="C54" s="706"/>
      <c r="D54" s="706"/>
      <c r="E54" s="706"/>
      <c r="F54" s="706"/>
      <c r="G54" s="706"/>
      <c r="H54" s="706"/>
      <c r="I54" s="706"/>
      <c r="J54" s="707"/>
    </row>
    <row r="55" spans="2:10" x14ac:dyDescent="0.25">
      <c r="B55" s="705" t="str">
        <f>IF('PEDIDO VIA CLIENTE'!B54&lt;&gt;0, 'PEDIDO VIA CLIENTE'!B54," ")</f>
        <v xml:space="preserve"> </v>
      </c>
      <c r="C55" s="706"/>
      <c r="D55" s="706"/>
      <c r="E55" s="706"/>
      <c r="F55" s="706"/>
      <c r="G55" s="706"/>
      <c r="H55" s="706"/>
      <c r="I55" s="706"/>
      <c r="J55" s="707"/>
    </row>
    <row r="56" spans="2:10" x14ac:dyDescent="0.25">
      <c r="B56" s="705" t="str">
        <f>IF('PEDIDO VIA CLIENTE'!B55&lt;&gt;0, 'PEDIDO VIA CLIENTE'!B55," ")</f>
        <v xml:space="preserve"> </v>
      </c>
      <c r="C56" s="706"/>
      <c r="D56" s="706"/>
      <c r="E56" s="706"/>
      <c r="F56" s="706"/>
      <c r="G56" s="706"/>
      <c r="H56" s="706"/>
      <c r="I56" s="706"/>
      <c r="J56" s="707"/>
    </row>
    <row r="57" spans="2:10" x14ac:dyDescent="0.25">
      <c r="B57" s="344" t="s">
        <v>196</v>
      </c>
      <c r="C57" s="54"/>
      <c r="D57" s="54"/>
      <c r="E57" s="54"/>
      <c r="F57" s="54"/>
      <c r="G57" s="54"/>
      <c r="H57" s="54"/>
      <c r="I57" s="54"/>
      <c r="J57" s="54"/>
    </row>
    <row r="59" spans="2:10" x14ac:dyDescent="0.25">
      <c r="B59" s="55" t="s">
        <v>32</v>
      </c>
      <c r="G59" s="55" t="s">
        <v>33</v>
      </c>
    </row>
    <row r="60" spans="2:10" x14ac:dyDescent="0.25">
      <c r="B60" s="55" t="s">
        <v>34</v>
      </c>
      <c r="G60" s="16" t="str">
        <f>E13</f>
        <v xml:space="preserve"> </v>
      </c>
    </row>
  </sheetData>
  <sheetProtection selectLockedCells="1"/>
  <customSheetViews>
    <customSheetView guid="{4DF33EC8-0990-451E-AB44-57256A4B0BF8}" showGridLines="0" topLeftCell="A28">
      <selection activeCell="B52" sqref="B52"/>
      <pageMargins left="0.511811024" right="0.511811024" top="0.78740157499999996" bottom="0.78740157499999996" header="0.31496062000000002" footer="0.31496062000000002"/>
    </customSheetView>
  </customSheetViews>
  <mergeCells count="48">
    <mergeCell ref="B53:J53"/>
    <mergeCell ref="B54:J54"/>
    <mergeCell ref="B55:J55"/>
    <mergeCell ref="B56:J56"/>
    <mergeCell ref="B50:C50"/>
    <mergeCell ref="E50:H50"/>
    <mergeCell ref="I50:J50"/>
    <mergeCell ref="B51:C51"/>
    <mergeCell ref="E51:H51"/>
    <mergeCell ref="B46:C46"/>
    <mergeCell ref="E46:H46"/>
    <mergeCell ref="B47:C47"/>
    <mergeCell ref="B48:C48"/>
    <mergeCell ref="B49:C49"/>
    <mergeCell ref="E49:H49"/>
    <mergeCell ref="E47:H47"/>
    <mergeCell ref="E48:H48"/>
    <mergeCell ref="B42:C42"/>
    <mergeCell ref="E42:H42"/>
    <mergeCell ref="B43:C43"/>
    <mergeCell ref="E43:H43"/>
    <mergeCell ref="B45:C45"/>
    <mergeCell ref="E45:H45"/>
    <mergeCell ref="B44:C44"/>
    <mergeCell ref="B41:C41"/>
    <mergeCell ref="E41:H41"/>
    <mergeCell ref="E13:I13"/>
    <mergeCell ref="E14:I14"/>
    <mergeCell ref="E15:I15"/>
    <mergeCell ref="E18:I18"/>
    <mergeCell ref="E19:I19"/>
    <mergeCell ref="B39:C39"/>
    <mergeCell ref="E39:H39"/>
    <mergeCell ref="B40:C40"/>
    <mergeCell ref="E40:H40"/>
    <mergeCell ref="E24:I24"/>
    <mergeCell ref="E26:I26"/>
    <mergeCell ref="E27:I27"/>
    <mergeCell ref="E28:I28"/>
    <mergeCell ref="E17:G17"/>
    <mergeCell ref="E25:I25"/>
    <mergeCell ref="B7:J7"/>
    <mergeCell ref="B8:D8"/>
    <mergeCell ref="E8:G8"/>
    <mergeCell ref="H8:J8"/>
    <mergeCell ref="B9:E9"/>
    <mergeCell ref="G9:J9"/>
    <mergeCell ref="G16:I16"/>
  </mergeCells>
  <conditionalFormatting sqref="B45:H49">
    <cfRule type="cellIs" dxfId="21" priority="1" operator="equal">
      <formula>0</formula>
    </cfRule>
  </conditionalFormatting>
  <printOptions horizontalCentered="1"/>
  <pageMargins left="0" right="0" top="0.78740157480314965" bottom="0.78740157480314965" header="0.31496062992125984" footer="0.31496062992125984"/>
  <pageSetup paperSize="9" scale="7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5">
    <pageSetUpPr fitToPage="1"/>
  </sheetPr>
  <dimension ref="A1:P37"/>
  <sheetViews>
    <sheetView showGridLines="0" zoomScale="105" zoomScaleNormal="105" workbookViewId="0">
      <selection activeCell="E7" sqref="E7"/>
    </sheetView>
  </sheetViews>
  <sheetFormatPr defaultColWidth="0" defaultRowHeight="15" zeroHeight="1" x14ac:dyDescent="0.25"/>
  <cols>
    <col min="1" max="1" width="15.28515625" style="69" customWidth="1"/>
    <col min="2" max="2" width="13.7109375" style="69" bestFit="1" customWidth="1"/>
    <col min="3" max="3" width="8.85546875" style="69" customWidth="1"/>
    <col min="4" max="4" width="9.5703125" style="69" customWidth="1"/>
    <col min="5" max="5" width="20.42578125" style="69" bestFit="1" customWidth="1"/>
    <col min="6" max="6" width="16.28515625" style="97" customWidth="1"/>
    <col min="7" max="7" width="14.85546875" style="69" customWidth="1"/>
    <col min="8" max="8" width="45.140625" style="69" customWidth="1"/>
    <col min="9" max="9" width="21.5703125" style="69" bestFit="1" customWidth="1"/>
    <col min="10" max="16" width="8.85546875" style="69" customWidth="1"/>
    <col min="17" max="16384" width="8.85546875" style="69" hidden="1"/>
  </cols>
  <sheetData>
    <row r="1" spans="1:9" s="82" customFormat="1" ht="15.75" x14ac:dyDescent="0.25">
      <c r="A1" s="83" t="s">
        <v>47</v>
      </c>
      <c r="F1" s="91"/>
      <c r="H1" s="243" t="s">
        <v>9</v>
      </c>
      <c r="I1" s="176">
        <f ca="1">TODAY()</f>
        <v>45828</v>
      </c>
    </row>
    <row r="2" spans="1:9" s="82" customFormat="1" ht="16.5" thickBot="1" x14ac:dyDescent="0.3">
      <c r="A2" s="83"/>
      <c r="F2" s="91"/>
    </row>
    <row r="3" spans="1:9" s="82" customFormat="1" ht="16.5" thickBot="1" x14ac:dyDescent="0.3">
      <c r="A3" s="712" t="s">
        <v>63</v>
      </c>
      <c r="B3" s="712"/>
      <c r="C3" s="712"/>
      <c r="D3" s="713"/>
      <c r="E3" s="242" t="s">
        <v>149</v>
      </c>
      <c r="F3" s="102" t="str">
        <f>IF(E3=""," ",IF(E3="s","SERÁ EMITIDA NF PARA CLIENTE", "SERVIÇO SEM NOTA FISCAL"))</f>
        <v>SERÁ EMITIDA NF PARA CLIENTE</v>
      </c>
    </row>
    <row r="4" spans="1:9" s="82" customFormat="1" ht="16.5" thickBot="1" x14ac:dyDescent="0.3">
      <c r="A4" s="712" t="s">
        <v>59</v>
      </c>
      <c r="B4" s="712"/>
      <c r="C4" s="712"/>
      <c r="D4" s="712"/>
      <c r="E4" s="110">
        <v>0</v>
      </c>
      <c r="F4" s="412" t="s">
        <v>233</v>
      </c>
      <c r="G4" s="413">
        <f>'BANCO DE DADOS'!B27</f>
        <v>45657</v>
      </c>
    </row>
    <row r="5" spans="1:9" s="82" customFormat="1" ht="16.5" thickBot="1" x14ac:dyDescent="0.3">
      <c r="A5" s="712" t="s">
        <v>232</v>
      </c>
      <c r="B5" s="712"/>
      <c r="C5" s="712"/>
      <c r="D5" s="712"/>
      <c r="E5" s="406">
        <v>45868</v>
      </c>
      <c r="F5" s="590">
        <f>IF(_xlfn.DAYS(E5,G4)&gt;0,(POWER(('BANCO DE DADOS'!B40+100)/100,(_xlfn.DAYS(E5,G4)/30))),1)</f>
        <v>1.1103958512968211</v>
      </c>
      <c r="G5" s="89"/>
    </row>
    <row r="6" spans="1:9" s="82" customFormat="1" ht="16.5" thickBot="1" x14ac:dyDescent="0.3">
      <c r="A6" s="712" t="s">
        <v>114</v>
      </c>
      <c r="B6" s="712"/>
      <c r="C6" s="712"/>
      <c r="D6" s="712"/>
      <c r="E6" s="519" t="s">
        <v>392</v>
      </c>
      <c r="F6" s="175">
        <f>IF(E6="S",SUM('INPUT DADOS'!D3:D5,'INPUT DADOS'!C24),SUM('INPUT DADOS'!D3:D5))</f>
        <v>105.3</v>
      </c>
      <c r="G6" s="89"/>
    </row>
    <row r="7" spans="1:9" s="82" customFormat="1" ht="16.5" thickBot="1" x14ac:dyDescent="0.3">
      <c r="A7" s="719" t="s">
        <v>373</v>
      </c>
      <c r="B7" s="712"/>
      <c r="C7" s="712"/>
      <c r="D7" s="712"/>
      <c r="E7" s="588">
        <v>0</v>
      </c>
      <c r="F7" s="175"/>
      <c r="G7" s="89"/>
    </row>
    <row r="8" spans="1:9" s="82" customFormat="1" ht="16.5" thickBot="1" x14ac:dyDescent="0.3">
      <c r="A8" s="84" t="s">
        <v>54</v>
      </c>
      <c r="B8" s="586" t="s">
        <v>374</v>
      </c>
      <c r="C8" s="720" t="s">
        <v>173</v>
      </c>
      <c r="D8" s="720"/>
      <c r="E8" s="241" t="s">
        <v>70</v>
      </c>
      <c r="F8" s="241" t="s">
        <v>71</v>
      </c>
      <c r="G8" s="241" t="s">
        <v>72</v>
      </c>
      <c r="H8" s="587" t="s">
        <v>57</v>
      </c>
      <c r="I8" s="591" t="s">
        <v>375</v>
      </c>
    </row>
    <row r="9" spans="1:9" s="82" customFormat="1" ht="16.5" thickTop="1" x14ac:dyDescent="0.25">
      <c r="A9" s="592">
        <v>1</v>
      </c>
      <c r="B9" s="593">
        <v>1</v>
      </c>
      <c r="C9" s="721">
        <v>2</v>
      </c>
      <c r="D9" s="721"/>
      <c r="E9" s="594">
        <f>IF(B9&gt;0,IF((B9*'BANCO DE DADOS'!$B$10+('BANCO DE DADOS'!$B$12*$E$4/$B$29*B9))&lt;(C9*'BANCO DE DADOS'!$B$8+('BANCO DE DADOS'!$B$12*$E$4/$B$29*B9)),(C9*'BANCO DE DADOS'!$B$8+('BANCO DE DADOS'!$B$12*$E$4/$B$29*B9)),(B9*'BANCO DE DADOS'!$B$10+('BANCO DE DADOS'!$B$12*$E$4/$B$29*B9))),0)*$F$5</f>
        <v>954.94043211526616</v>
      </c>
      <c r="F9" s="595">
        <f>IF(B9&gt;0,E9/B9,0)</f>
        <v>954.94043211526616</v>
      </c>
      <c r="G9" s="595">
        <f>IF(B9&gt;0,E9/C9,0)</f>
        <v>477.47021605763308</v>
      </c>
      <c r="H9" s="596"/>
      <c r="I9" s="597"/>
    </row>
    <row r="10" spans="1:9" s="82" customFormat="1" ht="15.75" x14ac:dyDescent="0.25">
      <c r="A10" s="598">
        <f>A9+1</f>
        <v>2</v>
      </c>
      <c r="B10" s="593"/>
      <c r="C10" s="721"/>
      <c r="D10" s="721"/>
      <c r="E10" s="595">
        <f>IF(B10&gt;0,IF((B10*'BANCO DE DADOS'!$B$10+('BANCO DE DADOS'!$B$12*$E$4/$B$29*B10))&lt;(C10*'BANCO DE DADOS'!$B$8+('BANCO DE DADOS'!$B$12*$E$4/$B$29*B10)),(C10*'BANCO DE DADOS'!$B$8+('BANCO DE DADOS'!$B$12*$E$4/$B$29*B10)),(B10*'BANCO DE DADOS'!$B$10+('BANCO DE DADOS'!$B$12*$E$4/$B$29*B10))),0)*$F$5</f>
        <v>0</v>
      </c>
      <c r="F10" s="599">
        <f t="shared" ref="F10:F28" si="0">IF(B10&gt;0,E10/B10,0)</f>
        <v>0</v>
      </c>
      <c r="G10" s="599">
        <f t="shared" ref="G10:G28" si="1">IF(B10&gt;0,E10/C10,0)</f>
        <v>0</v>
      </c>
      <c r="H10" s="596"/>
      <c r="I10" s="597"/>
    </row>
    <row r="11" spans="1:9" s="82" customFormat="1" ht="15.75" x14ac:dyDescent="0.25">
      <c r="A11" s="598">
        <f t="shared" ref="A11:A28" si="2">A10+1</f>
        <v>3</v>
      </c>
      <c r="B11" s="600"/>
      <c r="C11" s="715"/>
      <c r="D11" s="715"/>
      <c r="E11" s="595">
        <f>IF(B11&gt;0,IF((B11*'BANCO DE DADOS'!$B$10+('BANCO DE DADOS'!$B$12*$E$4/$B$29*B11))&lt;(C11*'BANCO DE DADOS'!$B$8+('BANCO DE DADOS'!$B$12*$E$4/$B$29*B11)),(C11*'BANCO DE DADOS'!$B$8+('BANCO DE DADOS'!$B$12*$E$4/$B$29*B11)),(B11*'BANCO DE DADOS'!$B$10+('BANCO DE DADOS'!$B$12*$E$4/$B$29*B11))),0)*$F$5</f>
        <v>0</v>
      </c>
      <c r="F11" s="599">
        <f t="shared" si="0"/>
        <v>0</v>
      </c>
      <c r="G11" s="599">
        <f t="shared" si="1"/>
        <v>0</v>
      </c>
      <c r="H11" s="596"/>
      <c r="I11" s="597"/>
    </row>
    <row r="12" spans="1:9" s="82" customFormat="1" ht="15.75" x14ac:dyDescent="0.25">
      <c r="A12" s="598">
        <f t="shared" si="2"/>
        <v>4</v>
      </c>
      <c r="B12" s="600"/>
      <c r="C12" s="715"/>
      <c r="D12" s="715"/>
      <c r="E12" s="595">
        <f>IF(B12&gt;0,IF((B12*'BANCO DE DADOS'!$B$10+('BANCO DE DADOS'!$B$12*$E$4/$B$29*B12))&lt;(C12*'BANCO DE DADOS'!$B$8+('BANCO DE DADOS'!$B$12*$E$4/$B$29*B12)),(C12*'BANCO DE DADOS'!$B$8+('BANCO DE DADOS'!$B$12*$E$4/$B$29*B12)),(B12*'BANCO DE DADOS'!$B$10+('BANCO DE DADOS'!$B$12*$E$4/$B$29*B12))),0)*$F$5</f>
        <v>0</v>
      </c>
      <c r="F12" s="599">
        <f t="shared" si="0"/>
        <v>0</v>
      </c>
      <c r="G12" s="599">
        <f t="shared" si="1"/>
        <v>0</v>
      </c>
      <c r="H12" s="596"/>
      <c r="I12" s="597"/>
    </row>
    <row r="13" spans="1:9" s="82" customFormat="1" ht="15.75" x14ac:dyDescent="0.25">
      <c r="A13" s="598">
        <f t="shared" si="2"/>
        <v>5</v>
      </c>
      <c r="B13" s="600"/>
      <c r="C13" s="715"/>
      <c r="D13" s="715"/>
      <c r="E13" s="595">
        <f>IF(B13&gt;0,IF((B13*'BANCO DE DADOS'!$B$10+('BANCO DE DADOS'!$B$12*$E$4/$B$29*B13))&lt;(C13*'BANCO DE DADOS'!$B$8+('BANCO DE DADOS'!$B$12*$E$4/$B$29*B13)),(C13*'BANCO DE DADOS'!$B$8+('BANCO DE DADOS'!$B$12*$E$4/$B$29*B13)),(B13*'BANCO DE DADOS'!$B$10+('BANCO DE DADOS'!$B$12*$E$4/$B$29*B13))),0)*$F$5</f>
        <v>0</v>
      </c>
      <c r="F13" s="599">
        <f t="shared" si="0"/>
        <v>0</v>
      </c>
      <c r="G13" s="599">
        <f t="shared" si="1"/>
        <v>0</v>
      </c>
      <c r="H13" s="596"/>
      <c r="I13" s="597"/>
    </row>
    <row r="14" spans="1:9" s="82" customFormat="1" ht="15.75" x14ac:dyDescent="0.25">
      <c r="A14" s="598">
        <f t="shared" si="2"/>
        <v>6</v>
      </c>
      <c r="B14" s="600"/>
      <c r="C14" s="715"/>
      <c r="D14" s="715"/>
      <c r="E14" s="595">
        <f>IF(B14&gt;0,IF((B14*'BANCO DE DADOS'!$B$10+('BANCO DE DADOS'!$B$12*$E$4/$B$29*B14))&lt;(C14*'BANCO DE DADOS'!$B$8+('BANCO DE DADOS'!$B$12*$E$4/$B$29*B14)),(C14*'BANCO DE DADOS'!$B$8+('BANCO DE DADOS'!$B$12*$E$4/$B$29*B14)),(B14*'BANCO DE DADOS'!$B$10+('BANCO DE DADOS'!$B$12*$E$4/$B$29*B14))),0)*$F$5</f>
        <v>0</v>
      </c>
      <c r="F14" s="599">
        <f t="shared" si="0"/>
        <v>0</v>
      </c>
      <c r="G14" s="599">
        <f t="shared" si="1"/>
        <v>0</v>
      </c>
      <c r="H14" s="596"/>
      <c r="I14" s="597"/>
    </row>
    <row r="15" spans="1:9" s="82" customFormat="1" ht="15.75" x14ac:dyDescent="0.25">
      <c r="A15" s="598">
        <f t="shared" si="2"/>
        <v>7</v>
      </c>
      <c r="B15" s="600"/>
      <c r="C15" s="715"/>
      <c r="D15" s="715"/>
      <c r="E15" s="595">
        <f>IF(B15&gt;0,IF((B15*'BANCO DE DADOS'!$B$10+('BANCO DE DADOS'!$B$12*$E$4/$B$29*B15))&lt;(C15*'BANCO DE DADOS'!$B$8+('BANCO DE DADOS'!$B$12*$E$4/$B$29*B15)),(C15*'BANCO DE DADOS'!$B$8+('BANCO DE DADOS'!$B$12*$E$4/$B$29*B15)),(B15*'BANCO DE DADOS'!$B$10+('BANCO DE DADOS'!$B$12*$E$4/$B$29*B15))),0)*$F$5</f>
        <v>0</v>
      </c>
      <c r="F15" s="599">
        <f t="shared" si="0"/>
        <v>0</v>
      </c>
      <c r="G15" s="599">
        <f t="shared" si="1"/>
        <v>0</v>
      </c>
      <c r="H15" s="596"/>
      <c r="I15" s="597"/>
    </row>
    <row r="16" spans="1:9" s="82" customFormat="1" ht="15.75" x14ac:dyDescent="0.25">
      <c r="A16" s="598">
        <f t="shared" si="2"/>
        <v>8</v>
      </c>
      <c r="B16" s="600"/>
      <c r="C16" s="715"/>
      <c r="D16" s="715"/>
      <c r="E16" s="595">
        <f>IF(B16&gt;0,IF((B16*'BANCO DE DADOS'!$B$10+('BANCO DE DADOS'!$B$12*$E$4/$B$29*B16))&lt;(C16*'BANCO DE DADOS'!$B$8+('BANCO DE DADOS'!$B$12*$E$4/$B$29*B16)),(C16*'BANCO DE DADOS'!$B$8+('BANCO DE DADOS'!$B$12*$E$4/$B$29*B16)),(B16*'BANCO DE DADOS'!$B$10+('BANCO DE DADOS'!$B$12*$E$4/$B$29*B16))),0)*$F$5</f>
        <v>0</v>
      </c>
      <c r="F16" s="599">
        <f t="shared" si="0"/>
        <v>0</v>
      </c>
      <c r="G16" s="599">
        <f t="shared" si="1"/>
        <v>0</v>
      </c>
      <c r="H16" s="596"/>
      <c r="I16" s="597"/>
    </row>
    <row r="17" spans="1:9" s="82" customFormat="1" ht="15.75" x14ac:dyDescent="0.25">
      <c r="A17" s="598">
        <f t="shared" si="2"/>
        <v>9</v>
      </c>
      <c r="B17" s="600"/>
      <c r="C17" s="715"/>
      <c r="D17" s="715"/>
      <c r="E17" s="595">
        <f>IF(B17&gt;0,IF((B17*'BANCO DE DADOS'!$B$10+('BANCO DE DADOS'!$B$12*$E$4/$B$29*B17))&lt;(C17*'BANCO DE DADOS'!$B$8+('BANCO DE DADOS'!$B$12*$E$4/$B$29*B17)),(C17*'BANCO DE DADOS'!$B$8+('BANCO DE DADOS'!$B$12*$E$4/$B$29*B17)),(B17*'BANCO DE DADOS'!$B$10+('BANCO DE DADOS'!$B$12*$E$4/$B$29*B17))),0)*$F$5</f>
        <v>0</v>
      </c>
      <c r="F17" s="599">
        <f t="shared" si="0"/>
        <v>0</v>
      </c>
      <c r="G17" s="599">
        <f t="shared" si="1"/>
        <v>0</v>
      </c>
      <c r="H17" s="596"/>
      <c r="I17" s="597"/>
    </row>
    <row r="18" spans="1:9" s="82" customFormat="1" ht="15.75" x14ac:dyDescent="0.25">
      <c r="A18" s="598">
        <f t="shared" si="2"/>
        <v>10</v>
      </c>
      <c r="B18" s="600"/>
      <c r="C18" s="715"/>
      <c r="D18" s="715"/>
      <c r="E18" s="595">
        <f>IF(B18&gt;0,IF((B18*'BANCO DE DADOS'!$B$10+('BANCO DE DADOS'!$B$12*$E$4/$B$29*B18))&lt;(C18*'BANCO DE DADOS'!$B$8+('BANCO DE DADOS'!$B$12*$E$4/$B$29*B18)),(C18*'BANCO DE DADOS'!$B$8+('BANCO DE DADOS'!$B$12*$E$4/$B$29*B18)),(B18*'BANCO DE DADOS'!$B$10+('BANCO DE DADOS'!$B$12*$E$4/$B$29*B18))),0)*$F$5</f>
        <v>0</v>
      </c>
      <c r="F18" s="599">
        <f t="shared" si="0"/>
        <v>0</v>
      </c>
      <c r="G18" s="599">
        <f t="shared" si="1"/>
        <v>0</v>
      </c>
      <c r="H18" s="596"/>
      <c r="I18" s="597"/>
    </row>
    <row r="19" spans="1:9" s="82" customFormat="1" ht="15.75" x14ac:dyDescent="0.25">
      <c r="A19" s="598">
        <f t="shared" si="2"/>
        <v>11</v>
      </c>
      <c r="B19" s="600"/>
      <c r="C19" s="715"/>
      <c r="D19" s="715"/>
      <c r="E19" s="595">
        <f>IF(B19&gt;0,IF((B19*'BANCO DE DADOS'!$B$10+('BANCO DE DADOS'!$B$12*$E$4/$B$29*B19))&lt;(C19*'BANCO DE DADOS'!$B$8+('BANCO DE DADOS'!$B$12*$E$4/$B$29*B19)),(C19*'BANCO DE DADOS'!$B$8+('BANCO DE DADOS'!$B$12*$E$4/$B$29*B19)),(B19*'BANCO DE DADOS'!$B$10+('BANCO DE DADOS'!$B$12*$E$4/$B$29*B19))),0)*$F$5</f>
        <v>0</v>
      </c>
      <c r="F19" s="599">
        <f t="shared" si="0"/>
        <v>0</v>
      </c>
      <c r="G19" s="599">
        <f t="shared" si="1"/>
        <v>0</v>
      </c>
      <c r="H19" s="596"/>
      <c r="I19" s="597"/>
    </row>
    <row r="20" spans="1:9" s="82" customFormat="1" ht="15.75" x14ac:dyDescent="0.25">
      <c r="A20" s="598">
        <f t="shared" si="2"/>
        <v>12</v>
      </c>
      <c r="B20" s="600"/>
      <c r="C20" s="715"/>
      <c r="D20" s="715"/>
      <c r="E20" s="595">
        <f>IF(B20&gt;0,IF((B20*'BANCO DE DADOS'!$B$10+('BANCO DE DADOS'!$B$12*$E$4/$B$29*B20))&lt;(C20*'BANCO DE DADOS'!$B$8+('BANCO DE DADOS'!$B$12*$E$4/$B$29*B20)),(C20*'BANCO DE DADOS'!$B$8+('BANCO DE DADOS'!$B$12*$E$4/$B$29*B20)),(B20*'BANCO DE DADOS'!$B$10+('BANCO DE DADOS'!$B$12*$E$4/$B$29*B20))),0)*$F$5</f>
        <v>0</v>
      </c>
      <c r="F20" s="599">
        <f t="shared" si="0"/>
        <v>0</v>
      </c>
      <c r="G20" s="599">
        <f t="shared" si="1"/>
        <v>0</v>
      </c>
      <c r="H20" s="596"/>
      <c r="I20" s="597"/>
    </row>
    <row r="21" spans="1:9" s="82" customFormat="1" ht="15.75" x14ac:dyDescent="0.25">
      <c r="A21" s="598">
        <f t="shared" si="2"/>
        <v>13</v>
      </c>
      <c r="B21" s="600"/>
      <c r="C21" s="715"/>
      <c r="D21" s="715"/>
      <c r="E21" s="595">
        <f>IF(B21&gt;0,IF((B21*'BANCO DE DADOS'!$B$10+('BANCO DE DADOS'!$B$12*$E$4/$B$29*B21))&lt;(C21*'BANCO DE DADOS'!$B$8+('BANCO DE DADOS'!$B$12*$E$4/$B$29*B21)),(C21*'BANCO DE DADOS'!$B$8+('BANCO DE DADOS'!$B$12*$E$4/$B$29*B21)),(B21*'BANCO DE DADOS'!$B$10+('BANCO DE DADOS'!$B$12*$E$4/$B$29*B21))),0)*$F$5</f>
        <v>0</v>
      </c>
      <c r="F21" s="599">
        <f t="shared" si="0"/>
        <v>0</v>
      </c>
      <c r="G21" s="599">
        <f t="shared" si="1"/>
        <v>0</v>
      </c>
      <c r="H21" s="596"/>
      <c r="I21" s="597"/>
    </row>
    <row r="22" spans="1:9" s="82" customFormat="1" ht="15.75" x14ac:dyDescent="0.25">
      <c r="A22" s="598">
        <f t="shared" si="2"/>
        <v>14</v>
      </c>
      <c r="B22" s="600"/>
      <c r="C22" s="715"/>
      <c r="D22" s="715"/>
      <c r="E22" s="595">
        <f>IF(B22&gt;0,IF((B22*'BANCO DE DADOS'!$B$10+('BANCO DE DADOS'!$B$12*$E$4/$B$29*B22))&lt;(C22*'BANCO DE DADOS'!$B$8+('BANCO DE DADOS'!$B$12*$E$4/$B$29*B22)),(C22*'BANCO DE DADOS'!$B$8+('BANCO DE DADOS'!$B$12*$E$4/$B$29*B22)),(B22*'BANCO DE DADOS'!$B$10+('BANCO DE DADOS'!$B$12*$E$4/$B$29*B22))),0)*$F$5</f>
        <v>0</v>
      </c>
      <c r="F22" s="599">
        <f t="shared" si="0"/>
        <v>0</v>
      </c>
      <c r="G22" s="599">
        <f t="shared" si="1"/>
        <v>0</v>
      </c>
      <c r="H22" s="596"/>
      <c r="I22" s="597"/>
    </row>
    <row r="23" spans="1:9" s="82" customFormat="1" ht="15.75" x14ac:dyDescent="0.25">
      <c r="A23" s="598">
        <f t="shared" si="2"/>
        <v>15</v>
      </c>
      <c r="B23" s="600"/>
      <c r="C23" s="715"/>
      <c r="D23" s="715"/>
      <c r="E23" s="595">
        <f>IF(B23&gt;0,IF((B23*'BANCO DE DADOS'!$B$10+('BANCO DE DADOS'!$B$12*$E$4/$B$29*B23))&lt;(C23*'BANCO DE DADOS'!$B$8+('BANCO DE DADOS'!$B$12*$E$4/$B$29*B23)),(C23*'BANCO DE DADOS'!$B$8+('BANCO DE DADOS'!$B$12*$E$4/$B$29*B23)),(B23*'BANCO DE DADOS'!$B$10+('BANCO DE DADOS'!$B$12*$E$4/$B$29*B23))),0)*$F$5</f>
        <v>0</v>
      </c>
      <c r="F23" s="599">
        <f t="shared" si="0"/>
        <v>0</v>
      </c>
      <c r="G23" s="599">
        <f t="shared" si="1"/>
        <v>0</v>
      </c>
      <c r="H23" s="596"/>
      <c r="I23" s="597"/>
    </row>
    <row r="24" spans="1:9" s="82" customFormat="1" ht="15.75" x14ac:dyDescent="0.25">
      <c r="A24" s="598">
        <f t="shared" si="2"/>
        <v>16</v>
      </c>
      <c r="B24" s="600"/>
      <c r="C24" s="715"/>
      <c r="D24" s="715"/>
      <c r="E24" s="595">
        <f>IF(B24&gt;0,IF((B24*'BANCO DE DADOS'!$B$10+('BANCO DE DADOS'!$B$12*$E$4/$B$29*B24))&lt;(C24*'BANCO DE DADOS'!$B$8+('BANCO DE DADOS'!$B$12*$E$4/$B$29*B24)),(C24*'BANCO DE DADOS'!$B$8+('BANCO DE DADOS'!$B$12*$E$4/$B$29*B24)),(B24*'BANCO DE DADOS'!$B$10+('BANCO DE DADOS'!$B$12*$E$4/$B$29*B24))),0)*$F$5</f>
        <v>0</v>
      </c>
      <c r="F24" s="599">
        <f t="shared" si="0"/>
        <v>0</v>
      </c>
      <c r="G24" s="599">
        <f t="shared" si="1"/>
        <v>0</v>
      </c>
      <c r="H24" s="596"/>
      <c r="I24" s="597"/>
    </row>
    <row r="25" spans="1:9" s="82" customFormat="1" ht="15.75" x14ac:dyDescent="0.25">
      <c r="A25" s="598">
        <f t="shared" si="2"/>
        <v>17</v>
      </c>
      <c r="B25" s="600"/>
      <c r="C25" s="715"/>
      <c r="D25" s="715"/>
      <c r="E25" s="595">
        <f>IF(B25&gt;0,IF((B25*'BANCO DE DADOS'!$B$10+('BANCO DE DADOS'!$B$12*$E$4/$B$29*B25))&lt;(C25*'BANCO DE DADOS'!$B$8+('BANCO DE DADOS'!$B$12*$E$4/$B$29*B25)),(C25*'BANCO DE DADOS'!$B$8+('BANCO DE DADOS'!$B$12*$E$4/$B$29*B25)),(B25*'BANCO DE DADOS'!$B$10+('BANCO DE DADOS'!$B$12*$E$4/$B$29*B25))),0)*$F$5</f>
        <v>0</v>
      </c>
      <c r="F25" s="599">
        <f t="shared" si="0"/>
        <v>0</v>
      </c>
      <c r="G25" s="599">
        <f t="shared" si="1"/>
        <v>0</v>
      </c>
      <c r="H25" s="596"/>
      <c r="I25" s="597"/>
    </row>
    <row r="26" spans="1:9" s="82" customFormat="1" ht="15.75" x14ac:dyDescent="0.25">
      <c r="A26" s="598">
        <f t="shared" si="2"/>
        <v>18</v>
      </c>
      <c r="B26" s="600"/>
      <c r="C26" s="715"/>
      <c r="D26" s="715"/>
      <c r="E26" s="595">
        <f>IF(B26&gt;0,IF((B26*'BANCO DE DADOS'!$B$10+('BANCO DE DADOS'!$B$12*$E$4/$B$29*B26))&lt;(C26*'BANCO DE DADOS'!$B$8+('BANCO DE DADOS'!$B$12*$E$4/$B$29*B26)),(C26*'BANCO DE DADOS'!$B$8+('BANCO DE DADOS'!$B$12*$E$4/$B$29*B26)),(B26*'BANCO DE DADOS'!$B$10+('BANCO DE DADOS'!$B$12*$E$4/$B$29*B26))),0)*$F$5</f>
        <v>0</v>
      </c>
      <c r="F26" s="599">
        <f t="shared" si="0"/>
        <v>0</v>
      </c>
      <c r="G26" s="599">
        <f t="shared" si="1"/>
        <v>0</v>
      </c>
      <c r="H26" s="596"/>
      <c r="I26" s="597"/>
    </row>
    <row r="27" spans="1:9" s="82" customFormat="1" ht="15.75" x14ac:dyDescent="0.25">
      <c r="A27" s="598">
        <f t="shared" si="2"/>
        <v>19</v>
      </c>
      <c r="B27" s="600"/>
      <c r="C27" s="715"/>
      <c r="D27" s="715"/>
      <c r="E27" s="595">
        <f>IF(B27&gt;0,IF((B27*'BANCO DE DADOS'!$B$10+('BANCO DE DADOS'!$B$12*$E$4/$B$29*B27))&lt;(C27*'BANCO DE DADOS'!$B$8+('BANCO DE DADOS'!$B$12*$E$4/$B$29*B27)),(C27*'BANCO DE DADOS'!$B$8+('BANCO DE DADOS'!$B$12*$E$4/$B$29*B27)),(B27*'BANCO DE DADOS'!$B$10+('BANCO DE DADOS'!$B$12*$E$4/$B$29*B27))),0)*$F$5</f>
        <v>0</v>
      </c>
      <c r="F27" s="599">
        <f t="shared" si="0"/>
        <v>0</v>
      </c>
      <c r="G27" s="599">
        <f t="shared" si="1"/>
        <v>0</v>
      </c>
      <c r="H27" s="596"/>
      <c r="I27" s="597"/>
    </row>
    <row r="28" spans="1:9" s="82" customFormat="1" ht="16.5" thickBot="1" x14ac:dyDescent="0.3">
      <c r="A28" s="601">
        <f t="shared" si="2"/>
        <v>20</v>
      </c>
      <c r="B28" s="602"/>
      <c r="C28" s="716"/>
      <c r="D28" s="716"/>
      <c r="E28" s="603">
        <f>IF(B28&gt;0,IF((B28*'BANCO DE DADOS'!$B$10+('BANCO DE DADOS'!$B$12*$E$4/$B$29*B28))&lt;(C28*'BANCO DE DADOS'!$B$8+('BANCO DE DADOS'!$B$12*$E$4/$B$29*B28)),(C28*'BANCO DE DADOS'!$B$8+('BANCO DE DADOS'!$B$12*$E$4/$B$29*B28)),(B28*'BANCO DE DADOS'!$B$10+('BANCO DE DADOS'!$B$12*$E$4/$B$29*B28))),0)*$F$5</f>
        <v>0</v>
      </c>
      <c r="F28" s="604">
        <f t="shared" si="0"/>
        <v>0</v>
      </c>
      <c r="G28" s="604">
        <f t="shared" si="1"/>
        <v>0</v>
      </c>
      <c r="H28" s="605"/>
      <c r="I28" s="606"/>
    </row>
    <row r="29" spans="1:9" s="82" customFormat="1" ht="16.5" thickBot="1" x14ac:dyDescent="0.3">
      <c r="A29" s="87" t="s">
        <v>58</v>
      </c>
      <c r="B29" s="607">
        <f>SUMIF(A9:A28,"&lt;&gt;0",B9:B28)</f>
        <v>1</v>
      </c>
      <c r="C29" s="717">
        <f>SUMIF(A9:A28,"&lt;&gt;0",C9:D28)</f>
        <v>2</v>
      </c>
      <c r="D29" s="718"/>
      <c r="E29" s="95"/>
      <c r="F29" s="608"/>
      <c r="G29" s="95"/>
      <c r="H29" s="609"/>
      <c r="I29" s="609"/>
    </row>
    <row r="30" spans="1:9" s="82" customFormat="1" ht="15.75" x14ac:dyDescent="0.25">
      <c r="A30" s="714" t="s">
        <v>133</v>
      </c>
      <c r="B30" s="714"/>
      <c r="C30" s="714"/>
      <c r="D30" s="714"/>
      <c r="E30" s="88">
        <f>SUM(E9:E28)+F30</f>
        <v>954.94043211526616</v>
      </c>
      <c r="F30" s="610">
        <f>IF('INPUT CONFERENCIA'!E7&gt;0,IF('INPUT CONFERENCIA'!C29*'INPUT CONFERENCIA'!E7&lt;=1,1,ROUND('INPUT CONFERENCIA'!E7*'INPUT CONFERENCIA'!C29,0)),0)*('INPUT DADOS'!C23+'BANCO DE DADOS'!B10)</f>
        <v>0</v>
      </c>
      <c r="G30" s="88"/>
    </row>
    <row r="31" spans="1:9" s="82" customFormat="1" ht="15.75" x14ac:dyDescent="0.25">
      <c r="A31" s="714" t="s">
        <v>132</v>
      </c>
      <c r="B31" s="714"/>
      <c r="C31" s="714"/>
      <c r="D31" s="714"/>
      <c r="E31" s="88">
        <f>E30/B29</f>
        <v>954.94043211526616</v>
      </c>
      <c r="F31" s="92"/>
      <c r="G31" s="89"/>
    </row>
    <row r="32" spans="1:9" s="82" customFormat="1" ht="15.75" x14ac:dyDescent="0.25">
      <c r="A32" s="714" t="s">
        <v>134</v>
      </c>
      <c r="B32" s="714"/>
      <c r="C32" s="714"/>
      <c r="D32" s="714"/>
      <c r="E32" s="88">
        <f>E30/C29</f>
        <v>477.47021605763308</v>
      </c>
      <c r="F32" s="92"/>
      <c r="G32" s="89"/>
    </row>
    <row r="33" spans="1:7" s="82" customFormat="1" ht="15.75" x14ac:dyDescent="0.25">
      <c r="A33" s="87"/>
      <c r="B33" s="87"/>
      <c r="C33" s="87"/>
      <c r="D33" s="87"/>
      <c r="E33" s="89"/>
      <c r="F33" s="92"/>
      <c r="G33" s="89"/>
    </row>
    <row r="34" spans="1:7" s="82" customFormat="1" ht="15.75" hidden="1" x14ac:dyDescent="0.25">
      <c r="A34" s="87"/>
      <c r="B34" s="87"/>
      <c r="C34" s="87"/>
      <c r="D34" s="87"/>
      <c r="E34" s="89"/>
      <c r="F34" s="92"/>
      <c r="G34" s="89"/>
    </row>
    <row r="35" spans="1:7" s="82" customFormat="1" ht="15.75" hidden="1" x14ac:dyDescent="0.25">
      <c r="A35" s="87"/>
      <c r="B35" s="87"/>
      <c r="C35" s="87"/>
      <c r="D35" s="87"/>
      <c r="E35" s="89"/>
      <c r="F35" s="92"/>
      <c r="G35" s="89"/>
    </row>
    <row r="36" spans="1:7" s="82" customFormat="1" ht="15.75" hidden="1" x14ac:dyDescent="0.25">
      <c r="A36" s="87"/>
      <c r="B36" s="87"/>
      <c r="C36" s="87"/>
      <c r="D36" s="87"/>
      <c r="E36" s="89"/>
      <c r="F36" s="92"/>
      <c r="G36" s="89"/>
    </row>
    <row r="37" spans="1:7" s="82" customFormat="1" ht="15.75" hidden="1" x14ac:dyDescent="0.25">
      <c r="A37" s="89"/>
      <c r="F37" s="91"/>
    </row>
  </sheetData>
  <sheetProtection selectLockedCells="1"/>
  <mergeCells count="30">
    <mergeCell ref="A31:D31"/>
    <mergeCell ref="A32:D32"/>
    <mergeCell ref="C11:D11"/>
    <mergeCell ref="A4:D4"/>
    <mergeCell ref="A5:D5"/>
    <mergeCell ref="C8:D8"/>
    <mergeCell ref="C9:D9"/>
    <mergeCell ref="C10:D10"/>
    <mergeCell ref="A6:D6"/>
    <mergeCell ref="C23:D23"/>
    <mergeCell ref="C12:D12"/>
    <mergeCell ref="C13:D13"/>
    <mergeCell ref="C14:D14"/>
    <mergeCell ref="C15:D15"/>
    <mergeCell ref="C16:D16"/>
    <mergeCell ref="C17:D17"/>
    <mergeCell ref="A3:D3"/>
    <mergeCell ref="A30:D30"/>
    <mergeCell ref="C24:D24"/>
    <mergeCell ref="C25:D25"/>
    <mergeCell ref="C26:D26"/>
    <mergeCell ref="C27:D27"/>
    <mergeCell ref="C28:D28"/>
    <mergeCell ref="C29:D29"/>
    <mergeCell ref="C18:D18"/>
    <mergeCell ref="C19:D19"/>
    <mergeCell ref="C20:D20"/>
    <mergeCell ref="C21:D21"/>
    <mergeCell ref="C22:D22"/>
    <mergeCell ref="A7:D7"/>
  </mergeCells>
  <conditionalFormatting sqref="E9:G32">
    <cfRule type="expression" dxfId="20" priority="2">
      <formula>OR($E$4="",$E$5="",$E$6="")</formula>
    </cfRule>
  </conditionalFormatting>
  <dataValidations count="3">
    <dataValidation allowBlank="1" showInputMessage="1" showErrorMessage="1" promptTitle="DD/MM/AA" sqref="E5" xr:uid="{6050D526-45C2-42FC-B6F8-A307A462CC00}"/>
    <dataValidation allowBlank="1" showInputMessage="1" showErrorMessage="1" prompt="Preencha com a quantidade de Análises no Talhão" sqref="C9:D28" xr:uid="{7F7BA38B-1CD0-405D-9B7B-8F9CFE410D18}"/>
    <dataValidation type="list" allowBlank="1" showInputMessage="1" showErrorMessage="1" sqref="E6" xr:uid="{339B0CEB-20DA-4ADB-9275-A93EE0E45067}">
      <formula1>"S,s,n,N"</formula1>
    </dataValidation>
  </dataValidations>
  <pageMargins left="0.511811024" right="0.511811024" top="0.78740157499999996" bottom="0.78740157499999996" header="0.31496062000000002" footer="0.31496062000000002"/>
  <pageSetup paperSize="9" scale="82" fitToHeight="0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6"/>
  <dimension ref="B6:K59"/>
  <sheetViews>
    <sheetView showGridLines="0" zoomScale="90" zoomScaleNormal="90" workbookViewId="0">
      <selection activeCell="E18" sqref="E18:I18"/>
    </sheetView>
  </sheetViews>
  <sheetFormatPr defaultColWidth="9.140625" defaultRowHeight="15.75" x14ac:dyDescent="0.25"/>
  <cols>
    <col min="1" max="1" width="9.140625" style="16"/>
    <col min="2" max="2" width="8" style="16" customWidth="1"/>
    <col min="3" max="3" width="6.85546875" style="16" customWidth="1"/>
    <col min="4" max="4" width="11.7109375" style="16" customWidth="1"/>
    <col min="5" max="6" width="9.140625" style="16"/>
    <col min="7" max="7" width="10.28515625" style="16" customWidth="1"/>
    <col min="8" max="8" width="13" style="16" customWidth="1"/>
    <col min="9" max="9" width="14.42578125" style="16" bestFit="1" customWidth="1"/>
    <col min="10" max="10" width="15.7109375" style="16" bestFit="1" customWidth="1"/>
    <col min="11" max="257" width="9.140625" style="16"/>
    <col min="258" max="258" width="8" style="16" customWidth="1"/>
    <col min="259" max="259" width="6.85546875" style="16" customWidth="1"/>
    <col min="260" max="260" width="14" style="16" bestFit="1" customWidth="1"/>
    <col min="261" max="262" width="9.140625" style="16"/>
    <col min="263" max="263" width="10.28515625" style="16" customWidth="1"/>
    <col min="264" max="264" width="13" style="16" customWidth="1"/>
    <col min="265" max="265" width="14.42578125" style="16" bestFit="1" customWidth="1"/>
    <col min="266" max="266" width="15.7109375" style="16" bestFit="1" customWidth="1"/>
    <col min="267" max="513" width="9.140625" style="16"/>
    <col min="514" max="514" width="8" style="16" customWidth="1"/>
    <col min="515" max="515" width="6.85546875" style="16" customWidth="1"/>
    <col min="516" max="516" width="14" style="16" bestFit="1" customWidth="1"/>
    <col min="517" max="518" width="9.140625" style="16"/>
    <col min="519" max="519" width="10.28515625" style="16" customWidth="1"/>
    <col min="520" max="520" width="13" style="16" customWidth="1"/>
    <col min="521" max="521" width="14.42578125" style="16" bestFit="1" customWidth="1"/>
    <col min="522" max="522" width="15.7109375" style="16" bestFit="1" customWidth="1"/>
    <col min="523" max="769" width="9.140625" style="16"/>
    <col min="770" max="770" width="8" style="16" customWidth="1"/>
    <col min="771" max="771" width="6.85546875" style="16" customWidth="1"/>
    <col min="772" max="772" width="14" style="16" bestFit="1" customWidth="1"/>
    <col min="773" max="774" width="9.140625" style="16"/>
    <col min="775" max="775" width="10.28515625" style="16" customWidth="1"/>
    <col min="776" max="776" width="13" style="16" customWidth="1"/>
    <col min="777" max="777" width="14.42578125" style="16" bestFit="1" customWidth="1"/>
    <col min="778" max="778" width="15.7109375" style="16" bestFit="1" customWidth="1"/>
    <col min="779" max="1025" width="9.140625" style="16"/>
    <col min="1026" max="1026" width="8" style="16" customWidth="1"/>
    <col min="1027" max="1027" width="6.85546875" style="16" customWidth="1"/>
    <col min="1028" max="1028" width="14" style="16" bestFit="1" customWidth="1"/>
    <col min="1029" max="1030" width="9.140625" style="16"/>
    <col min="1031" max="1031" width="10.28515625" style="16" customWidth="1"/>
    <col min="1032" max="1032" width="13" style="16" customWidth="1"/>
    <col min="1033" max="1033" width="14.42578125" style="16" bestFit="1" customWidth="1"/>
    <col min="1034" max="1034" width="15.7109375" style="16" bestFit="1" customWidth="1"/>
    <col min="1035" max="1281" width="9.140625" style="16"/>
    <col min="1282" max="1282" width="8" style="16" customWidth="1"/>
    <col min="1283" max="1283" width="6.85546875" style="16" customWidth="1"/>
    <col min="1284" max="1284" width="14" style="16" bestFit="1" customWidth="1"/>
    <col min="1285" max="1286" width="9.140625" style="16"/>
    <col min="1287" max="1287" width="10.28515625" style="16" customWidth="1"/>
    <col min="1288" max="1288" width="13" style="16" customWidth="1"/>
    <col min="1289" max="1289" width="14.42578125" style="16" bestFit="1" customWidth="1"/>
    <col min="1290" max="1290" width="15.7109375" style="16" bestFit="1" customWidth="1"/>
    <col min="1291" max="1537" width="9.140625" style="16"/>
    <col min="1538" max="1538" width="8" style="16" customWidth="1"/>
    <col min="1539" max="1539" width="6.85546875" style="16" customWidth="1"/>
    <col min="1540" max="1540" width="14" style="16" bestFit="1" customWidth="1"/>
    <col min="1541" max="1542" width="9.140625" style="16"/>
    <col min="1543" max="1543" width="10.28515625" style="16" customWidth="1"/>
    <col min="1544" max="1544" width="13" style="16" customWidth="1"/>
    <col min="1545" max="1545" width="14.42578125" style="16" bestFit="1" customWidth="1"/>
    <col min="1546" max="1546" width="15.7109375" style="16" bestFit="1" customWidth="1"/>
    <col min="1547" max="1793" width="9.140625" style="16"/>
    <col min="1794" max="1794" width="8" style="16" customWidth="1"/>
    <col min="1795" max="1795" width="6.85546875" style="16" customWidth="1"/>
    <col min="1796" max="1796" width="14" style="16" bestFit="1" customWidth="1"/>
    <col min="1797" max="1798" width="9.140625" style="16"/>
    <col min="1799" max="1799" width="10.28515625" style="16" customWidth="1"/>
    <col min="1800" max="1800" width="13" style="16" customWidth="1"/>
    <col min="1801" max="1801" width="14.42578125" style="16" bestFit="1" customWidth="1"/>
    <col min="1802" max="1802" width="15.7109375" style="16" bestFit="1" customWidth="1"/>
    <col min="1803" max="2049" width="9.140625" style="16"/>
    <col min="2050" max="2050" width="8" style="16" customWidth="1"/>
    <col min="2051" max="2051" width="6.85546875" style="16" customWidth="1"/>
    <col min="2052" max="2052" width="14" style="16" bestFit="1" customWidth="1"/>
    <col min="2053" max="2054" width="9.140625" style="16"/>
    <col min="2055" max="2055" width="10.28515625" style="16" customWidth="1"/>
    <col min="2056" max="2056" width="13" style="16" customWidth="1"/>
    <col min="2057" max="2057" width="14.42578125" style="16" bestFit="1" customWidth="1"/>
    <col min="2058" max="2058" width="15.7109375" style="16" bestFit="1" customWidth="1"/>
    <col min="2059" max="2305" width="9.140625" style="16"/>
    <col min="2306" max="2306" width="8" style="16" customWidth="1"/>
    <col min="2307" max="2307" width="6.85546875" style="16" customWidth="1"/>
    <col min="2308" max="2308" width="14" style="16" bestFit="1" customWidth="1"/>
    <col min="2309" max="2310" width="9.140625" style="16"/>
    <col min="2311" max="2311" width="10.28515625" style="16" customWidth="1"/>
    <col min="2312" max="2312" width="13" style="16" customWidth="1"/>
    <col min="2313" max="2313" width="14.42578125" style="16" bestFit="1" customWidth="1"/>
    <col min="2314" max="2314" width="15.7109375" style="16" bestFit="1" customWidth="1"/>
    <col min="2315" max="2561" width="9.140625" style="16"/>
    <col min="2562" max="2562" width="8" style="16" customWidth="1"/>
    <col min="2563" max="2563" width="6.85546875" style="16" customWidth="1"/>
    <col min="2564" max="2564" width="14" style="16" bestFit="1" customWidth="1"/>
    <col min="2565" max="2566" width="9.140625" style="16"/>
    <col min="2567" max="2567" width="10.28515625" style="16" customWidth="1"/>
    <col min="2568" max="2568" width="13" style="16" customWidth="1"/>
    <col min="2569" max="2569" width="14.42578125" style="16" bestFit="1" customWidth="1"/>
    <col min="2570" max="2570" width="15.7109375" style="16" bestFit="1" customWidth="1"/>
    <col min="2571" max="2817" width="9.140625" style="16"/>
    <col min="2818" max="2818" width="8" style="16" customWidth="1"/>
    <col min="2819" max="2819" width="6.85546875" style="16" customWidth="1"/>
    <col min="2820" max="2820" width="14" style="16" bestFit="1" customWidth="1"/>
    <col min="2821" max="2822" width="9.140625" style="16"/>
    <col min="2823" max="2823" width="10.28515625" style="16" customWidth="1"/>
    <col min="2824" max="2824" width="13" style="16" customWidth="1"/>
    <col min="2825" max="2825" width="14.42578125" style="16" bestFit="1" customWidth="1"/>
    <col min="2826" max="2826" width="15.7109375" style="16" bestFit="1" customWidth="1"/>
    <col min="2827" max="3073" width="9.140625" style="16"/>
    <col min="3074" max="3074" width="8" style="16" customWidth="1"/>
    <col min="3075" max="3075" width="6.85546875" style="16" customWidth="1"/>
    <col min="3076" max="3076" width="14" style="16" bestFit="1" customWidth="1"/>
    <col min="3077" max="3078" width="9.140625" style="16"/>
    <col min="3079" max="3079" width="10.28515625" style="16" customWidth="1"/>
    <col min="3080" max="3080" width="13" style="16" customWidth="1"/>
    <col min="3081" max="3081" width="14.42578125" style="16" bestFit="1" customWidth="1"/>
    <col min="3082" max="3082" width="15.7109375" style="16" bestFit="1" customWidth="1"/>
    <col min="3083" max="3329" width="9.140625" style="16"/>
    <col min="3330" max="3330" width="8" style="16" customWidth="1"/>
    <col min="3331" max="3331" width="6.85546875" style="16" customWidth="1"/>
    <col min="3332" max="3332" width="14" style="16" bestFit="1" customWidth="1"/>
    <col min="3333" max="3334" width="9.140625" style="16"/>
    <col min="3335" max="3335" width="10.28515625" style="16" customWidth="1"/>
    <col min="3336" max="3336" width="13" style="16" customWidth="1"/>
    <col min="3337" max="3337" width="14.42578125" style="16" bestFit="1" customWidth="1"/>
    <col min="3338" max="3338" width="15.7109375" style="16" bestFit="1" customWidth="1"/>
    <col min="3339" max="3585" width="9.140625" style="16"/>
    <col min="3586" max="3586" width="8" style="16" customWidth="1"/>
    <col min="3587" max="3587" width="6.85546875" style="16" customWidth="1"/>
    <col min="3588" max="3588" width="14" style="16" bestFit="1" customWidth="1"/>
    <col min="3589" max="3590" width="9.140625" style="16"/>
    <col min="3591" max="3591" width="10.28515625" style="16" customWidth="1"/>
    <col min="3592" max="3592" width="13" style="16" customWidth="1"/>
    <col min="3593" max="3593" width="14.42578125" style="16" bestFit="1" customWidth="1"/>
    <col min="3594" max="3594" width="15.7109375" style="16" bestFit="1" customWidth="1"/>
    <col min="3595" max="3841" width="9.140625" style="16"/>
    <col min="3842" max="3842" width="8" style="16" customWidth="1"/>
    <col min="3843" max="3843" width="6.85546875" style="16" customWidth="1"/>
    <col min="3844" max="3844" width="14" style="16" bestFit="1" customWidth="1"/>
    <col min="3845" max="3846" width="9.140625" style="16"/>
    <col min="3847" max="3847" width="10.28515625" style="16" customWidth="1"/>
    <col min="3848" max="3848" width="13" style="16" customWidth="1"/>
    <col min="3849" max="3849" width="14.42578125" style="16" bestFit="1" customWidth="1"/>
    <col min="3850" max="3850" width="15.7109375" style="16" bestFit="1" customWidth="1"/>
    <col min="3851" max="4097" width="9.140625" style="16"/>
    <col min="4098" max="4098" width="8" style="16" customWidth="1"/>
    <col min="4099" max="4099" width="6.85546875" style="16" customWidth="1"/>
    <col min="4100" max="4100" width="14" style="16" bestFit="1" customWidth="1"/>
    <col min="4101" max="4102" width="9.140625" style="16"/>
    <col min="4103" max="4103" width="10.28515625" style="16" customWidth="1"/>
    <col min="4104" max="4104" width="13" style="16" customWidth="1"/>
    <col min="4105" max="4105" width="14.42578125" style="16" bestFit="1" customWidth="1"/>
    <col min="4106" max="4106" width="15.7109375" style="16" bestFit="1" customWidth="1"/>
    <col min="4107" max="4353" width="9.140625" style="16"/>
    <col min="4354" max="4354" width="8" style="16" customWidth="1"/>
    <col min="4355" max="4355" width="6.85546875" style="16" customWidth="1"/>
    <col min="4356" max="4356" width="14" style="16" bestFit="1" customWidth="1"/>
    <col min="4357" max="4358" width="9.140625" style="16"/>
    <col min="4359" max="4359" width="10.28515625" style="16" customWidth="1"/>
    <col min="4360" max="4360" width="13" style="16" customWidth="1"/>
    <col min="4361" max="4361" width="14.42578125" style="16" bestFit="1" customWidth="1"/>
    <col min="4362" max="4362" width="15.7109375" style="16" bestFit="1" customWidth="1"/>
    <col min="4363" max="4609" width="9.140625" style="16"/>
    <col min="4610" max="4610" width="8" style="16" customWidth="1"/>
    <col min="4611" max="4611" width="6.85546875" style="16" customWidth="1"/>
    <col min="4612" max="4612" width="14" style="16" bestFit="1" customWidth="1"/>
    <col min="4613" max="4614" width="9.140625" style="16"/>
    <col min="4615" max="4615" width="10.28515625" style="16" customWidth="1"/>
    <col min="4616" max="4616" width="13" style="16" customWidth="1"/>
    <col min="4617" max="4617" width="14.42578125" style="16" bestFit="1" customWidth="1"/>
    <col min="4618" max="4618" width="15.7109375" style="16" bestFit="1" customWidth="1"/>
    <col min="4619" max="4865" width="9.140625" style="16"/>
    <col min="4866" max="4866" width="8" style="16" customWidth="1"/>
    <col min="4867" max="4867" width="6.85546875" style="16" customWidth="1"/>
    <col min="4868" max="4868" width="14" style="16" bestFit="1" customWidth="1"/>
    <col min="4869" max="4870" width="9.140625" style="16"/>
    <col min="4871" max="4871" width="10.28515625" style="16" customWidth="1"/>
    <col min="4872" max="4872" width="13" style="16" customWidth="1"/>
    <col min="4873" max="4873" width="14.42578125" style="16" bestFit="1" customWidth="1"/>
    <col min="4874" max="4874" width="15.7109375" style="16" bestFit="1" customWidth="1"/>
    <col min="4875" max="5121" width="9.140625" style="16"/>
    <col min="5122" max="5122" width="8" style="16" customWidth="1"/>
    <col min="5123" max="5123" width="6.85546875" style="16" customWidth="1"/>
    <col min="5124" max="5124" width="14" style="16" bestFit="1" customWidth="1"/>
    <col min="5125" max="5126" width="9.140625" style="16"/>
    <col min="5127" max="5127" width="10.28515625" style="16" customWidth="1"/>
    <col min="5128" max="5128" width="13" style="16" customWidth="1"/>
    <col min="5129" max="5129" width="14.42578125" style="16" bestFit="1" customWidth="1"/>
    <col min="5130" max="5130" width="15.7109375" style="16" bestFit="1" customWidth="1"/>
    <col min="5131" max="5377" width="9.140625" style="16"/>
    <col min="5378" max="5378" width="8" style="16" customWidth="1"/>
    <col min="5379" max="5379" width="6.85546875" style="16" customWidth="1"/>
    <col min="5380" max="5380" width="14" style="16" bestFit="1" customWidth="1"/>
    <col min="5381" max="5382" width="9.140625" style="16"/>
    <col min="5383" max="5383" width="10.28515625" style="16" customWidth="1"/>
    <col min="5384" max="5384" width="13" style="16" customWidth="1"/>
    <col min="5385" max="5385" width="14.42578125" style="16" bestFit="1" customWidth="1"/>
    <col min="5386" max="5386" width="15.7109375" style="16" bestFit="1" customWidth="1"/>
    <col min="5387" max="5633" width="9.140625" style="16"/>
    <col min="5634" max="5634" width="8" style="16" customWidth="1"/>
    <col min="5635" max="5635" width="6.85546875" style="16" customWidth="1"/>
    <col min="5636" max="5636" width="14" style="16" bestFit="1" customWidth="1"/>
    <col min="5637" max="5638" width="9.140625" style="16"/>
    <col min="5639" max="5639" width="10.28515625" style="16" customWidth="1"/>
    <col min="5640" max="5640" width="13" style="16" customWidth="1"/>
    <col min="5641" max="5641" width="14.42578125" style="16" bestFit="1" customWidth="1"/>
    <col min="5642" max="5642" width="15.7109375" style="16" bestFit="1" customWidth="1"/>
    <col min="5643" max="5889" width="9.140625" style="16"/>
    <col min="5890" max="5890" width="8" style="16" customWidth="1"/>
    <col min="5891" max="5891" width="6.85546875" style="16" customWidth="1"/>
    <col min="5892" max="5892" width="14" style="16" bestFit="1" customWidth="1"/>
    <col min="5893" max="5894" width="9.140625" style="16"/>
    <col min="5895" max="5895" width="10.28515625" style="16" customWidth="1"/>
    <col min="5896" max="5896" width="13" style="16" customWidth="1"/>
    <col min="5897" max="5897" width="14.42578125" style="16" bestFit="1" customWidth="1"/>
    <col min="5898" max="5898" width="15.7109375" style="16" bestFit="1" customWidth="1"/>
    <col min="5899" max="6145" width="9.140625" style="16"/>
    <col min="6146" max="6146" width="8" style="16" customWidth="1"/>
    <col min="6147" max="6147" width="6.85546875" style="16" customWidth="1"/>
    <col min="6148" max="6148" width="14" style="16" bestFit="1" customWidth="1"/>
    <col min="6149" max="6150" width="9.140625" style="16"/>
    <col min="6151" max="6151" width="10.28515625" style="16" customWidth="1"/>
    <col min="6152" max="6152" width="13" style="16" customWidth="1"/>
    <col min="6153" max="6153" width="14.42578125" style="16" bestFit="1" customWidth="1"/>
    <col min="6154" max="6154" width="15.7109375" style="16" bestFit="1" customWidth="1"/>
    <col min="6155" max="6401" width="9.140625" style="16"/>
    <col min="6402" max="6402" width="8" style="16" customWidth="1"/>
    <col min="6403" max="6403" width="6.85546875" style="16" customWidth="1"/>
    <col min="6404" max="6404" width="14" style="16" bestFit="1" customWidth="1"/>
    <col min="6405" max="6406" width="9.140625" style="16"/>
    <col min="6407" max="6407" width="10.28515625" style="16" customWidth="1"/>
    <col min="6408" max="6408" width="13" style="16" customWidth="1"/>
    <col min="6409" max="6409" width="14.42578125" style="16" bestFit="1" customWidth="1"/>
    <col min="6410" max="6410" width="15.7109375" style="16" bestFit="1" customWidth="1"/>
    <col min="6411" max="6657" width="9.140625" style="16"/>
    <col min="6658" max="6658" width="8" style="16" customWidth="1"/>
    <col min="6659" max="6659" width="6.85546875" style="16" customWidth="1"/>
    <col min="6660" max="6660" width="14" style="16" bestFit="1" customWidth="1"/>
    <col min="6661" max="6662" width="9.140625" style="16"/>
    <col min="6663" max="6663" width="10.28515625" style="16" customWidth="1"/>
    <col min="6664" max="6664" width="13" style="16" customWidth="1"/>
    <col min="6665" max="6665" width="14.42578125" style="16" bestFit="1" customWidth="1"/>
    <col min="6666" max="6666" width="15.7109375" style="16" bestFit="1" customWidth="1"/>
    <col min="6667" max="6913" width="9.140625" style="16"/>
    <col min="6914" max="6914" width="8" style="16" customWidth="1"/>
    <col min="6915" max="6915" width="6.85546875" style="16" customWidth="1"/>
    <col min="6916" max="6916" width="14" style="16" bestFit="1" customWidth="1"/>
    <col min="6917" max="6918" width="9.140625" style="16"/>
    <col min="6919" max="6919" width="10.28515625" style="16" customWidth="1"/>
    <col min="6920" max="6920" width="13" style="16" customWidth="1"/>
    <col min="6921" max="6921" width="14.42578125" style="16" bestFit="1" customWidth="1"/>
    <col min="6922" max="6922" width="15.7109375" style="16" bestFit="1" customWidth="1"/>
    <col min="6923" max="7169" width="9.140625" style="16"/>
    <col min="7170" max="7170" width="8" style="16" customWidth="1"/>
    <col min="7171" max="7171" width="6.85546875" style="16" customWidth="1"/>
    <col min="7172" max="7172" width="14" style="16" bestFit="1" customWidth="1"/>
    <col min="7173" max="7174" width="9.140625" style="16"/>
    <col min="7175" max="7175" width="10.28515625" style="16" customWidth="1"/>
    <col min="7176" max="7176" width="13" style="16" customWidth="1"/>
    <col min="7177" max="7177" width="14.42578125" style="16" bestFit="1" customWidth="1"/>
    <col min="7178" max="7178" width="15.7109375" style="16" bestFit="1" customWidth="1"/>
    <col min="7179" max="7425" width="9.140625" style="16"/>
    <col min="7426" max="7426" width="8" style="16" customWidth="1"/>
    <col min="7427" max="7427" width="6.85546875" style="16" customWidth="1"/>
    <col min="7428" max="7428" width="14" style="16" bestFit="1" customWidth="1"/>
    <col min="7429" max="7430" width="9.140625" style="16"/>
    <col min="7431" max="7431" width="10.28515625" style="16" customWidth="1"/>
    <col min="7432" max="7432" width="13" style="16" customWidth="1"/>
    <col min="7433" max="7433" width="14.42578125" style="16" bestFit="1" customWidth="1"/>
    <col min="7434" max="7434" width="15.7109375" style="16" bestFit="1" customWidth="1"/>
    <col min="7435" max="7681" width="9.140625" style="16"/>
    <col min="7682" max="7682" width="8" style="16" customWidth="1"/>
    <col min="7683" max="7683" width="6.85546875" style="16" customWidth="1"/>
    <col min="7684" max="7684" width="14" style="16" bestFit="1" customWidth="1"/>
    <col min="7685" max="7686" width="9.140625" style="16"/>
    <col min="7687" max="7687" width="10.28515625" style="16" customWidth="1"/>
    <col min="7688" max="7688" width="13" style="16" customWidth="1"/>
    <col min="7689" max="7689" width="14.42578125" style="16" bestFit="1" customWidth="1"/>
    <col min="7690" max="7690" width="15.7109375" style="16" bestFit="1" customWidth="1"/>
    <col min="7691" max="7937" width="9.140625" style="16"/>
    <col min="7938" max="7938" width="8" style="16" customWidth="1"/>
    <col min="7939" max="7939" width="6.85546875" style="16" customWidth="1"/>
    <col min="7940" max="7940" width="14" style="16" bestFit="1" customWidth="1"/>
    <col min="7941" max="7942" width="9.140625" style="16"/>
    <col min="7943" max="7943" width="10.28515625" style="16" customWidth="1"/>
    <col min="7944" max="7944" width="13" style="16" customWidth="1"/>
    <col min="7945" max="7945" width="14.42578125" style="16" bestFit="1" customWidth="1"/>
    <col min="7946" max="7946" width="15.7109375" style="16" bestFit="1" customWidth="1"/>
    <col min="7947" max="8193" width="9.140625" style="16"/>
    <col min="8194" max="8194" width="8" style="16" customWidth="1"/>
    <col min="8195" max="8195" width="6.85546875" style="16" customWidth="1"/>
    <col min="8196" max="8196" width="14" style="16" bestFit="1" customWidth="1"/>
    <col min="8197" max="8198" width="9.140625" style="16"/>
    <col min="8199" max="8199" width="10.28515625" style="16" customWidth="1"/>
    <col min="8200" max="8200" width="13" style="16" customWidth="1"/>
    <col min="8201" max="8201" width="14.42578125" style="16" bestFit="1" customWidth="1"/>
    <col min="8202" max="8202" width="15.7109375" style="16" bestFit="1" customWidth="1"/>
    <col min="8203" max="8449" width="9.140625" style="16"/>
    <col min="8450" max="8450" width="8" style="16" customWidth="1"/>
    <col min="8451" max="8451" width="6.85546875" style="16" customWidth="1"/>
    <col min="8452" max="8452" width="14" style="16" bestFit="1" customWidth="1"/>
    <col min="8453" max="8454" width="9.140625" style="16"/>
    <col min="8455" max="8455" width="10.28515625" style="16" customWidth="1"/>
    <col min="8456" max="8456" width="13" style="16" customWidth="1"/>
    <col min="8457" max="8457" width="14.42578125" style="16" bestFit="1" customWidth="1"/>
    <col min="8458" max="8458" width="15.7109375" style="16" bestFit="1" customWidth="1"/>
    <col min="8459" max="8705" width="9.140625" style="16"/>
    <col min="8706" max="8706" width="8" style="16" customWidth="1"/>
    <col min="8707" max="8707" width="6.85546875" style="16" customWidth="1"/>
    <col min="8708" max="8708" width="14" style="16" bestFit="1" customWidth="1"/>
    <col min="8709" max="8710" width="9.140625" style="16"/>
    <col min="8711" max="8711" width="10.28515625" style="16" customWidth="1"/>
    <col min="8712" max="8712" width="13" style="16" customWidth="1"/>
    <col min="8713" max="8713" width="14.42578125" style="16" bestFit="1" customWidth="1"/>
    <col min="8714" max="8714" width="15.7109375" style="16" bestFit="1" customWidth="1"/>
    <col min="8715" max="8961" width="9.140625" style="16"/>
    <col min="8962" max="8962" width="8" style="16" customWidth="1"/>
    <col min="8963" max="8963" width="6.85546875" style="16" customWidth="1"/>
    <col min="8964" max="8964" width="14" style="16" bestFit="1" customWidth="1"/>
    <col min="8965" max="8966" width="9.140625" style="16"/>
    <col min="8967" max="8967" width="10.28515625" style="16" customWidth="1"/>
    <col min="8968" max="8968" width="13" style="16" customWidth="1"/>
    <col min="8969" max="8969" width="14.42578125" style="16" bestFit="1" customWidth="1"/>
    <col min="8970" max="8970" width="15.7109375" style="16" bestFit="1" customWidth="1"/>
    <col min="8971" max="9217" width="9.140625" style="16"/>
    <col min="9218" max="9218" width="8" style="16" customWidth="1"/>
    <col min="9219" max="9219" width="6.85546875" style="16" customWidth="1"/>
    <col min="9220" max="9220" width="14" style="16" bestFit="1" customWidth="1"/>
    <col min="9221" max="9222" width="9.140625" style="16"/>
    <col min="9223" max="9223" width="10.28515625" style="16" customWidth="1"/>
    <col min="9224" max="9224" width="13" style="16" customWidth="1"/>
    <col min="9225" max="9225" width="14.42578125" style="16" bestFit="1" customWidth="1"/>
    <col min="9226" max="9226" width="15.7109375" style="16" bestFit="1" customWidth="1"/>
    <col min="9227" max="9473" width="9.140625" style="16"/>
    <col min="9474" max="9474" width="8" style="16" customWidth="1"/>
    <col min="9475" max="9475" width="6.85546875" style="16" customWidth="1"/>
    <col min="9476" max="9476" width="14" style="16" bestFit="1" customWidth="1"/>
    <col min="9477" max="9478" width="9.140625" style="16"/>
    <col min="9479" max="9479" width="10.28515625" style="16" customWidth="1"/>
    <col min="9480" max="9480" width="13" style="16" customWidth="1"/>
    <col min="9481" max="9481" width="14.42578125" style="16" bestFit="1" customWidth="1"/>
    <col min="9482" max="9482" width="15.7109375" style="16" bestFit="1" customWidth="1"/>
    <col min="9483" max="9729" width="9.140625" style="16"/>
    <col min="9730" max="9730" width="8" style="16" customWidth="1"/>
    <col min="9731" max="9731" width="6.85546875" style="16" customWidth="1"/>
    <col min="9732" max="9732" width="14" style="16" bestFit="1" customWidth="1"/>
    <col min="9733" max="9734" width="9.140625" style="16"/>
    <col min="9735" max="9735" width="10.28515625" style="16" customWidth="1"/>
    <col min="9736" max="9736" width="13" style="16" customWidth="1"/>
    <col min="9737" max="9737" width="14.42578125" style="16" bestFit="1" customWidth="1"/>
    <col min="9738" max="9738" width="15.7109375" style="16" bestFit="1" customWidth="1"/>
    <col min="9739" max="9985" width="9.140625" style="16"/>
    <col min="9986" max="9986" width="8" style="16" customWidth="1"/>
    <col min="9987" max="9987" width="6.85546875" style="16" customWidth="1"/>
    <col min="9988" max="9988" width="14" style="16" bestFit="1" customWidth="1"/>
    <col min="9989" max="9990" width="9.140625" style="16"/>
    <col min="9991" max="9991" width="10.28515625" style="16" customWidth="1"/>
    <col min="9992" max="9992" width="13" style="16" customWidth="1"/>
    <col min="9993" max="9993" width="14.42578125" style="16" bestFit="1" customWidth="1"/>
    <col min="9994" max="9994" width="15.7109375" style="16" bestFit="1" customWidth="1"/>
    <col min="9995" max="10241" width="9.140625" style="16"/>
    <col min="10242" max="10242" width="8" style="16" customWidth="1"/>
    <col min="10243" max="10243" width="6.85546875" style="16" customWidth="1"/>
    <col min="10244" max="10244" width="14" style="16" bestFit="1" customWidth="1"/>
    <col min="10245" max="10246" width="9.140625" style="16"/>
    <col min="10247" max="10247" width="10.28515625" style="16" customWidth="1"/>
    <col min="10248" max="10248" width="13" style="16" customWidth="1"/>
    <col min="10249" max="10249" width="14.42578125" style="16" bestFit="1" customWidth="1"/>
    <col min="10250" max="10250" width="15.7109375" style="16" bestFit="1" customWidth="1"/>
    <col min="10251" max="10497" width="9.140625" style="16"/>
    <col min="10498" max="10498" width="8" style="16" customWidth="1"/>
    <col min="10499" max="10499" width="6.85546875" style="16" customWidth="1"/>
    <col min="10500" max="10500" width="14" style="16" bestFit="1" customWidth="1"/>
    <col min="10501" max="10502" width="9.140625" style="16"/>
    <col min="10503" max="10503" width="10.28515625" style="16" customWidth="1"/>
    <col min="10504" max="10504" width="13" style="16" customWidth="1"/>
    <col min="10505" max="10505" width="14.42578125" style="16" bestFit="1" customWidth="1"/>
    <col min="10506" max="10506" width="15.7109375" style="16" bestFit="1" customWidth="1"/>
    <col min="10507" max="10753" width="9.140625" style="16"/>
    <col min="10754" max="10754" width="8" style="16" customWidth="1"/>
    <col min="10755" max="10755" width="6.85546875" style="16" customWidth="1"/>
    <col min="10756" max="10756" width="14" style="16" bestFit="1" customWidth="1"/>
    <col min="10757" max="10758" width="9.140625" style="16"/>
    <col min="10759" max="10759" width="10.28515625" style="16" customWidth="1"/>
    <col min="10760" max="10760" width="13" style="16" customWidth="1"/>
    <col min="10761" max="10761" width="14.42578125" style="16" bestFit="1" customWidth="1"/>
    <col min="10762" max="10762" width="15.7109375" style="16" bestFit="1" customWidth="1"/>
    <col min="10763" max="11009" width="9.140625" style="16"/>
    <col min="11010" max="11010" width="8" style="16" customWidth="1"/>
    <col min="11011" max="11011" width="6.85546875" style="16" customWidth="1"/>
    <col min="11012" max="11012" width="14" style="16" bestFit="1" customWidth="1"/>
    <col min="11013" max="11014" width="9.140625" style="16"/>
    <col min="11015" max="11015" width="10.28515625" style="16" customWidth="1"/>
    <col min="11016" max="11016" width="13" style="16" customWidth="1"/>
    <col min="11017" max="11017" width="14.42578125" style="16" bestFit="1" customWidth="1"/>
    <col min="11018" max="11018" width="15.7109375" style="16" bestFit="1" customWidth="1"/>
    <col min="11019" max="11265" width="9.140625" style="16"/>
    <col min="11266" max="11266" width="8" style="16" customWidth="1"/>
    <col min="11267" max="11267" width="6.85546875" style="16" customWidth="1"/>
    <col min="11268" max="11268" width="14" style="16" bestFit="1" customWidth="1"/>
    <col min="11269" max="11270" width="9.140625" style="16"/>
    <col min="11271" max="11271" width="10.28515625" style="16" customWidth="1"/>
    <col min="11272" max="11272" width="13" style="16" customWidth="1"/>
    <col min="11273" max="11273" width="14.42578125" style="16" bestFit="1" customWidth="1"/>
    <col min="11274" max="11274" width="15.7109375" style="16" bestFit="1" customWidth="1"/>
    <col min="11275" max="11521" width="9.140625" style="16"/>
    <col min="11522" max="11522" width="8" style="16" customWidth="1"/>
    <col min="11523" max="11523" width="6.85546875" style="16" customWidth="1"/>
    <col min="11524" max="11524" width="14" style="16" bestFit="1" customWidth="1"/>
    <col min="11525" max="11526" width="9.140625" style="16"/>
    <col min="11527" max="11527" width="10.28515625" style="16" customWidth="1"/>
    <col min="11528" max="11528" width="13" style="16" customWidth="1"/>
    <col min="11529" max="11529" width="14.42578125" style="16" bestFit="1" customWidth="1"/>
    <col min="11530" max="11530" width="15.7109375" style="16" bestFit="1" customWidth="1"/>
    <col min="11531" max="11777" width="9.140625" style="16"/>
    <col min="11778" max="11778" width="8" style="16" customWidth="1"/>
    <col min="11779" max="11779" width="6.85546875" style="16" customWidth="1"/>
    <col min="11780" max="11780" width="14" style="16" bestFit="1" customWidth="1"/>
    <col min="11781" max="11782" width="9.140625" style="16"/>
    <col min="11783" max="11783" width="10.28515625" style="16" customWidth="1"/>
    <col min="11784" max="11784" width="13" style="16" customWidth="1"/>
    <col min="11785" max="11785" width="14.42578125" style="16" bestFit="1" customWidth="1"/>
    <col min="11786" max="11786" width="15.7109375" style="16" bestFit="1" customWidth="1"/>
    <col min="11787" max="12033" width="9.140625" style="16"/>
    <col min="12034" max="12034" width="8" style="16" customWidth="1"/>
    <col min="12035" max="12035" width="6.85546875" style="16" customWidth="1"/>
    <col min="12036" max="12036" width="14" style="16" bestFit="1" customWidth="1"/>
    <col min="12037" max="12038" width="9.140625" style="16"/>
    <col min="12039" max="12039" width="10.28515625" style="16" customWidth="1"/>
    <col min="12040" max="12040" width="13" style="16" customWidth="1"/>
    <col min="12041" max="12041" width="14.42578125" style="16" bestFit="1" customWidth="1"/>
    <col min="12042" max="12042" width="15.7109375" style="16" bestFit="1" customWidth="1"/>
    <col min="12043" max="12289" width="9.140625" style="16"/>
    <col min="12290" max="12290" width="8" style="16" customWidth="1"/>
    <col min="12291" max="12291" width="6.85546875" style="16" customWidth="1"/>
    <col min="12292" max="12292" width="14" style="16" bestFit="1" customWidth="1"/>
    <col min="12293" max="12294" width="9.140625" style="16"/>
    <col min="12295" max="12295" width="10.28515625" style="16" customWidth="1"/>
    <col min="12296" max="12296" width="13" style="16" customWidth="1"/>
    <col min="12297" max="12297" width="14.42578125" style="16" bestFit="1" customWidth="1"/>
    <col min="12298" max="12298" width="15.7109375" style="16" bestFit="1" customWidth="1"/>
    <col min="12299" max="12545" width="9.140625" style="16"/>
    <col min="12546" max="12546" width="8" style="16" customWidth="1"/>
    <col min="12547" max="12547" width="6.85546875" style="16" customWidth="1"/>
    <col min="12548" max="12548" width="14" style="16" bestFit="1" customWidth="1"/>
    <col min="12549" max="12550" width="9.140625" style="16"/>
    <col min="12551" max="12551" width="10.28515625" style="16" customWidth="1"/>
    <col min="12552" max="12552" width="13" style="16" customWidth="1"/>
    <col min="12553" max="12553" width="14.42578125" style="16" bestFit="1" customWidth="1"/>
    <col min="12554" max="12554" width="15.7109375" style="16" bestFit="1" customWidth="1"/>
    <col min="12555" max="12801" width="9.140625" style="16"/>
    <col min="12802" max="12802" width="8" style="16" customWidth="1"/>
    <col min="12803" max="12803" width="6.85546875" style="16" customWidth="1"/>
    <col min="12804" max="12804" width="14" style="16" bestFit="1" customWidth="1"/>
    <col min="12805" max="12806" width="9.140625" style="16"/>
    <col min="12807" max="12807" width="10.28515625" style="16" customWidth="1"/>
    <col min="12808" max="12808" width="13" style="16" customWidth="1"/>
    <col min="12809" max="12809" width="14.42578125" style="16" bestFit="1" customWidth="1"/>
    <col min="12810" max="12810" width="15.7109375" style="16" bestFit="1" customWidth="1"/>
    <col min="12811" max="13057" width="9.140625" style="16"/>
    <col min="13058" max="13058" width="8" style="16" customWidth="1"/>
    <col min="13059" max="13059" width="6.85546875" style="16" customWidth="1"/>
    <col min="13060" max="13060" width="14" style="16" bestFit="1" customWidth="1"/>
    <col min="13061" max="13062" width="9.140625" style="16"/>
    <col min="13063" max="13063" width="10.28515625" style="16" customWidth="1"/>
    <col min="13064" max="13064" width="13" style="16" customWidth="1"/>
    <col min="13065" max="13065" width="14.42578125" style="16" bestFit="1" customWidth="1"/>
    <col min="13066" max="13066" width="15.7109375" style="16" bestFit="1" customWidth="1"/>
    <col min="13067" max="13313" width="9.140625" style="16"/>
    <col min="13314" max="13314" width="8" style="16" customWidth="1"/>
    <col min="13315" max="13315" width="6.85546875" style="16" customWidth="1"/>
    <col min="13316" max="13316" width="14" style="16" bestFit="1" customWidth="1"/>
    <col min="13317" max="13318" width="9.140625" style="16"/>
    <col min="13319" max="13319" width="10.28515625" style="16" customWidth="1"/>
    <col min="13320" max="13320" width="13" style="16" customWidth="1"/>
    <col min="13321" max="13321" width="14.42578125" style="16" bestFit="1" customWidth="1"/>
    <col min="13322" max="13322" width="15.7109375" style="16" bestFit="1" customWidth="1"/>
    <col min="13323" max="13569" width="9.140625" style="16"/>
    <col min="13570" max="13570" width="8" style="16" customWidth="1"/>
    <col min="13571" max="13571" width="6.85546875" style="16" customWidth="1"/>
    <col min="13572" max="13572" width="14" style="16" bestFit="1" customWidth="1"/>
    <col min="13573" max="13574" width="9.140625" style="16"/>
    <col min="13575" max="13575" width="10.28515625" style="16" customWidth="1"/>
    <col min="13576" max="13576" width="13" style="16" customWidth="1"/>
    <col min="13577" max="13577" width="14.42578125" style="16" bestFit="1" customWidth="1"/>
    <col min="13578" max="13578" width="15.7109375" style="16" bestFit="1" customWidth="1"/>
    <col min="13579" max="13825" width="9.140625" style="16"/>
    <col min="13826" max="13826" width="8" style="16" customWidth="1"/>
    <col min="13827" max="13827" width="6.85546875" style="16" customWidth="1"/>
    <col min="13828" max="13828" width="14" style="16" bestFit="1" customWidth="1"/>
    <col min="13829" max="13830" width="9.140625" style="16"/>
    <col min="13831" max="13831" width="10.28515625" style="16" customWidth="1"/>
    <col min="13832" max="13832" width="13" style="16" customWidth="1"/>
    <col min="13833" max="13833" width="14.42578125" style="16" bestFit="1" customWidth="1"/>
    <col min="13834" max="13834" width="15.7109375" style="16" bestFit="1" customWidth="1"/>
    <col min="13835" max="14081" width="9.140625" style="16"/>
    <col min="14082" max="14082" width="8" style="16" customWidth="1"/>
    <col min="14083" max="14083" width="6.85546875" style="16" customWidth="1"/>
    <col min="14084" max="14084" width="14" style="16" bestFit="1" customWidth="1"/>
    <col min="14085" max="14086" width="9.140625" style="16"/>
    <col min="14087" max="14087" width="10.28515625" style="16" customWidth="1"/>
    <col min="14088" max="14088" width="13" style="16" customWidth="1"/>
    <col min="14089" max="14089" width="14.42578125" style="16" bestFit="1" customWidth="1"/>
    <col min="14090" max="14090" width="15.7109375" style="16" bestFit="1" customWidth="1"/>
    <col min="14091" max="14337" width="9.140625" style="16"/>
    <col min="14338" max="14338" width="8" style="16" customWidth="1"/>
    <col min="14339" max="14339" width="6.85546875" style="16" customWidth="1"/>
    <col min="14340" max="14340" width="14" style="16" bestFit="1" customWidth="1"/>
    <col min="14341" max="14342" width="9.140625" style="16"/>
    <col min="14343" max="14343" width="10.28515625" style="16" customWidth="1"/>
    <col min="14344" max="14344" width="13" style="16" customWidth="1"/>
    <col min="14345" max="14345" width="14.42578125" style="16" bestFit="1" customWidth="1"/>
    <col min="14346" max="14346" width="15.7109375" style="16" bestFit="1" customWidth="1"/>
    <col min="14347" max="14593" width="9.140625" style="16"/>
    <col min="14594" max="14594" width="8" style="16" customWidth="1"/>
    <col min="14595" max="14595" width="6.85546875" style="16" customWidth="1"/>
    <col min="14596" max="14596" width="14" style="16" bestFit="1" customWidth="1"/>
    <col min="14597" max="14598" width="9.140625" style="16"/>
    <col min="14599" max="14599" width="10.28515625" style="16" customWidth="1"/>
    <col min="14600" max="14600" width="13" style="16" customWidth="1"/>
    <col min="14601" max="14601" width="14.42578125" style="16" bestFit="1" customWidth="1"/>
    <col min="14602" max="14602" width="15.7109375" style="16" bestFit="1" customWidth="1"/>
    <col min="14603" max="14849" width="9.140625" style="16"/>
    <col min="14850" max="14850" width="8" style="16" customWidth="1"/>
    <col min="14851" max="14851" width="6.85546875" style="16" customWidth="1"/>
    <col min="14852" max="14852" width="14" style="16" bestFit="1" customWidth="1"/>
    <col min="14853" max="14854" width="9.140625" style="16"/>
    <col min="14855" max="14855" width="10.28515625" style="16" customWidth="1"/>
    <col min="14856" max="14856" width="13" style="16" customWidth="1"/>
    <col min="14857" max="14857" width="14.42578125" style="16" bestFit="1" customWidth="1"/>
    <col min="14858" max="14858" width="15.7109375" style="16" bestFit="1" customWidth="1"/>
    <col min="14859" max="15105" width="9.140625" style="16"/>
    <col min="15106" max="15106" width="8" style="16" customWidth="1"/>
    <col min="15107" max="15107" width="6.85546875" style="16" customWidth="1"/>
    <col min="15108" max="15108" width="14" style="16" bestFit="1" customWidth="1"/>
    <col min="15109" max="15110" width="9.140625" style="16"/>
    <col min="15111" max="15111" width="10.28515625" style="16" customWidth="1"/>
    <col min="15112" max="15112" width="13" style="16" customWidth="1"/>
    <col min="15113" max="15113" width="14.42578125" style="16" bestFit="1" customWidth="1"/>
    <col min="15114" max="15114" width="15.7109375" style="16" bestFit="1" customWidth="1"/>
    <col min="15115" max="15361" width="9.140625" style="16"/>
    <col min="15362" max="15362" width="8" style="16" customWidth="1"/>
    <col min="15363" max="15363" width="6.85546875" style="16" customWidth="1"/>
    <col min="15364" max="15364" width="14" style="16" bestFit="1" customWidth="1"/>
    <col min="15365" max="15366" width="9.140625" style="16"/>
    <col min="15367" max="15367" width="10.28515625" style="16" customWidth="1"/>
    <col min="15368" max="15368" width="13" style="16" customWidth="1"/>
    <col min="15369" max="15369" width="14.42578125" style="16" bestFit="1" customWidth="1"/>
    <col min="15370" max="15370" width="15.7109375" style="16" bestFit="1" customWidth="1"/>
    <col min="15371" max="15617" width="9.140625" style="16"/>
    <col min="15618" max="15618" width="8" style="16" customWidth="1"/>
    <col min="15619" max="15619" width="6.85546875" style="16" customWidth="1"/>
    <col min="15620" max="15620" width="14" style="16" bestFit="1" customWidth="1"/>
    <col min="15621" max="15622" width="9.140625" style="16"/>
    <col min="15623" max="15623" width="10.28515625" style="16" customWidth="1"/>
    <col min="15624" max="15624" width="13" style="16" customWidth="1"/>
    <col min="15625" max="15625" width="14.42578125" style="16" bestFit="1" customWidth="1"/>
    <col min="15626" max="15626" width="15.7109375" style="16" bestFit="1" customWidth="1"/>
    <col min="15627" max="15873" width="9.140625" style="16"/>
    <col min="15874" max="15874" width="8" style="16" customWidth="1"/>
    <col min="15875" max="15875" width="6.85546875" style="16" customWidth="1"/>
    <col min="15876" max="15876" width="14" style="16" bestFit="1" customWidth="1"/>
    <col min="15877" max="15878" width="9.140625" style="16"/>
    <col min="15879" max="15879" width="10.28515625" style="16" customWidth="1"/>
    <col min="15880" max="15880" width="13" style="16" customWidth="1"/>
    <col min="15881" max="15881" width="14.42578125" style="16" bestFit="1" customWidth="1"/>
    <col min="15882" max="15882" width="15.7109375" style="16" bestFit="1" customWidth="1"/>
    <col min="15883" max="16129" width="9.140625" style="16"/>
    <col min="16130" max="16130" width="8" style="16" customWidth="1"/>
    <col min="16131" max="16131" width="6.85546875" style="16" customWidth="1"/>
    <col min="16132" max="16132" width="14" style="16" bestFit="1" customWidth="1"/>
    <col min="16133" max="16134" width="9.140625" style="16"/>
    <col min="16135" max="16135" width="10.28515625" style="16" customWidth="1"/>
    <col min="16136" max="16136" width="13" style="16" customWidth="1"/>
    <col min="16137" max="16137" width="14.42578125" style="16" bestFit="1" customWidth="1"/>
    <col min="16138" max="16138" width="15.7109375" style="16" bestFit="1" customWidth="1"/>
    <col min="16139" max="16384" width="9.140625" style="16"/>
  </cols>
  <sheetData>
    <row r="6" spans="2:10" ht="16.5" thickBot="1" x14ac:dyDescent="0.3"/>
    <row r="7" spans="2:10" x14ac:dyDescent="0.25">
      <c r="B7" s="676" t="s">
        <v>4</v>
      </c>
      <c r="C7" s="677"/>
      <c r="D7" s="677"/>
      <c r="E7" s="677"/>
      <c r="F7" s="677"/>
      <c r="G7" s="677"/>
      <c r="H7" s="677"/>
      <c r="I7" s="677"/>
      <c r="J7" s="678"/>
    </row>
    <row r="8" spans="2:10" x14ac:dyDescent="0.25">
      <c r="B8" s="679" t="s">
        <v>5</v>
      </c>
      <c r="C8" s="630"/>
      <c r="D8" s="630"/>
      <c r="E8" s="680" t="s">
        <v>6</v>
      </c>
      <c r="F8" s="630"/>
      <c r="G8" s="630"/>
      <c r="H8" s="680" t="s">
        <v>7</v>
      </c>
      <c r="I8" s="630"/>
      <c r="J8" s="681"/>
    </row>
    <row r="9" spans="2:10" ht="16.5" thickBot="1" x14ac:dyDescent="0.3">
      <c r="B9" s="682" t="s">
        <v>8</v>
      </c>
      <c r="C9" s="683"/>
      <c r="D9" s="683"/>
      <c r="E9" s="683"/>
      <c r="F9" s="17"/>
      <c r="G9" s="684" t="str">
        <f>"FONE: (45)3242-2210         V.:"&amp;GERAL!C26</f>
        <v>FONE: (45)3242-2210         V.:Versão: 45791</v>
      </c>
      <c r="H9" s="684"/>
      <c r="I9" s="684"/>
      <c r="J9" s="685"/>
    </row>
    <row r="10" spans="2:10" ht="16.5" thickBot="1" x14ac:dyDescent="0.3">
      <c r="E10" s="18"/>
      <c r="F10" s="18"/>
      <c r="G10" s="18"/>
      <c r="H10" s="19"/>
    </row>
    <row r="11" spans="2:10" x14ac:dyDescent="0.25">
      <c r="B11" s="20"/>
      <c r="C11" s="103" t="s">
        <v>67</v>
      </c>
      <c r="D11" s="21"/>
      <c r="E11" s="22"/>
      <c r="F11" s="22"/>
      <c r="G11" s="22"/>
      <c r="H11" s="23" t="s">
        <v>9</v>
      </c>
      <c r="I11" s="24">
        <f ca="1">TODAY()</f>
        <v>45828</v>
      </c>
      <c r="J11" s="25"/>
    </row>
    <row r="12" spans="2:10" x14ac:dyDescent="0.25">
      <c r="B12" s="26"/>
      <c r="J12" s="27"/>
    </row>
    <row r="13" spans="2:10" x14ac:dyDescent="0.25">
      <c r="B13" s="26"/>
      <c r="C13" s="28" t="s">
        <v>37</v>
      </c>
      <c r="D13" s="29"/>
      <c r="E13" s="660" t="s">
        <v>388</v>
      </c>
      <c r="F13" s="661"/>
      <c r="G13" s="661"/>
      <c r="H13" s="661"/>
      <c r="I13" s="662"/>
      <c r="J13" s="30"/>
    </row>
    <row r="14" spans="2:10" x14ac:dyDescent="0.25">
      <c r="B14" s="26"/>
      <c r="C14" s="28" t="s">
        <v>38</v>
      </c>
      <c r="D14" s="29"/>
      <c r="E14" s="660" t="s">
        <v>389</v>
      </c>
      <c r="F14" s="661"/>
      <c r="G14" s="661"/>
      <c r="H14" s="661"/>
      <c r="I14" s="662"/>
      <c r="J14" s="30"/>
    </row>
    <row r="15" spans="2:10" x14ac:dyDescent="0.25">
      <c r="B15" s="26"/>
      <c r="C15" s="31" t="s">
        <v>39</v>
      </c>
      <c r="E15" s="660" t="s">
        <v>222</v>
      </c>
      <c r="F15" s="661"/>
      <c r="G15" s="661"/>
      <c r="H15" s="661"/>
      <c r="I15" s="662"/>
      <c r="J15" s="30"/>
    </row>
    <row r="16" spans="2:10" x14ac:dyDescent="0.25">
      <c r="B16" s="26"/>
      <c r="C16" s="28" t="s">
        <v>40</v>
      </c>
      <c r="D16" s="29"/>
      <c r="E16" s="1" t="s">
        <v>380</v>
      </c>
      <c r="F16" s="544" t="s">
        <v>367</v>
      </c>
      <c r="G16" s="661"/>
      <c r="H16" s="661"/>
      <c r="I16" s="662"/>
      <c r="J16" s="30"/>
    </row>
    <row r="17" spans="2:11" x14ac:dyDescent="0.25">
      <c r="B17" s="26"/>
      <c r="C17" s="31" t="s">
        <v>41</v>
      </c>
      <c r="E17" s="661" t="s">
        <v>395</v>
      </c>
      <c r="F17" s="661"/>
      <c r="G17" s="661"/>
      <c r="H17" s="172" t="s">
        <v>113</v>
      </c>
      <c r="I17" s="15"/>
      <c r="J17" s="30"/>
      <c r="K17" s="32"/>
    </row>
    <row r="18" spans="2:11" x14ac:dyDescent="0.25">
      <c r="B18" s="26"/>
      <c r="C18" s="28" t="s">
        <v>42</v>
      </c>
      <c r="D18" s="29"/>
      <c r="E18" s="661"/>
      <c r="F18" s="661"/>
      <c r="G18" s="661"/>
      <c r="H18" s="661"/>
      <c r="I18" s="662"/>
      <c r="J18" s="30"/>
    </row>
    <row r="19" spans="2:11" x14ac:dyDescent="0.25">
      <c r="B19" s="26"/>
      <c r="C19" s="28" t="s">
        <v>43</v>
      </c>
      <c r="D19" s="29"/>
      <c r="E19" s="660"/>
      <c r="F19" s="661"/>
      <c r="G19" s="661"/>
      <c r="H19" s="661"/>
      <c r="I19" s="662"/>
      <c r="J19" s="30"/>
    </row>
    <row r="20" spans="2:11" x14ac:dyDescent="0.25">
      <c r="B20" s="26"/>
      <c r="E20" s="54"/>
      <c r="F20" s="54"/>
      <c r="G20" s="54"/>
      <c r="H20" s="54"/>
      <c r="I20" s="54"/>
      <c r="J20" s="27"/>
    </row>
    <row r="21" spans="2:11" ht="16.5" thickBot="1" x14ac:dyDescent="0.3">
      <c r="B21" s="33"/>
      <c r="C21" s="17"/>
      <c r="D21" s="17"/>
      <c r="E21" s="58"/>
      <c r="F21" s="58"/>
      <c r="G21" s="58"/>
      <c r="H21" s="58"/>
      <c r="I21" s="58"/>
      <c r="J21" s="34"/>
    </row>
    <row r="22" spans="2:11" ht="16.5" thickBot="1" x14ac:dyDescent="0.3">
      <c r="E22" s="54"/>
      <c r="F22" s="54"/>
      <c r="G22" s="54"/>
      <c r="H22" s="54"/>
      <c r="I22" s="54"/>
    </row>
    <row r="23" spans="2:11" x14ac:dyDescent="0.25">
      <c r="B23" s="20"/>
      <c r="C23" s="21"/>
      <c r="D23" s="21"/>
      <c r="E23" s="59"/>
      <c r="F23" s="59"/>
      <c r="G23" s="59"/>
      <c r="H23" s="59"/>
      <c r="I23" s="59"/>
      <c r="J23" s="25"/>
    </row>
    <row r="24" spans="2:11" x14ac:dyDescent="0.25">
      <c r="B24" s="26"/>
      <c r="C24" s="28" t="s">
        <v>10</v>
      </c>
      <c r="D24" s="29"/>
      <c r="E24" s="660" t="s">
        <v>390</v>
      </c>
      <c r="F24" s="660"/>
      <c r="G24" s="660"/>
      <c r="H24" s="660"/>
      <c r="I24" s="672"/>
      <c r="J24" s="27"/>
    </row>
    <row r="25" spans="2:11" x14ac:dyDescent="0.25">
      <c r="B25" s="26"/>
      <c r="C25" s="28" t="s">
        <v>11</v>
      </c>
      <c r="D25" s="35"/>
      <c r="E25" s="673"/>
      <c r="F25" s="673"/>
      <c r="G25" s="673"/>
      <c r="H25" s="673"/>
      <c r="I25" s="674"/>
      <c r="J25" s="27"/>
    </row>
    <row r="26" spans="2:11" x14ac:dyDescent="0.25">
      <c r="B26" s="26"/>
      <c r="C26" s="28" t="s">
        <v>12</v>
      </c>
      <c r="D26" s="35"/>
      <c r="E26" s="661"/>
      <c r="F26" s="661"/>
      <c r="G26" s="661"/>
      <c r="H26" s="661"/>
      <c r="I26" s="662"/>
      <c r="J26" s="27"/>
    </row>
    <row r="27" spans="2:11" x14ac:dyDescent="0.25">
      <c r="B27" s="26"/>
      <c r="C27" s="28" t="s">
        <v>13</v>
      </c>
      <c r="D27" s="35"/>
      <c r="E27" s="739" t="s">
        <v>391</v>
      </c>
      <c r="F27" s="673"/>
      <c r="G27" s="673"/>
      <c r="H27" s="673"/>
      <c r="I27" s="674"/>
      <c r="J27" s="27"/>
    </row>
    <row r="28" spans="2:11" x14ac:dyDescent="0.25">
      <c r="B28" s="26"/>
      <c r="C28" s="28" t="s">
        <v>14</v>
      </c>
      <c r="D28" s="35"/>
      <c r="E28" s="738"/>
      <c r="F28" s="673"/>
      <c r="G28" s="673"/>
      <c r="H28" s="673"/>
      <c r="I28" s="674"/>
      <c r="J28" s="27"/>
    </row>
    <row r="29" spans="2:11" ht="16.5" thickBot="1" x14ac:dyDescent="0.3">
      <c r="B29" s="33"/>
      <c r="C29" s="17"/>
      <c r="D29" s="17"/>
      <c r="E29" s="17"/>
      <c r="F29" s="17"/>
      <c r="G29" s="17"/>
      <c r="H29" s="17"/>
      <c r="I29" s="17"/>
      <c r="J29" s="34"/>
    </row>
    <row r="30" spans="2:11" ht="16.5" thickBot="1" x14ac:dyDescent="0.3"/>
    <row r="31" spans="2:11" x14ac:dyDescent="0.25">
      <c r="B31" s="20"/>
      <c r="C31" s="21"/>
      <c r="D31" s="36"/>
      <c r="E31" s="21"/>
      <c r="F31" s="21"/>
      <c r="G31" s="21"/>
      <c r="H31" s="21"/>
      <c r="I31" s="21"/>
      <c r="J31" s="25"/>
    </row>
    <row r="32" spans="2:11" x14ac:dyDescent="0.25">
      <c r="B32" s="37" t="s">
        <v>15</v>
      </c>
      <c r="D32" s="407">
        <f>'INPUT CONFERENCIA'!E5</f>
        <v>45868</v>
      </c>
      <c r="E32" s="32"/>
      <c r="G32" s="39" t="s">
        <v>16</v>
      </c>
      <c r="H32" s="10"/>
      <c r="J32" s="27"/>
    </row>
    <row r="33" spans="2:10" x14ac:dyDescent="0.25">
      <c r="B33" s="37" t="s">
        <v>17</v>
      </c>
      <c r="D33" s="8"/>
      <c r="G33" s="39" t="s">
        <v>18</v>
      </c>
      <c r="H33" s="10"/>
      <c r="J33" s="27"/>
    </row>
    <row r="34" spans="2:10" x14ac:dyDescent="0.25">
      <c r="B34" s="37" t="s">
        <v>19</v>
      </c>
      <c r="D34" s="11"/>
      <c r="E34" s="41" t="s">
        <v>20</v>
      </c>
      <c r="G34" s="39" t="s">
        <v>21</v>
      </c>
      <c r="H34" s="12"/>
      <c r="J34" s="27"/>
    </row>
    <row r="35" spans="2:10" x14ac:dyDescent="0.25">
      <c r="B35" s="37" t="s">
        <v>23</v>
      </c>
      <c r="D35" s="13"/>
      <c r="E35" s="42"/>
      <c r="G35" s="43" t="str">
        <f>IF('INPUT CONFERENCIA'!E3="n","(**)"," ")</f>
        <v xml:space="preserve"> </v>
      </c>
      <c r="H35" s="44"/>
      <c r="J35" s="27"/>
    </row>
    <row r="36" spans="2:10" x14ac:dyDescent="0.25">
      <c r="B36" s="37" t="s">
        <v>24</v>
      </c>
      <c r="D36" s="55" t="str">
        <f>'PEDIDO VIA CLIENTE'!D36</f>
        <v>VICTOR</v>
      </c>
      <c r="E36" s="42"/>
      <c r="G36" s="39"/>
      <c r="H36" s="44"/>
      <c r="J36" s="27"/>
    </row>
    <row r="37" spans="2:10" ht="16.5" thickBot="1" x14ac:dyDescent="0.3">
      <c r="B37" s="33"/>
      <c r="C37" s="17"/>
      <c r="D37" s="17"/>
      <c r="E37" s="17"/>
      <c r="F37" s="17"/>
      <c r="G37" s="17"/>
      <c r="H37" s="17"/>
      <c r="I37" s="17"/>
      <c r="J37" s="34"/>
    </row>
    <row r="38" spans="2:10" ht="16.5" thickBot="1" x14ac:dyDescent="0.3"/>
    <row r="39" spans="2:10" x14ac:dyDescent="0.25">
      <c r="B39" s="668" t="s">
        <v>25</v>
      </c>
      <c r="C39" s="669"/>
      <c r="D39" s="45" t="s">
        <v>26</v>
      </c>
      <c r="E39" s="669" t="s">
        <v>27</v>
      </c>
      <c r="F39" s="669"/>
      <c r="G39" s="669"/>
      <c r="H39" s="669"/>
      <c r="I39" s="45" t="s">
        <v>28</v>
      </c>
      <c r="J39" s="46" t="s">
        <v>46</v>
      </c>
    </row>
    <row r="40" spans="2:10" x14ac:dyDescent="0.25">
      <c r="B40" s="734">
        <f>'INPUT CONFERENCIA'!B29</f>
        <v>1</v>
      </c>
      <c r="C40" s="735"/>
      <c r="D40" s="166" t="s">
        <v>30</v>
      </c>
      <c r="E40" s="724" t="s">
        <v>48</v>
      </c>
      <c r="F40" s="725"/>
      <c r="G40" s="725"/>
      <c r="H40" s="726"/>
      <c r="I40" s="167">
        <f>J40/B40</f>
        <v>744.34043211526614</v>
      </c>
      <c r="J40" s="168">
        <f>'INPUT CONFERENCIA'!E30-'PEDIDO CONFERENCIA'!J42-J43</f>
        <v>744.34043211526614</v>
      </c>
    </row>
    <row r="41" spans="2:10" x14ac:dyDescent="0.25">
      <c r="B41" s="736"/>
      <c r="C41" s="737"/>
      <c r="D41" s="166"/>
      <c r="E41" s="724" t="str">
        <f>"RÊNCIA "&amp;"(DISTÂNCIA: "&amp;ROUND('INPUT CONFERENCIA'!E4*2,1)&amp;" Km)"</f>
        <v>RÊNCIA (DISTÂNCIA: 0 Km)</v>
      </c>
      <c r="F41" s="725"/>
      <c r="G41" s="725"/>
      <c r="H41" s="726"/>
      <c r="I41" s="167"/>
      <c r="J41" s="168">
        <f t="shared" ref="J41:J48" si="0">I41*B41</f>
        <v>0</v>
      </c>
    </row>
    <row r="42" spans="2:10" x14ac:dyDescent="0.25">
      <c r="B42" s="730">
        <f>'INPUT CONFERENCIA'!C29</f>
        <v>2</v>
      </c>
      <c r="C42" s="731"/>
      <c r="D42" s="166" t="s">
        <v>35</v>
      </c>
      <c r="E42" s="724" t="str">
        <f>"ANALISE DE SOLO (MACRO+S+P_REM"&amp;IF('INPUT CONFERENCIA'!E6="S","+FISICA)",")")</f>
        <v>ANALISE DE SOLO (MACRO+S+P_REM)</v>
      </c>
      <c r="F42" s="725"/>
      <c r="G42" s="725"/>
      <c r="H42" s="726"/>
      <c r="I42" s="169">
        <f>'INPUT CONFERENCIA'!F6</f>
        <v>105.3</v>
      </c>
      <c r="J42" s="168">
        <f>I42*B42</f>
        <v>210.6</v>
      </c>
    </row>
    <row r="43" spans="2:10" x14ac:dyDescent="0.25">
      <c r="B43" s="730">
        <f>IF('INPUT CONFERENCIA'!E7&gt;0,IF('INPUT CONFERENCIA'!C29*'INPUT CONFERENCIA'!E7&lt;=1,1,ROUND('INPUT CONFERENCIA'!E7*'INPUT CONFERENCIA'!C29,0)),0)</f>
        <v>0</v>
      </c>
      <c r="C43" s="731"/>
      <c r="D43" s="166" t="s">
        <v>35</v>
      </c>
      <c r="E43" s="724" t="s">
        <v>376</v>
      </c>
      <c r="F43" s="725"/>
      <c r="G43" s="725"/>
      <c r="H43" s="726"/>
      <c r="I43" s="169">
        <f>'INPUT DADOS'!C23</f>
        <v>70</v>
      </c>
      <c r="J43" s="168">
        <f>I43*B43</f>
        <v>0</v>
      </c>
    </row>
    <row r="44" spans="2:10" x14ac:dyDescent="0.25">
      <c r="B44" s="732">
        <v>1</v>
      </c>
      <c r="C44" s="733"/>
      <c r="D44" s="12"/>
      <c r="E44" s="727" t="s">
        <v>393</v>
      </c>
      <c r="F44" s="728"/>
      <c r="G44" s="728"/>
      <c r="H44" s="729"/>
      <c r="I44" s="70">
        <v>42.3</v>
      </c>
      <c r="J44" s="49">
        <f t="shared" si="0"/>
        <v>42.3</v>
      </c>
    </row>
    <row r="45" spans="2:10" x14ac:dyDescent="0.25">
      <c r="B45" s="722"/>
      <c r="C45" s="723"/>
      <c r="D45" s="12"/>
      <c r="E45" s="727"/>
      <c r="F45" s="728"/>
      <c r="G45" s="728"/>
      <c r="H45" s="729"/>
      <c r="I45" s="70"/>
      <c r="J45" s="49">
        <f t="shared" si="0"/>
        <v>0</v>
      </c>
    </row>
    <row r="46" spans="2:10" x14ac:dyDescent="0.25">
      <c r="B46" s="722"/>
      <c r="C46" s="723"/>
      <c r="D46" s="12"/>
      <c r="E46" s="727"/>
      <c r="F46" s="728"/>
      <c r="G46" s="728"/>
      <c r="H46" s="729"/>
      <c r="I46" s="71"/>
      <c r="J46" s="49">
        <f t="shared" si="0"/>
        <v>0</v>
      </c>
    </row>
    <row r="47" spans="2:10" x14ac:dyDescent="0.25">
      <c r="B47" s="722">
        <v>1</v>
      </c>
      <c r="C47" s="723"/>
      <c r="D47" s="12"/>
      <c r="E47" s="727" t="s">
        <v>394</v>
      </c>
      <c r="F47" s="728"/>
      <c r="G47" s="728"/>
      <c r="H47" s="729"/>
      <c r="I47" s="71">
        <v>-744.34</v>
      </c>
      <c r="J47" s="49">
        <f t="shared" si="0"/>
        <v>-744.34</v>
      </c>
    </row>
    <row r="48" spans="2:10" ht="16.5" thickBot="1" x14ac:dyDescent="0.3">
      <c r="B48" s="722"/>
      <c r="C48" s="723"/>
      <c r="D48" s="12"/>
      <c r="E48" s="727"/>
      <c r="F48" s="728"/>
      <c r="G48" s="728"/>
      <c r="H48" s="729"/>
      <c r="I48" s="71"/>
      <c r="J48" s="49">
        <f t="shared" si="0"/>
        <v>0</v>
      </c>
    </row>
    <row r="49" spans="2:10" ht="16.5" thickBot="1" x14ac:dyDescent="0.3">
      <c r="B49" s="645">
        <f>I49/B40</f>
        <v>252.90043211526609</v>
      </c>
      <c r="C49" s="646"/>
      <c r="E49" s="647" t="s">
        <v>31</v>
      </c>
      <c r="F49" s="647"/>
      <c r="G49" s="647"/>
      <c r="H49" s="647"/>
      <c r="I49" s="648">
        <f>SUM(J40:J48)</f>
        <v>252.90043211526609</v>
      </c>
      <c r="J49" s="649"/>
    </row>
    <row r="50" spans="2:10" x14ac:dyDescent="0.25">
      <c r="B50" s="629"/>
      <c r="C50" s="629"/>
      <c r="D50" s="32"/>
      <c r="E50" s="630"/>
      <c r="F50" s="630"/>
      <c r="G50" s="630"/>
      <c r="H50" s="630"/>
    </row>
    <row r="51" spans="2:10" x14ac:dyDescent="0.25">
      <c r="B51" s="51"/>
      <c r="C51" s="51"/>
      <c r="E51" s="52"/>
      <c r="F51" s="52"/>
      <c r="G51" s="52"/>
      <c r="H51" s="52"/>
    </row>
    <row r="52" spans="2:10" x14ac:dyDescent="0.25">
      <c r="B52" s="623"/>
      <c r="C52" s="624"/>
      <c r="D52" s="624"/>
      <c r="E52" s="624"/>
      <c r="F52" s="624"/>
      <c r="G52" s="624"/>
      <c r="H52" s="624"/>
      <c r="I52" s="624"/>
      <c r="J52" s="625"/>
    </row>
    <row r="53" spans="2:10" x14ac:dyDescent="0.25">
      <c r="B53" s="623"/>
      <c r="C53" s="624"/>
      <c r="D53" s="624"/>
      <c r="E53" s="624"/>
      <c r="F53" s="624"/>
      <c r="G53" s="624"/>
      <c r="H53" s="624"/>
      <c r="I53" s="624"/>
      <c r="J53" s="625"/>
    </row>
    <row r="54" spans="2:10" x14ac:dyDescent="0.25">
      <c r="B54" s="623"/>
      <c r="C54" s="624"/>
      <c r="D54" s="624"/>
      <c r="E54" s="624"/>
      <c r="F54" s="624"/>
      <c r="G54" s="624"/>
      <c r="H54" s="624"/>
      <c r="I54" s="624"/>
      <c r="J54" s="625"/>
    </row>
    <row r="55" spans="2:10" x14ac:dyDescent="0.25">
      <c r="B55" s="623"/>
      <c r="C55" s="624"/>
      <c r="D55" s="624"/>
      <c r="E55" s="624"/>
      <c r="F55" s="624"/>
      <c r="G55" s="624"/>
      <c r="H55" s="624"/>
      <c r="I55" s="624"/>
      <c r="J55" s="625"/>
    </row>
    <row r="56" spans="2:10" x14ac:dyDescent="0.25">
      <c r="B56" s="344" t="s">
        <v>196</v>
      </c>
      <c r="C56" s="54"/>
      <c r="D56" s="54"/>
      <c r="E56" s="54"/>
      <c r="F56" s="54"/>
      <c r="G56" s="54"/>
      <c r="H56" s="54"/>
      <c r="I56" s="54"/>
      <c r="J56" s="54"/>
    </row>
    <row r="58" spans="2:10" x14ac:dyDescent="0.25">
      <c r="B58" s="55" t="s">
        <v>32</v>
      </c>
      <c r="G58" s="55" t="s">
        <v>33</v>
      </c>
    </row>
    <row r="59" spans="2:10" x14ac:dyDescent="0.25">
      <c r="B59" s="55" t="s">
        <v>34</v>
      </c>
      <c r="G59" s="16" t="str">
        <f>E13</f>
        <v>MAIKN ANTONIO MEOTTI</v>
      </c>
    </row>
  </sheetData>
  <sheetProtection selectLockedCells="1"/>
  <mergeCells count="47">
    <mergeCell ref="B7:J7"/>
    <mergeCell ref="B8:D8"/>
    <mergeCell ref="E8:G8"/>
    <mergeCell ref="H8:J8"/>
    <mergeCell ref="B9:E9"/>
    <mergeCell ref="G9:J9"/>
    <mergeCell ref="E28:I28"/>
    <mergeCell ref="E13:I13"/>
    <mergeCell ref="E14:I14"/>
    <mergeCell ref="E15:I15"/>
    <mergeCell ref="E18:I18"/>
    <mergeCell ref="E19:I19"/>
    <mergeCell ref="E24:I24"/>
    <mergeCell ref="E25:I25"/>
    <mergeCell ref="E26:I26"/>
    <mergeCell ref="E27:I27"/>
    <mergeCell ref="E17:G17"/>
    <mergeCell ref="G16:I16"/>
    <mergeCell ref="B42:C42"/>
    <mergeCell ref="E42:H42"/>
    <mergeCell ref="B43:C43"/>
    <mergeCell ref="B44:C44"/>
    <mergeCell ref="B39:C39"/>
    <mergeCell ref="E39:H39"/>
    <mergeCell ref="B40:C40"/>
    <mergeCell ref="E40:H40"/>
    <mergeCell ref="B41:C41"/>
    <mergeCell ref="E41:H41"/>
    <mergeCell ref="B45:C45"/>
    <mergeCell ref="E43:H43"/>
    <mergeCell ref="B46:C46"/>
    <mergeCell ref="B47:C47"/>
    <mergeCell ref="B48:C48"/>
    <mergeCell ref="E48:H48"/>
    <mergeCell ref="E44:H44"/>
    <mergeCell ref="E45:H45"/>
    <mergeCell ref="E46:H46"/>
    <mergeCell ref="E47:H47"/>
    <mergeCell ref="B52:J52"/>
    <mergeCell ref="B53:J53"/>
    <mergeCell ref="B54:J54"/>
    <mergeCell ref="B55:J55"/>
    <mergeCell ref="B49:C49"/>
    <mergeCell ref="E49:H49"/>
    <mergeCell ref="I49:J49"/>
    <mergeCell ref="B50:C50"/>
    <mergeCell ref="E50:H50"/>
  </mergeCells>
  <pageMargins left="0.511811024" right="0.511811024" top="0.78740157499999996" bottom="0.78740157499999996" header="0.31496062000000002" footer="0.31496062000000002"/>
  <pageSetup paperSize="9" scale="76" orientation="portrait" horizontalDpi="360" verticalDpi="36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4"/>
  <dimension ref="B6:M59"/>
  <sheetViews>
    <sheetView showGridLines="0" zoomScaleNormal="100" workbookViewId="0">
      <selection activeCell="E13" sqref="E13:I13"/>
    </sheetView>
  </sheetViews>
  <sheetFormatPr defaultColWidth="9.140625" defaultRowHeight="15.75" x14ac:dyDescent="0.25"/>
  <cols>
    <col min="1" max="1" width="9.140625" style="16"/>
    <col min="2" max="2" width="8" style="16" customWidth="1"/>
    <col min="3" max="3" width="6.85546875" style="16" customWidth="1"/>
    <col min="4" max="4" width="11.7109375" style="16" customWidth="1"/>
    <col min="5" max="6" width="9.140625" style="16"/>
    <col min="7" max="7" width="10.28515625" style="16" customWidth="1"/>
    <col min="8" max="8" width="13" style="16" customWidth="1"/>
    <col min="9" max="9" width="14.42578125" style="16" bestFit="1" customWidth="1"/>
    <col min="10" max="10" width="15.7109375" style="16" bestFit="1" customWidth="1"/>
    <col min="11" max="12" width="9.140625" style="16"/>
    <col min="13" max="13" width="11.85546875" style="16" bestFit="1" customWidth="1"/>
    <col min="14" max="257" width="9.140625" style="16"/>
    <col min="258" max="258" width="8" style="16" customWidth="1"/>
    <col min="259" max="259" width="6.85546875" style="16" customWidth="1"/>
    <col min="260" max="260" width="14" style="16" bestFit="1" customWidth="1"/>
    <col min="261" max="262" width="9.140625" style="16"/>
    <col min="263" max="263" width="10.28515625" style="16" customWidth="1"/>
    <col min="264" max="264" width="13" style="16" customWidth="1"/>
    <col min="265" max="265" width="14.42578125" style="16" bestFit="1" customWidth="1"/>
    <col min="266" max="266" width="15.7109375" style="16" bestFit="1" customWidth="1"/>
    <col min="267" max="513" width="9.140625" style="16"/>
    <col min="514" max="514" width="8" style="16" customWidth="1"/>
    <col min="515" max="515" width="6.85546875" style="16" customWidth="1"/>
    <col min="516" max="516" width="14" style="16" bestFit="1" customWidth="1"/>
    <col min="517" max="518" width="9.140625" style="16"/>
    <col min="519" max="519" width="10.28515625" style="16" customWidth="1"/>
    <col min="520" max="520" width="13" style="16" customWidth="1"/>
    <col min="521" max="521" width="14.42578125" style="16" bestFit="1" customWidth="1"/>
    <col min="522" max="522" width="15.7109375" style="16" bestFit="1" customWidth="1"/>
    <col min="523" max="769" width="9.140625" style="16"/>
    <col min="770" max="770" width="8" style="16" customWidth="1"/>
    <col min="771" max="771" width="6.85546875" style="16" customWidth="1"/>
    <col min="772" max="772" width="14" style="16" bestFit="1" customWidth="1"/>
    <col min="773" max="774" width="9.140625" style="16"/>
    <col min="775" max="775" width="10.28515625" style="16" customWidth="1"/>
    <col min="776" max="776" width="13" style="16" customWidth="1"/>
    <col min="777" max="777" width="14.42578125" style="16" bestFit="1" customWidth="1"/>
    <col min="778" max="778" width="15.7109375" style="16" bestFit="1" customWidth="1"/>
    <col min="779" max="1025" width="9.140625" style="16"/>
    <col min="1026" max="1026" width="8" style="16" customWidth="1"/>
    <col min="1027" max="1027" width="6.85546875" style="16" customWidth="1"/>
    <col min="1028" max="1028" width="14" style="16" bestFit="1" customWidth="1"/>
    <col min="1029" max="1030" width="9.140625" style="16"/>
    <col min="1031" max="1031" width="10.28515625" style="16" customWidth="1"/>
    <col min="1032" max="1032" width="13" style="16" customWidth="1"/>
    <col min="1033" max="1033" width="14.42578125" style="16" bestFit="1" customWidth="1"/>
    <col min="1034" max="1034" width="15.7109375" style="16" bestFit="1" customWidth="1"/>
    <col min="1035" max="1281" width="9.140625" style="16"/>
    <col min="1282" max="1282" width="8" style="16" customWidth="1"/>
    <col min="1283" max="1283" width="6.85546875" style="16" customWidth="1"/>
    <col min="1284" max="1284" width="14" style="16" bestFit="1" customWidth="1"/>
    <col min="1285" max="1286" width="9.140625" style="16"/>
    <col min="1287" max="1287" width="10.28515625" style="16" customWidth="1"/>
    <col min="1288" max="1288" width="13" style="16" customWidth="1"/>
    <col min="1289" max="1289" width="14.42578125" style="16" bestFit="1" customWidth="1"/>
    <col min="1290" max="1290" width="15.7109375" style="16" bestFit="1" customWidth="1"/>
    <col min="1291" max="1537" width="9.140625" style="16"/>
    <col min="1538" max="1538" width="8" style="16" customWidth="1"/>
    <col min="1539" max="1539" width="6.85546875" style="16" customWidth="1"/>
    <col min="1540" max="1540" width="14" style="16" bestFit="1" customWidth="1"/>
    <col min="1541" max="1542" width="9.140625" style="16"/>
    <col min="1543" max="1543" width="10.28515625" style="16" customWidth="1"/>
    <col min="1544" max="1544" width="13" style="16" customWidth="1"/>
    <col min="1545" max="1545" width="14.42578125" style="16" bestFit="1" customWidth="1"/>
    <col min="1546" max="1546" width="15.7109375" style="16" bestFit="1" customWidth="1"/>
    <col min="1547" max="1793" width="9.140625" style="16"/>
    <col min="1794" max="1794" width="8" style="16" customWidth="1"/>
    <col min="1795" max="1795" width="6.85546875" style="16" customWidth="1"/>
    <col min="1796" max="1796" width="14" style="16" bestFit="1" customWidth="1"/>
    <col min="1797" max="1798" width="9.140625" style="16"/>
    <col min="1799" max="1799" width="10.28515625" style="16" customWidth="1"/>
    <col min="1800" max="1800" width="13" style="16" customWidth="1"/>
    <col min="1801" max="1801" width="14.42578125" style="16" bestFit="1" customWidth="1"/>
    <col min="1802" max="1802" width="15.7109375" style="16" bestFit="1" customWidth="1"/>
    <col min="1803" max="2049" width="9.140625" style="16"/>
    <col min="2050" max="2050" width="8" style="16" customWidth="1"/>
    <col min="2051" max="2051" width="6.85546875" style="16" customWidth="1"/>
    <col min="2052" max="2052" width="14" style="16" bestFit="1" customWidth="1"/>
    <col min="2053" max="2054" width="9.140625" style="16"/>
    <col min="2055" max="2055" width="10.28515625" style="16" customWidth="1"/>
    <col min="2056" max="2056" width="13" style="16" customWidth="1"/>
    <col min="2057" max="2057" width="14.42578125" style="16" bestFit="1" customWidth="1"/>
    <col min="2058" max="2058" width="15.7109375" style="16" bestFit="1" customWidth="1"/>
    <col min="2059" max="2305" width="9.140625" style="16"/>
    <col min="2306" max="2306" width="8" style="16" customWidth="1"/>
    <col min="2307" max="2307" width="6.85546875" style="16" customWidth="1"/>
    <col min="2308" max="2308" width="14" style="16" bestFit="1" customWidth="1"/>
    <col min="2309" max="2310" width="9.140625" style="16"/>
    <col min="2311" max="2311" width="10.28515625" style="16" customWidth="1"/>
    <col min="2312" max="2312" width="13" style="16" customWidth="1"/>
    <col min="2313" max="2313" width="14.42578125" style="16" bestFit="1" customWidth="1"/>
    <col min="2314" max="2314" width="15.7109375" style="16" bestFit="1" customWidth="1"/>
    <col min="2315" max="2561" width="9.140625" style="16"/>
    <col min="2562" max="2562" width="8" style="16" customWidth="1"/>
    <col min="2563" max="2563" width="6.85546875" style="16" customWidth="1"/>
    <col min="2564" max="2564" width="14" style="16" bestFit="1" customWidth="1"/>
    <col min="2565" max="2566" width="9.140625" style="16"/>
    <col min="2567" max="2567" width="10.28515625" style="16" customWidth="1"/>
    <col min="2568" max="2568" width="13" style="16" customWidth="1"/>
    <col min="2569" max="2569" width="14.42578125" style="16" bestFit="1" customWidth="1"/>
    <col min="2570" max="2570" width="15.7109375" style="16" bestFit="1" customWidth="1"/>
    <col min="2571" max="2817" width="9.140625" style="16"/>
    <col min="2818" max="2818" width="8" style="16" customWidth="1"/>
    <col min="2819" max="2819" width="6.85546875" style="16" customWidth="1"/>
    <col min="2820" max="2820" width="14" style="16" bestFit="1" customWidth="1"/>
    <col min="2821" max="2822" width="9.140625" style="16"/>
    <col min="2823" max="2823" width="10.28515625" style="16" customWidth="1"/>
    <col min="2824" max="2824" width="13" style="16" customWidth="1"/>
    <col min="2825" max="2825" width="14.42578125" style="16" bestFit="1" customWidth="1"/>
    <col min="2826" max="2826" width="15.7109375" style="16" bestFit="1" customWidth="1"/>
    <col min="2827" max="3073" width="9.140625" style="16"/>
    <col min="3074" max="3074" width="8" style="16" customWidth="1"/>
    <col min="3075" max="3075" width="6.85546875" style="16" customWidth="1"/>
    <col min="3076" max="3076" width="14" style="16" bestFit="1" customWidth="1"/>
    <col min="3077" max="3078" width="9.140625" style="16"/>
    <col min="3079" max="3079" width="10.28515625" style="16" customWidth="1"/>
    <col min="3080" max="3080" width="13" style="16" customWidth="1"/>
    <col min="3081" max="3081" width="14.42578125" style="16" bestFit="1" customWidth="1"/>
    <col min="3082" max="3082" width="15.7109375" style="16" bestFit="1" customWidth="1"/>
    <col min="3083" max="3329" width="9.140625" style="16"/>
    <col min="3330" max="3330" width="8" style="16" customWidth="1"/>
    <col min="3331" max="3331" width="6.85546875" style="16" customWidth="1"/>
    <col min="3332" max="3332" width="14" style="16" bestFit="1" customWidth="1"/>
    <col min="3333" max="3334" width="9.140625" style="16"/>
    <col min="3335" max="3335" width="10.28515625" style="16" customWidth="1"/>
    <col min="3336" max="3336" width="13" style="16" customWidth="1"/>
    <col min="3337" max="3337" width="14.42578125" style="16" bestFit="1" customWidth="1"/>
    <col min="3338" max="3338" width="15.7109375" style="16" bestFit="1" customWidth="1"/>
    <col min="3339" max="3585" width="9.140625" style="16"/>
    <col min="3586" max="3586" width="8" style="16" customWidth="1"/>
    <col min="3587" max="3587" width="6.85546875" style="16" customWidth="1"/>
    <col min="3588" max="3588" width="14" style="16" bestFit="1" customWidth="1"/>
    <col min="3589" max="3590" width="9.140625" style="16"/>
    <col min="3591" max="3591" width="10.28515625" style="16" customWidth="1"/>
    <col min="3592" max="3592" width="13" style="16" customWidth="1"/>
    <col min="3593" max="3593" width="14.42578125" style="16" bestFit="1" customWidth="1"/>
    <col min="3594" max="3594" width="15.7109375" style="16" bestFit="1" customWidth="1"/>
    <col min="3595" max="3841" width="9.140625" style="16"/>
    <col min="3842" max="3842" width="8" style="16" customWidth="1"/>
    <col min="3843" max="3843" width="6.85546875" style="16" customWidth="1"/>
    <col min="3844" max="3844" width="14" style="16" bestFit="1" customWidth="1"/>
    <col min="3845" max="3846" width="9.140625" style="16"/>
    <col min="3847" max="3847" width="10.28515625" style="16" customWidth="1"/>
    <col min="3848" max="3848" width="13" style="16" customWidth="1"/>
    <col min="3849" max="3849" width="14.42578125" style="16" bestFit="1" customWidth="1"/>
    <col min="3850" max="3850" width="15.7109375" style="16" bestFit="1" customWidth="1"/>
    <col min="3851" max="4097" width="9.140625" style="16"/>
    <col min="4098" max="4098" width="8" style="16" customWidth="1"/>
    <col min="4099" max="4099" width="6.85546875" style="16" customWidth="1"/>
    <col min="4100" max="4100" width="14" style="16" bestFit="1" customWidth="1"/>
    <col min="4101" max="4102" width="9.140625" style="16"/>
    <col min="4103" max="4103" width="10.28515625" style="16" customWidth="1"/>
    <col min="4104" max="4104" width="13" style="16" customWidth="1"/>
    <col min="4105" max="4105" width="14.42578125" style="16" bestFit="1" customWidth="1"/>
    <col min="4106" max="4106" width="15.7109375" style="16" bestFit="1" customWidth="1"/>
    <col min="4107" max="4353" width="9.140625" style="16"/>
    <col min="4354" max="4354" width="8" style="16" customWidth="1"/>
    <col min="4355" max="4355" width="6.85546875" style="16" customWidth="1"/>
    <col min="4356" max="4356" width="14" style="16" bestFit="1" customWidth="1"/>
    <col min="4357" max="4358" width="9.140625" style="16"/>
    <col min="4359" max="4359" width="10.28515625" style="16" customWidth="1"/>
    <col min="4360" max="4360" width="13" style="16" customWidth="1"/>
    <col min="4361" max="4361" width="14.42578125" style="16" bestFit="1" customWidth="1"/>
    <col min="4362" max="4362" width="15.7109375" style="16" bestFit="1" customWidth="1"/>
    <col min="4363" max="4609" width="9.140625" style="16"/>
    <col min="4610" max="4610" width="8" style="16" customWidth="1"/>
    <col min="4611" max="4611" width="6.85546875" style="16" customWidth="1"/>
    <col min="4612" max="4612" width="14" style="16" bestFit="1" customWidth="1"/>
    <col min="4613" max="4614" width="9.140625" style="16"/>
    <col min="4615" max="4615" width="10.28515625" style="16" customWidth="1"/>
    <col min="4616" max="4616" width="13" style="16" customWidth="1"/>
    <col min="4617" max="4617" width="14.42578125" style="16" bestFit="1" customWidth="1"/>
    <col min="4618" max="4618" width="15.7109375" style="16" bestFit="1" customWidth="1"/>
    <col min="4619" max="4865" width="9.140625" style="16"/>
    <col min="4866" max="4866" width="8" style="16" customWidth="1"/>
    <col min="4867" max="4867" width="6.85546875" style="16" customWidth="1"/>
    <col min="4868" max="4868" width="14" style="16" bestFit="1" customWidth="1"/>
    <col min="4869" max="4870" width="9.140625" style="16"/>
    <col min="4871" max="4871" width="10.28515625" style="16" customWidth="1"/>
    <col min="4872" max="4872" width="13" style="16" customWidth="1"/>
    <col min="4873" max="4873" width="14.42578125" style="16" bestFit="1" customWidth="1"/>
    <col min="4874" max="4874" width="15.7109375" style="16" bestFit="1" customWidth="1"/>
    <col min="4875" max="5121" width="9.140625" style="16"/>
    <col min="5122" max="5122" width="8" style="16" customWidth="1"/>
    <col min="5123" max="5123" width="6.85546875" style="16" customWidth="1"/>
    <col min="5124" max="5124" width="14" style="16" bestFit="1" customWidth="1"/>
    <col min="5125" max="5126" width="9.140625" style="16"/>
    <col min="5127" max="5127" width="10.28515625" style="16" customWidth="1"/>
    <col min="5128" max="5128" width="13" style="16" customWidth="1"/>
    <col min="5129" max="5129" width="14.42578125" style="16" bestFit="1" customWidth="1"/>
    <col min="5130" max="5130" width="15.7109375" style="16" bestFit="1" customWidth="1"/>
    <col min="5131" max="5377" width="9.140625" style="16"/>
    <col min="5378" max="5378" width="8" style="16" customWidth="1"/>
    <col min="5379" max="5379" width="6.85546875" style="16" customWidth="1"/>
    <col min="5380" max="5380" width="14" style="16" bestFit="1" customWidth="1"/>
    <col min="5381" max="5382" width="9.140625" style="16"/>
    <col min="5383" max="5383" width="10.28515625" style="16" customWidth="1"/>
    <col min="5384" max="5384" width="13" style="16" customWidth="1"/>
    <col min="5385" max="5385" width="14.42578125" style="16" bestFit="1" customWidth="1"/>
    <col min="5386" max="5386" width="15.7109375" style="16" bestFit="1" customWidth="1"/>
    <col min="5387" max="5633" width="9.140625" style="16"/>
    <col min="5634" max="5634" width="8" style="16" customWidth="1"/>
    <col min="5635" max="5635" width="6.85546875" style="16" customWidth="1"/>
    <col min="5636" max="5636" width="14" style="16" bestFit="1" customWidth="1"/>
    <col min="5637" max="5638" width="9.140625" style="16"/>
    <col min="5639" max="5639" width="10.28515625" style="16" customWidth="1"/>
    <col min="5640" max="5640" width="13" style="16" customWidth="1"/>
    <col min="5641" max="5641" width="14.42578125" style="16" bestFit="1" customWidth="1"/>
    <col min="5642" max="5642" width="15.7109375" style="16" bestFit="1" customWidth="1"/>
    <col min="5643" max="5889" width="9.140625" style="16"/>
    <col min="5890" max="5890" width="8" style="16" customWidth="1"/>
    <col min="5891" max="5891" width="6.85546875" style="16" customWidth="1"/>
    <col min="5892" max="5892" width="14" style="16" bestFit="1" customWidth="1"/>
    <col min="5893" max="5894" width="9.140625" style="16"/>
    <col min="5895" max="5895" width="10.28515625" style="16" customWidth="1"/>
    <col min="5896" max="5896" width="13" style="16" customWidth="1"/>
    <col min="5897" max="5897" width="14.42578125" style="16" bestFit="1" customWidth="1"/>
    <col min="5898" max="5898" width="15.7109375" style="16" bestFit="1" customWidth="1"/>
    <col min="5899" max="6145" width="9.140625" style="16"/>
    <col min="6146" max="6146" width="8" style="16" customWidth="1"/>
    <col min="6147" max="6147" width="6.85546875" style="16" customWidth="1"/>
    <col min="6148" max="6148" width="14" style="16" bestFit="1" customWidth="1"/>
    <col min="6149" max="6150" width="9.140625" style="16"/>
    <col min="6151" max="6151" width="10.28515625" style="16" customWidth="1"/>
    <col min="6152" max="6152" width="13" style="16" customWidth="1"/>
    <col min="6153" max="6153" width="14.42578125" style="16" bestFit="1" customWidth="1"/>
    <col min="6154" max="6154" width="15.7109375" style="16" bestFit="1" customWidth="1"/>
    <col min="6155" max="6401" width="9.140625" style="16"/>
    <col min="6402" max="6402" width="8" style="16" customWidth="1"/>
    <col min="6403" max="6403" width="6.85546875" style="16" customWidth="1"/>
    <col min="6404" max="6404" width="14" style="16" bestFit="1" customWidth="1"/>
    <col min="6405" max="6406" width="9.140625" style="16"/>
    <col min="6407" max="6407" width="10.28515625" style="16" customWidth="1"/>
    <col min="6408" max="6408" width="13" style="16" customWidth="1"/>
    <col min="6409" max="6409" width="14.42578125" style="16" bestFit="1" customWidth="1"/>
    <col min="6410" max="6410" width="15.7109375" style="16" bestFit="1" customWidth="1"/>
    <col min="6411" max="6657" width="9.140625" style="16"/>
    <col min="6658" max="6658" width="8" style="16" customWidth="1"/>
    <col min="6659" max="6659" width="6.85546875" style="16" customWidth="1"/>
    <col min="6660" max="6660" width="14" style="16" bestFit="1" customWidth="1"/>
    <col min="6661" max="6662" width="9.140625" style="16"/>
    <col min="6663" max="6663" width="10.28515625" style="16" customWidth="1"/>
    <col min="6664" max="6664" width="13" style="16" customWidth="1"/>
    <col min="6665" max="6665" width="14.42578125" style="16" bestFit="1" customWidth="1"/>
    <col min="6666" max="6666" width="15.7109375" style="16" bestFit="1" customWidth="1"/>
    <col min="6667" max="6913" width="9.140625" style="16"/>
    <col min="6914" max="6914" width="8" style="16" customWidth="1"/>
    <col min="6915" max="6915" width="6.85546875" style="16" customWidth="1"/>
    <col min="6916" max="6916" width="14" style="16" bestFit="1" customWidth="1"/>
    <col min="6917" max="6918" width="9.140625" style="16"/>
    <col min="6919" max="6919" width="10.28515625" style="16" customWidth="1"/>
    <col min="6920" max="6920" width="13" style="16" customWidth="1"/>
    <col min="6921" max="6921" width="14.42578125" style="16" bestFit="1" customWidth="1"/>
    <col min="6922" max="6922" width="15.7109375" style="16" bestFit="1" customWidth="1"/>
    <col min="6923" max="7169" width="9.140625" style="16"/>
    <col min="7170" max="7170" width="8" style="16" customWidth="1"/>
    <col min="7171" max="7171" width="6.85546875" style="16" customWidth="1"/>
    <col min="7172" max="7172" width="14" style="16" bestFit="1" customWidth="1"/>
    <col min="7173" max="7174" width="9.140625" style="16"/>
    <col min="7175" max="7175" width="10.28515625" style="16" customWidth="1"/>
    <col min="7176" max="7176" width="13" style="16" customWidth="1"/>
    <col min="7177" max="7177" width="14.42578125" style="16" bestFit="1" customWidth="1"/>
    <col min="7178" max="7178" width="15.7109375" style="16" bestFit="1" customWidth="1"/>
    <col min="7179" max="7425" width="9.140625" style="16"/>
    <col min="7426" max="7426" width="8" style="16" customWidth="1"/>
    <col min="7427" max="7427" width="6.85546875" style="16" customWidth="1"/>
    <col min="7428" max="7428" width="14" style="16" bestFit="1" customWidth="1"/>
    <col min="7429" max="7430" width="9.140625" style="16"/>
    <col min="7431" max="7431" width="10.28515625" style="16" customWidth="1"/>
    <col min="7432" max="7432" width="13" style="16" customWidth="1"/>
    <col min="7433" max="7433" width="14.42578125" style="16" bestFit="1" customWidth="1"/>
    <col min="7434" max="7434" width="15.7109375" style="16" bestFit="1" customWidth="1"/>
    <col min="7435" max="7681" width="9.140625" style="16"/>
    <col min="7682" max="7682" width="8" style="16" customWidth="1"/>
    <col min="7683" max="7683" width="6.85546875" style="16" customWidth="1"/>
    <col min="7684" max="7684" width="14" style="16" bestFit="1" customWidth="1"/>
    <col min="7685" max="7686" width="9.140625" style="16"/>
    <col min="7687" max="7687" width="10.28515625" style="16" customWidth="1"/>
    <col min="7688" max="7688" width="13" style="16" customWidth="1"/>
    <col min="7689" max="7689" width="14.42578125" style="16" bestFit="1" customWidth="1"/>
    <col min="7690" max="7690" width="15.7109375" style="16" bestFit="1" customWidth="1"/>
    <col min="7691" max="7937" width="9.140625" style="16"/>
    <col min="7938" max="7938" width="8" style="16" customWidth="1"/>
    <col min="7939" max="7939" width="6.85546875" style="16" customWidth="1"/>
    <col min="7940" max="7940" width="14" style="16" bestFit="1" customWidth="1"/>
    <col min="7941" max="7942" width="9.140625" style="16"/>
    <col min="7943" max="7943" width="10.28515625" style="16" customWidth="1"/>
    <col min="7944" max="7944" width="13" style="16" customWidth="1"/>
    <col min="7945" max="7945" width="14.42578125" style="16" bestFit="1" customWidth="1"/>
    <col min="7946" max="7946" width="15.7109375" style="16" bestFit="1" customWidth="1"/>
    <col min="7947" max="8193" width="9.140625" style="16"/>
    <col min="8194" max="8194" width="8" style="16" customWidth="1"/>
    <col min="8195" max="8195" width="6.85546875" style="16" customWidth="1"/>
    <col min="8196" max="8196" width="14" style="16" bestFit="1" customWidth="1"/>
    <col min="8197" max="8198" width="9.140625" style="16"/>
    <col min="8199" max="8199" width="10.28515625" style="16" customWidth="1"/>
    <col min="8200" max="8200" width="13" style="16" customWidth="1"/>
    <col min="8201" max="8201" width="14.42578125" style="16" bestFit="1" customWidth="1"/>
    <col min="8202" max="8202" width="15.7109375" style="16" bestFit="1" customWidth="1"/>
    <col min="8203" max="8449" width="9.140625" style="16"/>
    <col min="8450" max="8450" width="8" style="16" customWidth="1"/>
    <col min="8451" max="8451" width="6.85546875" style="16" customWidth="1"/>
    <col min="8452" max="8452" width="14" style="16" bestFit="1" customWidth="1"/>
    <col min="8453" max="8454" width="9.140625" style="16"/>
    <col min="8455" max="8455" width="10.28515625" style="16" customWidth="1"/>
    <col min="8456" max="8456" width="13" style="16" customWidth="1"/>
    <col min="8457" max="8457" width="14.42578125" style="16" bestFit="1" customWidth="1"/>
    <col min="8458" max="8458" width="15.7109375" style="16" bestFit="1" customWidth="1"/>
    <col min="8459" max="8705" width="9.140625" style="16"/>
    <col min="8706" max="8706" width="8" style="16" customWidth="1"/>
    <col min="8707" max="8707" width="6.85546875" style="16" customWidth="1"/>
    <col min="8708" max="8708" width="14" style="16" bestFit="1" customWidth="1"/>
    <col min="8709" max="8710" width="9.140625" style="16"/>
    <col min="8711" max="8711" width="10.28515625" style="16" customWidth="1"/>
    <col min="8712" max="8712" width="13" style="16" customWidth="1"/>
    <col min="8713" max="8713" width="14.42578125" style="16" bestFit="1" customWidth="1"/>
    <col min="8714" max="8714" width="15.7109375" style="16" bestFit="1" customWidth="1"/>
    <col min="8715" max="8961" width="9.140625" style="16"/>
    <col min="8962" max="8962" width="8" style="16" customWidth="1"/>
    <col min="8963" max="8963" width="6.85546875" style="16" customWidth="1"/>
    <col min="8964" max="8964" width="14" style="16" bestFit="1" customWidth="1"/>
    <col min="8965" max="8966" width="9.140625" style="16"/>
    <col min="8967" max="8967" width="10.28515625" style="16" customWidth="1"/>
    <col min="8968" max="8968" width="13" style="16" customWidth="1"/>
    <col min="8969" max="8969" width="14.42578125" style="16" bestFit="1" customWidth="1"/>
    <col min="8970" max="8970" width="15.7109375" style="16" bestFit="1" customWidth="1"/>
    <col min="8971" max="9217" width="9.140625" style="16"/>
    <col min="9218" max="9218" width="8" style="16" customWidth="1"/>
    <col min="9219" max="9219" width="6.85546875" style="16" customWidth="1"/>
    <col min="9220" max="9220" width="14" style="16" bestFit="1" customWidth="1"/>
    <col min="9221" max="9222" width="9.140625" style="16"/>
    <col min="9223" max="9223" width="10.28515625" style="16" customWidth="1"/>
    <col min="9224" max="9224" width="13" style="16" customWidth="1"/>
    <col min="9225" max="9225" width="14.42578125" style="16" bestFit="1" customWidth="1"/>
    <col min="9226" max="9226" width="15.7109375" style="16" bestFit="1" customWidth="1"/>
    <col min="9227" max="9473" width="9.140625" style="16"/>
    <col min="9474" max="9474" width="8" style="16" customWidth="1"/>
    <col min="9475" max="9475" width="6.85546875" style="16" customWidth="1"/>
    <col min="9476" max="9476" width="14" style="16" bestFit="1" customWidth="1"/>
    <col min="9477" max="9478" width="9.140625" style="16"/>
    <col min="9479" max="9479" width="10.28515625" style="16" customWidth="1"/>
    <col min="9480" max="9480" width="13" style="16" customWidth="1"/>
    <col min="9481" max="9481" width="14.42578125" style="16" bestFit="1" customWidth="1"/>
    <col min="9482" max="9482" width="15.7109375" style="16" bestFit="1" customWidth="1"/>
    <col min="9483" max="9729" width="9.140625" style="16"/>
    <col min="9730" max="9730" width="8" style="16" customWidth="1"/>
    <col min="9731" max="9731" width="6.85546875" style="16" customWidth="1"/>
    <col min="9732" max="9732" width="14" style="16" bestFit="1" customWidth="1"/>
    <col min="9733" max="9734" width="9.140625" style="16"/>
    <col min="9735" max="9735" width="10.28515625" style="16" customWidth="1"/>
    <col min="9736" max="9736" width="13" style="16" customWidth="1"/>
    <col min="9737" max="9737" width="14.42578125" style="16" bestFit="1" customWidth="1"/>
    <col min="9738" max="9738" width="15.7109375" style="16" bestFit="1" customWidth="1"/>
    <col min="9739" max="9985" width="9.140625" style="16"/>
    <col min="9986" max="9986" width="8" style="16" customWidth="1"/>
    <col min="9987" max="9987" width="6.85546875" style="16" customWidth="1"/>
    <col min="9988" max="9988" width="14" style="16" bestFit="1" customWidth="1"/>
    <col min="9989" max="9990" width="9.140625" style="16"/>
    <col min="9991" max="9991" width="10.28515625" style="16" customWidth="1"/>
    <col min="9992" max="9992" width="13" style="16" customWidth="1"/>
    <col min="9993" max="9993" width="14.42578125" style="16" bestFit="1" customWidth="1"/>
    <col min="9994" max="9994" width="15.7109375" style="16" bestFit="1" customWidth="1"/>
    <col min="9995" max="10241" width="9.140625" style="16"/>
    <col min="10242" max="10242" width="8" style="16" customWidth="1"/>
    <col min="10243" max="10243" width="6.85546875" style="16" customWidth="1"/>
    <col min="10244" max="10244" width="14" style="16" bestFit="1" customWidth="1"/>
    <col min="10245" max="10246" width="9.140625" style="16"/>
    <col min="10247" max="10247" width="10.28515625" style="16" customWidth="1"/>
    <col min="10248" max="10248" width="13" style="16" customWidth="1"/>
    <col min="10249" max="10249" width="14.42578125" style="16" bestFit="1" customWidth="1"/>
    <col min="10250" max="10250" width="15.7109375" style="16" bestFit="1" customWidth="1"/>
    <col min="10251" max="10497" width="9.140625" style="16"/>
    <col min="10498" max="10498" width="8" style="16" customWidth="1"/>
    <col min="10499" max="10499" width="6.85546875" style="16" customWidth="1"/>
    <col min="10500" max="10500" width="14" style="16" bestFit="1" customWidth="1"/>
    <col min="10501" max="10502" width="9.140625" style="16"/>
    <col min="10503" max="10503" width="10.28515625" style="16" customWidth="1"/>
    <col min="10504" max="10504" width="13" style="16" customWidth="1"/>
    <col min="10505" max="10505" width="14.42578125" style="16" bestFit="1" customWidth="1"/>
    <col min="10506" max="10506" width="15.7109375" style="16" bestFit="1" customWidth="1"/>
    <col min="10507" max="10753" width="9.140625" style="16"/>
    <col min="10754" max="10754" width="8" style="16" customWidth="1"/>
    <col min="10755" max="10755" width="6.85546875" style="16" customWidth="1"/>
    <col min="10756" max="10756" width="14" style="16" bestFit="1" customWidth="1"/>
    <col min="10757" max="10758" width="9.140625" style="16"/>
    <col min="10759" max="10759" width="10.28515625" style="16" customWidth="1"/>
    <col min="10760" max="10760" width="13" style="16" customWidth="1"/>
    <col min="10761" max="10761" width="14.42578125" style="16" bestFit="1" customWidth="1"/>
    <col min="10762" max="10762" width="15.7109375" style="16" bestFit="1" customWidth="1"/>
    <col min="10763" max="11009" width="9.140625" style="16"/>
    <col min="11010" max="11010" width="8" style="16" customWidth="1"/>
    <col min="11011" max="11011" width="6.85546875" style="16" customWidth="1"/>
    <col min="11012" max="11012" width="14" style="16" bestFit="1" customWidth="1"/>
    <col min="11013" max="11014" width="9.140625" style="16"/>
    <col min="11015" max="11015" width="10.28515625" style="16" customWidth="1"/>
    <col min="11016" max="11016" width="13" style="16" customWidth="1"/>
    <col min="11017" max="11017" width="14.42578125" style="16" bestFit="1" customWidth="1"/>
    <col min="11018" max="11018" width="15.7109375" style="16" bestFit="1" customWidth="1"/>
    <col min="11019" max="11265" width="9.140625" style="16"/>
    <col min="11266" max="11266" width="8" style="16" customWidth="1"/>
    <col min="11267" max="11267" width="6.85546875" style="16" customWidth="1"/>
    <col min="11268" max="11268" width="14" style="16" bestFit="1" customWidth="1"/>
    <col min="11269" max="11270" width="9.140625" style="16"/>
    <col min="11271" max="11271" width="10.28515625" style="16" customWidth="1"/>
    <col min="11272" max="11272" width="13" style="16" customWidth="1"/>
    <col min="11273" max="11273" width="14.42578125" style="16" bestFit="1" customWidth="1"/>
    <col min="11274" max="11274" width="15.7109375" style="16" bestFit="1" customWidth="1"/>
    <col min="11275" max="11521" width="9.140625" style="16"/>
    <col min="11522" max="11522" width="8" style="16" customWidth="1"/>
    <col min="11523" max="11523" width="6.85546875" style="16" customWidth="1"/>
    <col min="11524" max="11524" width="14" style="16" bestFit="1" customWidth="1"/>
    <col min="11525" max="11526" width="9.140625" style="16"/>
    <col min="11527" max="11527" width="10.28515625" style="16" customWidth="1"/>
    <col min="11528" max="11528" width="13" style="16" customWidth="1"/>
    <col min="11529" max="11529" width="14.42578125" style="16" bestFit="1" customWidth="1"/>
    <col min="11530" max="11530" width="15.7109375" style="16" bestFit="1" customWidth="1"/>
    <col min="11531" max="11777" width="9.140625" style="16"/>
    <col min="11778" max="11778" width="8" style="16" customWidth="1"/>
    <col min="11779" max="11779" width="6.85546875" style="16" customWidth="1"/>
    <col min="11780" max="11780" width="14" style="16" bestFit="1" customWidth="1"/>
    <col min="11781" max="11782" width="9.140625" style="16"/>
    <col min="11783" max="11783" width="10.28515625" style="16" customWidth="1"/>
    <col min="11784" max="11784" width="13" style="16" customWidth="1"/>
    <col min="11785" max="11785" width="14.42578125" style="16" bestFit="1" customWidth="1"/>
    <col min="11786" max="11786" width="15.7109375" style="16" bestFit="1" customWidth="1"/>
    <col min="11787" max="12033" width="9.140625" style="16"/>
    <col min="12034" max="12034" width="8" style="16" customWidth="1"/>
    <col min="12035" max="12035" width="6.85546875" style="16" customWidth="1"/>
    <col min="12036" max="12036" width="14" style="16" bestFit="1" customWidth="1"/>
    <col min="12037" max="12038" width="9.140625" style="16"/>
    <col min="12039" max="12039" width="10.28515625" style="16" customWidth="1"/>
    <col min="12040" max="12040" width="13" style="16" customWidth="1"/>
    <col min="12041" max="12041" width="14.42578125" style="16" bestFit="1" customWidth="1"/>
    <col min="12042" max="12042" width="15.7109375" style="16" bestFit="1" customWidth="1"/>
    <col min="12043" max="12289" width="9.140625" style="16"/>
    <col min="12290" max="12290" width="8" style="16" customWidth="1"/>
    <col min="12291" max="12291" width="6.85546875" style="16" customWidth="1"/>
    <col min="12292" max="12292" width="14" style="16" bestFit="1" customWidth="1"/>
    <col min="12293" max="12294" width="9.140625" style="16"/>
    <col min="12295" max="12295" width="10.28515625" style="16" customWidth="1"/>
    <col min="12296" max="12296" width="13" style="16" customWidth="1"/>
    <col min="12297" max="12297" width="14.42578125" style="16" bestFit="1" customWidth="1"/>
    <col min="12298" max="12298" width="15.7109375" style="16" bestFit="1" customWidth="1"/>
    <col min="12299" max="12545" width="9.140625" style="16"/>
    <col min="12546" max="12546" width="8" style="16" customWidth="1"/>
    <col min="12547" max="12547" width="6.85546875" style="16" customWidth="1"/>
    <col min="12548" max="12548" width="14" style="16" bestFit="1" customWidth="1"/>
    <col min="12549" max="12550" width="9.140625" style="16"/>
    <col min="12551" max="12551" width="10.28515625" style="16" customWidth="1"/>
    <col min="12552" max="12552" width="13" style="16" customWidth="1"/>
    <col min="12553" max="12553" width="14.42578125" style="16" bestFit="1" customWidth="1"/>
    <col min="12554" max="12554" width="15.7109375" style="16" bestFit="1" customWidth="1"/>
    <col min="12555" max="12801" width="9.140625" style="16"/>
    <col min="12802" max="12802" width="8" style="16" customWidth="1"/>
    <col min="12803" max="12803" width="6.85546875" style="16" customWidth="1"/>
    <col min="12804" max="12804" width="14" style="16" bestFit="1" customWidth="1"/>
    <col min="12805" max="12806" width="9.140625" style="16"/>
    <col min="12807" max="12807" width="10.28515625" style="16" customWidth="1"/>
    <col min="12808" max="12808" width="13" style="16" customWidth="1"/>
    <col min="12809" max="12809" width="14.42578125" style="16" bestFit="1" customWidth="1"/>
    <col min="12810" max="12810" width="15.7109375" style="16" bestFit="1" customWidth="1"/>
    <col min="12811" max="13057" width="9.140625" style="16"/>
    <col min="13058" max="13058" width="8" style="16" customWidth="1"/>
    <col min="13059" max="13059" width="6.85546875" style="16" customWidth="1"/>
    <col min="13060" max="13060" width="14" style="16" bestFit="1" customWidth="1"/>
    <col min="13061" max="13062" width="9.140625" style="16"/>
    <col min="13063" max="13063" width="10.28515625" style="16" customWidth="1"/>
    <col min="13064" max="13064" width="13" style="16" customWidth="1"/>
    <col min="13065" max="13065" width="14.42578125" style="16" bestFit="1" customWidth="1"/>
    <col min="13066" max="13066" width="15.7109375" style="16" bestFit="1" customWidth="1"/>
    <col min="13067" max="13313" width="9.140625" style="16"/>
    <col min="13314" max="13314" width="8" style="16" customWidth="1"/>
    <col min="13315" max="13315" width="6.85546875" style="16" customWidth="1"/>
    <col min="13316" max="13316" width="14" style="16" bestFit="1" customWidth="1"/>
    <col min="13317" max="13318" width="9.140625" style="16"/>
    <col min="13319" max="13319" width="10.28515625" style="16" customWidth="1"/>
    <col min="13320" max="13320" width="13" style="16" customWidth="1"/>
    <col min="13321" max="13321" width="14.42578125" style="16" bestFit="1" customWidth="1"/>
    <col min="13322" max="13322" width="15.7109375" style="16" bestFit="1" customWidth="1"/>
    <col min="13323" max="13569" width="9.140625" style="16"/>
    <col min="13570" max="13570" width="8" style="16" customWidth="1"/>
    <col min="13571" max="13571" width="6.85546875" style="16" customWidth="1"/>
    <col min="13572" max="13572" width="14" style="16" bestFit="1" customWidth="1"/>
    <col min="13573" max="13574" width="9.140625" style="16"/>
    <col min="13575" max="13575" width="10.28515625" style="16" customWidth="1"/>
    <col min="13576" max="13576" width="13" style="16" customWidth="1"/>
    <col min="13577" max="13577" width="14.42578125" style="16" bestFit="1" customWidth="1"/>
    <col min="13578" max="13578" width="15.7109375" style="16" bestFit="1" customWidth="1"/>
    <col min="13579" max="13825" width="9.140625" style="16"/>
    <col min="13826" max="13826" width="8" style="16" customWidth="1"/>
    <col min="13827" max="13827" width="6.85546875" style="16" customWidth="1"/>
    <col min="13828" max="13828" width="14" style="16" bestFit="1" customWidth="1"/>
    <col min="13829" max="13830" width="9.140625" style="16"/>
    <col min="13831" max="13831" width="10.28515625" style="16" customWidth="1"/>
    <col min="13832" max="13832" width="13" style="16" customWidth="1"/>
    <col min="13833" max="13833" width="14.42578125" style="16" bestFit="1" customWidth="1"/>
    <col min="13834" max="13834" width="15.7109375" style="16" bestFit="1" customWidth="1"/>
    <col min="13835" max="14081" width="9.140625" style="16"/>
    <col min="14082" max="14082" width="8" style="16" customWidth="1"/>
    <col min="14083" max="14083" width="6.85546875" style="16" customWidth="1"/>
    <col min="14084" max="14084" width="14" style="16" bestFit="1" customWidth="1"/>
    <col min="14085" max="14086" width="9.140625" style="16"/>
    <col min="14087" max="14087" width="10.28515625" style="16" customWidth="1"/>
    <col min="14088" max="14088" width="13" style="16" customWidth="1"/>
    <col min="14089" max="14089" width="14.42578125" style="16" bestFit="1" customWidth="1"/>
    <col min="14090" max="14090" width="15.7109375" style="16" bestFit="1" customWidth="1"/>
    <col min="14091" max="14337" width="9.140625" style="16"/>
    <col min="14338" max="14338" width="8" style="16" customWidth="1"/>
    <col min="14339" max="14339" width="6.85546875" style="16" customWidth="1"/>
    <col min="14340" max="14340" width="14" style="16" bestFit="1" customWidth="1"/>
    <col min="14341" max="14342" width="9.140625" style="16"/>
    <col min="14343" max="14343" width="10.28515625" style="16" customWidth="1"/>
    <col min="14344" max="14344" width="13" style="16" customWidth="1"/>
    <col min="14345" max="14345" width="14.42578125" style="16" bestFit="1" customWidth="1"/>
    <col min="14346" max="14346" width="15.7109375" style="16" bestFit="1" customWidth="1"/>
    <col min="14347" max="14593" width="9.140625" style="16"/>
    <col min="14594" max="14594" width="8" style="16" customWidth="1"/>
    <col min="14595" max="14595" width="6.85546875" style="16" customWidth="1"/>
    <col min="14596" max="14596" width="14" style="16" bestFit="1" customWidth="1"/>
    <col min="14597" max="14598" width="9.140625" style="16"/>
    <col min="14599" max="14599" width="10.28515625" style="16" customWidth="1"/>
    <col min="14600" max="14600" width="13" style="16" customWidth="1"/>
    <col min="14601" max="14601" width="14.42578125" style="16" bestFit="1" customWidth="1"/>
    <col min="14602" max="14602" width="15.7109375" style="16" bestFit="1" customWidth="1"/>
    <col min="14603" max="14849" width="9.140625" style="16"/>
    <col min="14850" max="14850" width="8" style="16" customWidth="1"/>
    <col min="14851" max="14851" width="6.85546875" style="16" customWidth="1"/>
    <col min="14852" max="14852" width="14" style="16" bestFit="1" customWidth="1"/>
    <col min="14853" max="14854" width="9.140625" style="16"/>
    <col min="14855" max="14855" width="10.28515625" style="16" customWidth="1"/>
    <col min="14856" max="14856" width="13" style="16" customWidth="1"/>
    <col min="14857" max="14857" width="14.42578125" style="16" bestFit="1" customWidth="1"/>
    <col min="14858" max="14858" width="15.7109375" style="16" bestFit="1" customWidth="1"/>
    <col min="14859" max="15105" width="9.140625" style="16"/>
    <col min="15106" max="15106" width="8" style="16" customWidth="1"/>
    <col min="15107" max="15107" width="6.85546875" style="16" customWidth="1"/>
    <col min="15108" max="15108" width="14" style="16" bestFit="1" customWidth="1"/>
    <col min="15109" max="15110" width="9.140625" style="16"/>
    <col min="15111" max="15111" width="10.28515625" style="16" customWidth="1"/>
    <col min="15112" max="15112" width="13" style="16" customWidth="1"/>
    <col min="15113" max="15113" width="14.42578125" style="16" bestFit="1" customWidth="1"/>
    <col min="15114" max="15114" width="15.7109375" style="16" bestFit="1" customWidth="1"/>
    <col min="15115" max="15361" width="9.140625" style="16"/>
    <col min="15362" max="15362" width="8" style="16" customWidth="1"/>
    <col min="15363" max="15363" width="6.85546875" style="16" customWidth="1"/>
    <col min="15364" max="15364" width="14" style="16" bestFit="1" customWidth="1"/>
    <col min="15365" max="15366" width="9.140625" style="16"/>
    <col min="15367" max="15367" width="10.28515625" style="16" customWidth="1"/>
    <col min="15368" max="15368" width="13" style="16" customWidth="1"/>
    <col min="15369" max="15369" width="14.42578125" style="16" bestFit="1" customWidth="1"/>
    <col min="15370" max="15370" width="15.7109375" style="16" bestFit="1" customWidth="1"/>
    <col min="15371" max="15617" width="9.140625" style="16"/>
    <col min="15618" max="15618" width="8" style="16" customWidth="1"/>
    <col min="15619" max="15619" width="6.85546875" style="16" customWidth="1"/>
    <col min="15620" max="15620" width="14" style="16" bestFit="1" customWidth="1"/>
    <col min="15621" max="15622" width="9.140625" style="16"/>
    <col min="15623" max="15623" width="10.28515625" style="16" customWidth="1"/>
    <col min="15624" max="15624" width="13" style="16" customWidth="1"/>
    <col min="15625" max="15625" width="14.42578125" style="16" bestFit="1" customWidth="1"/>
    <col min="15626" max="15626" width="15.7109375" style="16" bestFit="1" customWidth="1"/>
    <col min="15627" max="15873" width="9.140625" style="16"/>
    <col min="15874" max="15874" width="8" style="16" customWidth="1"/>
    <col min="15875" max="15875" width="6.85546875" style="16" customWidth="1"/>
    <col min="15876" max="15876" width="14" style="16" bestFit="1" customWidth="1"/>
    <col min="15877" max="15878" width="9.140625" style="16"/>
    <col min="15879" max="15879" width="10.28515625" style="16" customWidth="1"/>
    <col min="15880" max="15880" width="13" style="16" customWidth="1"/>
    <col min="15881" max="15881" width="14.42578125" style="16" bestFit="1" customWidth="1"/>
    <col min="15882" max="15882" width="15.7109375" style="16" bestFit="1" customWidth="1"/>
    <col min="15883" max="16129" width="9.140625" style="16"/>
    <col min="16130" max="16130" width="8" style="16" customWidth="1"/>
    <col min="16131" max="16131" width="6.85546875" style="16" customWidth="1"/>
    <col min="16132" max="16132" width="14" style="16" bestFit="1" customWidth="1"/>
    <col min="16133" max="16134" width="9.140625" style="16"/>
    <col min="16135" max="16135" width="10.28515625" style="16" customWidth="1"/>
    <col min="16136" max="16136" width="13" style="16" customWidth="1"/>
    <col min="16137" max="16137" width="14.42578125" style="16" bestFit="1" customWidth="1"/>
    <col min="16138" max="16138" width="15.7109375" style="16" bestFit="1" customWidth="1"/>
    <col min="16139" max="16384" width="9.140625" style="16"/>
  </cols>
  <sheetData>
    <row r="6" spans="2:10" ht="16.5" thickBot="1" x14ac:dyDescent="0.3"/>
    <row r="7" spans="2:10" x14ac:dyDescent="0.25">
      <c r="B7" s="676" t="s">
        <v>4</v>
      </c>
      <c r="C7" s="677"/>
      <c r="D7" s="677"/>
      <c r="E7" s="677"/>
      <c r="F7" s="677"/>
      <c r="G7" s="677"/>
      <c r="H7" s="677"/>
      <c r="I7" s="677"/>
      <c r="J7" s="678"/>
    </row>
    <row r="8" spans="2:10" x14ac:dyDescent="0.25">
      <c r="B8" s="679" t="s">
        <v>5</v>
      </c>
      <c r="C8" s="630"/>
      <c r="D8" s="630"/>
      <c r="E8" s="680" t="s">
        <v>6</v>
      </c>
      <c r="F8" s="630"/>
      <c r="G8" s="630"/>
      <c r="H8" s="680" t="s">
        <v>7</v>
      </c>
      <c r="I8" s="630"/>
      <c r="J8" s="681"/>
    </row>
    <row r="9" spans="2:10" ht="16.5" thickBot="1" x14ac:dyDescent="0.3">
      <c r="B9" s="682" t="s">
        <v>8</v>
      </c>
      <c r="C9" s="683"/>
      <c r="D9" s="683"/>
      <c r="E9" s="683"/>
      <c r="F9" s="17"/>
      <c r="G9" s="684" t="str">
        <f>"FONE: (45)3242-2210         V.:"&amp;GERAL!C26</f>
        <v>FONE: (45)3242-2210         V.:Versão: 45791</v>
      </c>
      <c r="H9" s="684"/>
      <c r="I9" s="684"/>
      <c r="J9" s="685"/>
    </row>
    <row r="10" spans="2:10" ht="16.5" thickBot="1" x14ac:dyDescent="0.3">
      <c r="E10" s="18"/>
      <c r="F10" s="18"/>
      <c r="G10" s="18"/>
      <c r="H10" s="19"/>
    </row>
    <row r="11" spans="2:10" x14ac:dyDescent="0.25">
      <c r="B11" s="20"/>
      <c r="C11" s="103" t="s">
        <v>154</v>
      </c>
      <c r="D11" s="21"/>
      <c r="E11" s="22"/>
      <c r="F11" s="22"/>
      <c r="G11" s="22"/>
      <c r="H11" s="23" t="s">
        <v>9</v>
      </c>
      <c r="I11" s="24">
        <f ca="1">TODAY()</f>
        <v>45828</v>
      </c>
      <c r="J11" s="25"/>
    </row>
    <row r="12" spans="2:10" x14ac:dyDescent="0.25">
      <c r="B12" s="26"/>
      <c r="J12" s="27"/>
    </row>
    <row r="13" spans="2:10" x14ac:dyDescent="0.25">
      <c r="B13" s="26"/>
      <c r="C13" s="28" t="s">
        <v>37</v>
      </c>
      <c r="D13" s="29"/>
      <c r="E13" s="751"/>
      <c r="F13" s="752"/>
      <c r="G13" s="752"/>
      <c r="H13" s="752"/>
      <c r="I13" s="753"/>
      <c r="J13" s="30"/>
    </row>
    <row r="14" spans="2:10" x14ac:dyDescent="0.25">
      <c r="B14" s="26"/>
      <c r="C14" s="28" t="s">
        <v>38</v>
      </c>
      <c r="D14" s="29"/>
      <c r="E14" s="751"/>
      <c r="F14" s="752"/>
      <c r="G14" s="752"/>
      <c r="H14" s="752"/>
      <c r="I14" s="753"/>
      <c r="J14" s="30"/>
    </row>
    <row r="15" spans="2:10" x14ac:dyDescent="0.25">
      <c r="B15" s="26"/>
      <c r="C15" s="31" t="s">
        <v>39</v>
      </c>
      <c r="E15" s="751"/>
      <c r="F15" s="752"/>
      <c r="G15" s="752"/>
      <c r="H15" s="752"/>
      <c r="I15" s="753"/>
      <c r="J15" s="30"/>
    </row>
    <row r="16" spans="2:10" x14ac:dyDescent="0.25">
      <c r="B16" s="26"/>
      <c r="C16" s="28" t="s">
        <v>40</v>
      </c>
      <c r="D16" s="29"/>
      <c r="E16" s="184"/>
      <c r="F16" s="172" t="s">
        <v>367</v>
      </c>
      <c r="G16" s="752"/>
      <c r="H16" s="752"/>
      <c r="I16" s="753"/>
      <c r="J16" s="30"/>
    </row>
    <row r="17" spans="2:13" x14ac:dyDescent="0.25">
      <c r="B17" s="26"/>
      <c r="C17" s="31" t="s">
        <v>41</v>
      </c>
      <c r="E17" s="752"/>
      <c r="F17" s="752"/>
      <c r="G17" s="752"/>
      <c r="H17" s="172" t="s">
        <v>113</v>
      </c>
      <c r="I17" s="177"/>
      <c r="J17" s="30"/>
      <c r="K17" s="32"/>
    </row>
    <row r="18" spans="2:13" x14ac:dyDescent="0.25">
      <c r="B18" s="26"/>
      <c r="C18" s="28" t="s">
        <v>42</v>
      </c>
      <c r="D18" s="29"/>
      <c r="E18" s="752"/>
      <c r="F18" s="752"/>
      <c r="G18" s="752"/>
      <c r="H18" s="752"/>
      <c r="I18" s="753"/>
      <c r="J18" s="30"/>
    </row>
    <row r="19" spans="2:13" x14ac:dyDescent="0.25">
      <c r="B19" s="26"/>
      <c r="C19" s="28" t="s">
        <v>43</v>
      </c>
      <c r="D19" s="29"/>
      <c r="E19" s="751"/>
      <c r="F19" s="752"/>
      <c r="G19" s="752"/>
      <c r="H19" s="752"/>
      <c r="I19" s="753"/>
      <c r="J19" s="30"/>
    </row>
    <row r="20" spans="2:13" x14ac:dyDescent="0.25">
      <c r="B20" s="26"/>
      <c r="E20" s="54"/>
      <c r="F20" s="54"/>
      <c r="G20" s="54"/>
      <c r="H20" s="54"/>
      <c r="I20" s="54"/>
      <c r="J20" s="27"/>
    </row>
    <row r="21" spans="2:13" ht="16.5" thickBot="1" x14ac:dyDescent="0.3">
      <c r="B21" s="33"/>
      <c r="C21" s="17"/>
      <c r="D21" s="17"/>
      <c r="E21" s="58"/>
      <c r="F21" s="58"/>
      <c r="G21" s="58"/>
      <c r="H21" s="58"/>
      <c r="I21" s="58"/>
      <c r="J21" s="34"/>
    </row>
    <row r="22" spans="2:13" ht="16.5" thickBot="1" x14ac:dyDescent="0.3">
      <c r="E22" s="54"/>
      <c r="F22" s="54"/>
      <c r="G22" s="54"/>
      <c r="H22" s="54"/>
      <c r="I22" s="54"/>
    </row>
    <row r="23" spans="2:13" x14ac:dyDescent="0.25">
      <c r="B23" s="20"/>
      <c r="C23" s="21"/>
      <c r="D23" s="21"/>
      <c r="E23" s="59"/>
      <c r="F23" s="59"/>
      <c r="G23" s="59"/>
      <c r="H23" s="59"/>
      <c r="I23" s="59"/>
      <c r="J23" s="25"/>
    </row>
    <row r="24" spans="2:13" x14ac:dyDescent="0.25">
      <c r="B24" s="26"/>
      <c r="C24" s="254" t="s">
        <v>10</v>
      </c>
      <c r="D24" s="255"/>
      <c r="E24" s="754"/>
      <c r="F24" s="754"/>
      <c r="G24" s="754"/>
      <c r="H24" s="754"/>
      <c r="I24" s="754"/>
      <c r="J24" s="27"/>
    </row>
    <row r="25" spans="2:13" x14ac:dyDescent="0.25">
      <c r="B25" s="26"/>
      <c r="C25" s="254" t="s">
        <v>14</v>
      </c>
      <c r="D25" s="256"/>
      <c r="E25" s="755"/>
      <c r="F25" s="755"/>
      <c r="G25" s="755"/>
      <c r="H25" s="755"/>
      <c r="I25" s="755"/>
      <c r="J25" s="27"/>
    </row>
    <row r="26" spans="2:13" x14ac:dyDescent="0.25">
      <c r="B26" s="26"/>
      <c r="C26" s="254" t="s">
        <v>155</v>
      </c>
      <c r="D26" s="256"/>
      <c r="E26" s="259"/>
      <c r="F26" s="260"/>
      <c r="G26" s="260"/>
      <c r="H26" s="260"/>
      <c r="I26" s="261"/>
      <c r="J26" s="27"/>
    </row>
    <row r="27" spans="2:13" x14ac:dyDescent="0.25">
      <c r="B27" s="26"/>
      <c r="C27" s="257"/>
      <c r="D27" s="256" t="s">
        <v>156</v>
      </c>
      <c r="E27" s="259"/>
      <c r="F27" s="260"/>
      <c r="G27" s="260"/>
      <c r="H27" s="260"/>
      <c r="I27" s="261"/>
      <c r="J27" s="27"/>
    </row>
    <row r="28" spans="2:13" x14ac:dyDescent="0.25">
      <c r="B28" s="26"/>
      <c r="C28" s="258"/>
      <c r="D28" s="255" t="s">
        <v>157</v>
      </c>
      <c r="E28" s="259"/>
      <c r="F28" s="260"/>
      <c r="G28" s="260"/>
      <c r="H28" s="260"/>
      <c r="I28" s="261"/>
      <c r="J28" s="27"/>
    </row>
    <row r="29" spans="2:13" ht="16.5" thickBot="1" x14ac:dyDescent="0.3">
      <c r="B29" s="33"/>
      <c r="C29" s="17"/>
      <c r="D29" s="17"/>
      <c r="E29" s="17"/>
      <c r="F29" s="17"/>
      <c r="G29" s="17"/>
      <c r="H29" s="17"/>
      <c r="I29" s="17"/>
      <c r="J29" s="34"/>
    </row>
    <row r="30" spans="2:13" ht="16.5" thickBot="1" x14ac:dyDescent="0.3"/>
    <row r="31" spans="2:13" x14ac:dyDescent="0.25">
      <c r="B31" s="20"/>
      <c r="C31" s="21"/>
      <c r="D31" s="36"/>
      <c r="E31" s="21"/>
      <c r="F31" s="21"/>
      <c r="G31" s="21"/>
      <c r="H31" s="21"/>
      <c r="I31" s="21"/>
      <c r="J31" s="25"/>
      <c r="M31" s="428">
        <v>44956</v>
      </c>
    </row>
    <row r="32" spans="2:13" x14ac:dyDescent="0.25">
      <c r="B32" s="37" t="s">
        <v>238</v>
      </c>
      <c r="D32" s="178"/>
      <c r="E32" s="32"/>
      <c r="G32" s="39" t="s">
        <v>16</v>
      </c>
      <c r="H32" s="181"/>
      <c r="J32" s="27"/>
      <c r="M32" s="428">
        <f>D32</f>
        <v>0</v>
      </c>
    </row>
    <row r="33" spans="2:13" x14ac:dyDescent="0.25">
      <c r="B33" s="37" t="s">
        <v>17</v>
      </c>
      <c r="D33" s="150"/>
      <c r="G33" s="39" t="s">
        <v>18</v>
      </c>
      <c r="H33" s="181"/>
      <c r="J33" s="27"/>
      <c r="M33" s="429">
        <f>_xlfn.DAYS(M32,M31)/30</f>
        <v>-1498.5333333333333</v>
      </c>
    </row>
    <row r="34" spans="2:13" x14ac:dyDescent="0.25">
      <c r="B34" s="37" t="s">
        <v>19</v>
      </c>
      <c r="D34" s="179"/>
      <c r="E34" s="41" t="s">
        <v>20</v>
      </c>
      <c r="G34" s="39" t="s">
        <v>21</v>
      </c>
      <c r="H34" s="182"/>
      <c r="J34" s="27"/>
      <c r="M34" s="355">
        <f>POWER(1.03,M33)</f>
        <v>5.7941651786994346E-20</v>
      </c>
    </row>
    <row r="35" spans="2:13" x14ac:dyDescent="0.25">
      <c r="B35" s="37" t="s">
        <v>23</v>
      </c>
      <c r="D35" s="180"/>
      <c r="E35" s="42"/>
      <c r="G35" s="43" t="str">
        <f>IF('INPUT CONFERENCIA'!E3="n","(**)"," ")</f>
        <v xml:space="preserve"> </v>
      </c>
      <c r="H35" s="44"/>
      <c r="J35" s="27"/>
    </row>
    <row r="36" spans="2:13" x14ac:dyDescent="0.25">
      <c r="B36" s="37" t="s">
        <v>24</v>
      </c>
      <c r="D36" s="55" t="str">
        <f>'PEDIDO VIA CLIENTE'!D36</f>
        <v>VICTOR</v>
      </c>
      <c r="E36" s="42"/>
      <c r="G36" s="39"/>
      <c r="H36" s="44"/>
      <c r="J36" s="27"/>
    </row>
    <row r="37" spans="2:13" ht="16.5" thickBot="1" x14ac:dyDescent="0.3">
      <c r="B37" s="33"/>
      <c r="C37" s="17"/>
      <c r="D37" s="17"/>
      <c r="E37" s="17"/>
      <c r="F37" s="17"/>
      <c r="G37" s="17"/>
      <c r="H37" s="17"/>
      <c r="I37" s="17"/>
      <c r="J37" s="34"/>
    </row>
    <row r="38" spans="2:13" ht="16.5" thickBot="1" x14ac:dyDescent="0.3"/>
    <row r="39" spans="2:13" x14ac:dyDescent="0.25">
      <c r="B39" s="668" t="s">
        <v>25</v>
      </c>
      <c r="C39" s="669"/>
      <c r="D39" s="45" t="s">
        <v>26</v>
      </c>
      <c r="E39" s="669" t="s">
        <v>27</v>
      </c>
      <c r="F39" s="669"/>
      <c r="G39" s="669"/>
      <c r="H39" s="669"/>
      <c r="I39" s="45" t="s">
        <v>28</v>
      </c>
      <c r="J39" s="46" t="s">
        <v>46</v>
      </c>
    </row>
    <row r="40" spans="2:13" x14ac:dyDescent="0.25">
      <c r="B40" s="745"/>
      <c r="C40" s="746"/>
      <c r="D40" s="156" t="s">
        <v>30</v>
      </c>
      <c r="E40" s="642" t="s">
        <v>158</v>
      </c>
      <c r="F40" s="643"/>
      <c r="G40" s="643"/>
      <c r="H40" s="644"/>
      <c r="I40" s="157">
        <f>(IF(AND(C27="",C28=""),0,IF(AND(C27&lt;&gt;"",C28=""),'BANCO DE DADOS'!B26,IF(C28&lt;&gt;"",'BANCO DE DADOS'!B26*2,0))))*M34</f>
        <v>0</v>
      </c>
      <c r="J40" s="158">
        <f t="shared" ref="J40:J48" si="0">I40*B40</f>
        <v>0</v>
      </c>
    </row>
    <row r="41" spans="2:13" x14ac:dyDescent="0.25">
      <c r="B41" s="747"/>
      <c r="C41" s="748"/>
      <c r="D41" s="156" t="s">
        <v>117</v>
      </c>
      <c r="E41" s="642" t="s">
        <v>118</v>
      </c>
      <c r="F41" s="643"/>
      <c r="G41" s="643"/>
      <c r="H41" s="644"/>
      <c r="I41" s="157">
        <f>(IF(B41&gt;0,('BANCO DE DADOS'!B12),0))*M34</f>
        <v>0</v>
      </c>
      <c r="J41" s="158">
        <f t="shared" si="0"/>
        <v>0</v>
      </c>
    </row>
    <row r="42" spans="2:13" x14ac:dyDescent="0.25">
      <c r="B42" s="749"/>
      <c r="C42" s="750"/>
      <c r="D42" s="182"/>
      <c r="E42" s="742"/>
      <c r="F42" s="743"/>
      <c r="G42" s="743"/>
      <c r="H42" s="744"/>
      <c r="I42" s="262"/>
      <c r="J42" s="49">
        <f t="shared" si="0"/>
        <v>0</v>
      </c>
    </row>
    <row r="43" spans="2:13" x14ac:dyDescent="0.25">
      <c r="B43" s="740"/>
      <c r="C43" s="741"/>
      <c r="D43" s="182"/>
      <c r="E43" s="742"/>
      <c r="F43" s="743"/>
      <c r="G43" s="743"/>
      <c r="H43" s="744"/>
      <c r="I43" s="263"/>
      <c r="J43" s="49">
        <f t="shared" si="0"/>
        <v>0</v>
      </c>
    </row>
    <row r="44" spans="2:13" x14ac:dyDescent="0.25">
      <c r="B44" s="745"/>
      <c r="C44" s="746"/>
      <c r="D44" s="182"/>
      <c r="E44" s="248"/>
      <c r="F44" s="249"/>
      <c r="G44" s="249"/>
      <c r="H44" s="250"/>
      <c r="I44" s="263"/>
      <c r="J44" s="49">
        <f t="shared" si="0"/>
        <v>0</v>
      </c>
    </row>
    <row r="45" spans="2:13" x14ac:dyDescent="0.25">
      <c r="B45" s="740"/>
      <c r="C45" s="741"/>
      <c r="D45" s="182"/>
      <c r="E45" s="151"/>
      <c r="F45" s="152"/>
      <c r="G45" s="152"/>
      <c r="H45" s="153"/>
      <c r="I45" s="263"/>
      <c r="J45" s="49">
        <f t="shared" si="0"/>
        <v>0</v>
      </c>
    </row>
    <row r="46" spans="2:13" x14ac:dyDescent="0.25">
      <c r="B46" s="740"/>
      <c r="C46" s="741"/>
      <c r="D46" s="182"/>
      <c r="E46" s="150"/>
      <c r="F46" s="150"/>
      <c r="G46" s="150"/>
      <c r="H46" s="150"/>
      <c r="I46" s="244"/>
      <c r="J46" s="49">
        <f t="shared" si="0"/>
        <v>0</v>
      </c>
    </row>
    <row r="47" spans="2:13" x14ac:dyDescent="0.25">
      <c r="B47" s="740"/>
      <c r="C47" s="741"/>
      <c r="D47" s="182"/>
      <c r="E47" s="248"/>
      <c r="F47" s="249"/>
      <c r="G47" s="249"/>
      <c r="H47" s="250"/>
      <c r="I47" s="244"/>
      <c r="J47" s="49">
        <f t="shared" si="0"/>
        <v>0</v>
      </c>
    </row>
    <row r="48" spans="2:13" ht="16.5" thickBot="1" x14ac:dyDescent="0.3">
      <c r="B48" s="740"/>
      <c r="C48" s="741"/>
      <c r="D48" s="182"/>
      <c r="E48" s="742"/>
      <c r="F48" s="743"/>
      <c r="G48" s="743"/>
      <c r="H48" s="744"/>
      <c r="I48" s="244"/>
      <c r="J48" s="49">
        <f t="shared" si="0"/>
        <v>0</v>
      </c>
    </row>
    <row r="49" spans="2:10" ht="16.5" thickBot="1" x14ac:dyDescent="0.3">
      <c r="B49" s="645" t="e">
        <f>I49/B40</f>
        <v>#DIV/0!</v>
      </c>
      <c r="C49" s="646"/>
      <c r="E49" s="647" t="s">
        <v>31</v>
      </c>
      <c r="F49" s="647"/>
      <c r="G49" s="647"/>
      <c r="H49" s="647"/>
      <c r="I49" s="648">
        <f>SUM(J40:J48)</f>
        <v>0</v>
      </c>
      <c r="J49" s="649"/>
    </row>
    <row r="50" spans="2:10" x14ac:dyDescent="0.25">
      <c r="B50" s="629"/>
      <c r="C50" s="629"/>
      <c r="D50" s="32"/>
      <c r="E50" s="630"/>
      <c r="F50" s="630"/>
      <c r="G50" s="630"/>
      <c r="H50" s="630"/>
    </row>
    <row r="51" spans="2:10" x14ac:dyDescent="0.25">
      <c r="B51" s="51"/>
      <c r="C51" s="51"/>
      <c r="E51" s="52"/>
      <c r="F51" s="52"/>
      <c r="G51" s="52"/>
      <c r="H51" s="52"/>
    </row>
    <row r="52" spans="2:10" x14ac:dyDescent="0.25">
      <c r="B52" s="183"/>
      <c r="C52" s="184"/>
      <c r="D52" s="185"/>
      <c r="E52" s="186"/>
      <c r="F52" s="186"/>
      <c r="G52" s="186"/>
      <c r="H52" s="186"/>
      <c r="I52" s="187"/>
      <c r="J52" s="177"/>
    </row>
    <row r="53" spans="2:10" x14ac:dyDescent="0.25">
      <c r="B53" s="188"/>
      <c r="C53" s="189"/>
      <c r="D53" s="190"/>
      <c r="E53" s="189"/>
      <c r="F53" s="189"/>
      <c r="G53" s="189"/>
      <c r="H53" s="189"/>
      <c r="I53" s="190"/>
      <c r="J53" s="191"/>
    </row>
    <row r="54" spans="2:10" x14ac:dyDescent="0.25">
      <c r="B54" s="192"/>
      <c r="C54" s="187"/>
      <c r="D54" s="187"/>
      <c r="E54" s="187"/>
      <c r="F54" s="187"/>
      <c r="G54" s="187"/>
      <c r="H54" s="187"/>
      <c r="I54" s="187"/>
      <c r="J54" s="177"/>
    </row>
    <row r="55" spans="2:10" x14ac:dyDescent="0.25">
      <c r="B55" s="193"/>
      <c r="C55" s="187"/>
      <c r="D55" s="187"/>
      <c r="E55" s="187"/>
      <c r="F55" s="187"/>
      <c r="G55" s="187"/>
      <c r="H55" s="187"/>
      <c r="I55" s="187"/>
      <c r="J55" s="177"/>
    </row>
    <row r="56" spans="2:10" x14ac:dyDescent="0.25">
      <c r="B56" s="53"/>
      <c r="C56" s="54"/>
      <c r="D56" s="54"/>
      <c r="E56" s="54"/>
      <c r="F56" s="54"/>
      <c r="G56" s="54"/>
      <c r="H56" s="54"/>
      <c r="I56" s="54"/>
      <c r="J56" s="54"/>
    </row>
    <row r="58" spans="2:10" x14ac:dyDescent="0.25">
      <c r="B58" s="55" t="s">
        <v>32</v>
      </c>
      <c r="G58" s="55" t="s">
        <v>33</v>
      </c>
    </row>
    <row r="59" spans="2:10" x14ac:dyDescent="0.25">
      <c r="B59" s="55" t="s">
        <v>34</v>
      </c>
      <c r="G59" s="16">
        <f>E13</f>
        <v>0</v>
      </c>
    </row>
  </sheetData>
  <sheetProtection selectLockedCells="1"/>
  <mergeCells count="36">
    <mergeCell ref="B7:J7"/>
    <mergeCell ref="B8:D8"/>
    <mergeCell ref="E8:G8"/>
    <mergeCell ref="H8:J8"/>
    <mergeCell ref="B9:E9"/>
    <mergeCell ref="G9:J9"/>
    <mergeCell ref="E19:I19"/>
    <mergeCell ref="E24:I24"/>
    <mergeCell ref="E25:I25"/>
    <mergeCell ref="E13:I13"/>
    <mergeCell ref="E14:I14"/>
    <mergeCell ref="E15:I15"/>
    <mergeCell ref="E17:G17"/>
    <mergeCell ref="E18:I18"/>
    <mergeCell ref="G16:I16"/>
    <mergeCell ref="B45:C45"/>
    <mergeCell ref="B39:C39"/>
    <mergeCell ref="E39:H39"/>
    <mergeCell ref="B40:C40"/>
    <mergeCell ref="E40:H40"/>
    <mergeCell ref="B41:C41"/>
    <mergeCell ref="E41:H41"/>
    <mergeCell ref="B42:C42"/>
    <mergeCell ref="E42:H42"/>
    <mergeCell ref="B43:C43"/>
    <mergeCell ref="E43:H43"/>
    <mergeCell ref="B44:C44"/>
    <mergeCell ref="I49:J49"/>
    <mergeCell ref="B50:C50"/>
    <mergeCell ref="E50:H50"/>
    <mergeCell ref="B46:C46"/>
    <mergeCell ref="B47:C47"/>
    <mergeCell ref="B48:C48"/>
    <mergeCell ref="E48:H48"/>
    <mergeCell ref="B49:C49"/>
    <mergeCell ref="E49:H49"/>
  </mergeCells>
  <conditionalFormatting sqref="D32">
    <cfRule type="cellIs" dxfId="19" priority="2" operator="equal">
      <formula>""</formula>
    </cfRule>
  </conditionalFormatting>
  <conditionalFormatting sqref="C27:C28">
    <cfRule type="expression" dxfId="18" priority="1">
      <formula>AND($C$27="",$C$28="")</formula>
    </cfRule>
  </conditionalFormatting>
  <dataValidations count="1">
    <dataValidation type="date" allowBlank="1" showInputMessage="1" showErrorMessage="1" promptTitle="Atenção!" prompt="Preencher com &quot;DD/MM/AA&quot;" sqref="D32" xr:uid="{F962CB45-65F8-484F-9B2E-0123097839D0}">
      <formula1>44956</formula1>
      <formula2>47513</formula2>
    </dataValidation>
  </dataValidations>
  <pageMargins left="0.511811024" right="0.511811024" top="0.78740157499999996" bottom="0.78740157499999996" header="0.31496062000000002" footer="0.31496062000000002"/>
  <pageSetup paperSize="9" scale="78" orientation="portrait" r:id="rId1"/>
  <colBreaks count="1" manualBreakCount="1">
    <brk id="11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4"/>
  <dimension ref="B6:N59"/>
  <sheetViews>
    <sheetView showGridLines="0" zoomScaleNormal="100" workbookViewId="0">
      <selection activeCell="I48" sqref="I48"/>
    </sheetView>
  </sheetViews>
  <sheetFormatPr defaultColWidth="9.140625" defaultRowHeight="15.75" x14ac:dyDescent="0.25"/>
  <cols>
    <col min="1" max="1" width="9.140625" style="16"/>
    <col min="2" max="2" width="8" style="16" customWidth="1"/>
    <col min="3" max="3" width="6.85546875" style="16" customWidth="1"/>
    <col min="4" max="4" width="11.7109375" style="16" customWidth="1"/>
    <col min="5" max="6" width="9.140625" style="16"/>
    <col min="7" max="7" width="10.28515625" style="16" customWidth="1"/>
    <col min="8" max="8" width="13" style="16" customWidth="1"/>
    <col min="9" max="9" width="14.42578125" style="16" bestFit="1" customWidth="1"/>
    <col min="10" max="10" width="15.7109375" style="16" bestFit="1" customWidth="1"/>
    <col min="11" max="12" width="9.140625" style="16"/>
    <col min="13" max="13" width="12" style="16" bestFit="1" customWidth="1"/>
    <col min="14" max="257" width="9.140625" style="16"/>
    <col min="258" max="258" width="8" style="16" customWidth="1"/>
    <col min="259" max="259" width="6.85546875" style="16" customWidth="1"/>
    <col min="260" max="260" width="14" style="16" bestFit="1" customWidth="1"/>
    <col min="261" max="262" width="9.140625" style="16"/>
    <col min="263" max="263" width="10.28515625" style="16" customWidth="1"/>
    <col min="264" max="264" width="13" style="16" customWidth="1"/>
    <col min="265" max="265" width="14.42578125" style="16" bestFit="1" customWidth="1"/>
    <col min="266" max="266" width="15.7109375" style="16" bestFit="1" customWidth="1"/>
    <col min="267" max="513" width="9.140625" style="16"/>
    <col min="514" max="514" width="8" style="16" customWidth="1"/>
    <col min="515" max="515" width="6.85546875" style="16" customWidth="1"/>
    <col min="516" max="516" width="14" style="16" bestFit="1" customWidth="1"/>
    <col min="517" max="518" width="9.140625" style="16"/>
    <col min="519" max="519" width="10.28515625" style="16" customWidth="1"/>
    <col min="520" max="520" width="13" style="16" customWidth="1"/>
    <col min="521" max="521" width="14.42578125" style="16" bestFit="1" customWidth="1"/>
    <col min="522" max="522" width="15.7109375" style="16" bestFit="1" customWidth="1"/>
    <col min="523" max="769" width="9.140625" style="16"/>
    <col min="770" max="770" width="8" style="16" customWidth="1"/>
    <col min="771" max="771" width="6.85546875" style="16" customWidth="1"/>
    <col min="772" max="772" width="14" style="16" bestFit="1" customWidth="1"/>
    <col min="773" max="774" width="9.140625" style="16"/>
    <col min="775" max="775" width="10.28515625" style="16" customWidth="1"/>
    <col min="776" max="776" width="13" style="16" customWidth="1"/>
    <col min="777" max="777" width="14.42578125" style="16" bestFit="1" customWidth="1"/>
    <col min="778" max="778" width="15.7109375" style="16" bestFit="1" customWidth="1"/>
    <col min="779" max="1025" width="9.140625" style="16"/>
    <col min="1026" max="1026" width="8" style="16" customWidth="1"/>
    <col min="1027" max="1027" width="6.85546875" style="16" customWidth="1"/>
    <col min="1028" max="1028" width="14" style="16" bestFit="1" customWidth="1"/>
    <col min="1029" max="1030" width="9.140625" style="16"/>
    <col min="1031" max="1031" width="10.28515625" style="16" customWidth="1"/>
    <col min="1032" max="1032" width="13" style="16" customWidth="1"/>
    <col min="1033" max="1033" width="14.42578125" style="16" bestFit="1" customWidth="1"/>
    <col min="1034" max="1034" width="15.7109375" style="16" bestFit="1" customWidth="1"/>
    <col min="1035" max="1281" width="9.140625" style="16"/>
    <col min="1282" max="1282" width="8" style="16" customWidth="1"/>
    <col min="1283" max="1283" width="6.85546875" style="16" customWidth="1"/>
    <col min="1284" max="1284" width="14" style="16" bestFit="1" customWidth="1"/>
    <col min="1285" max="1286" width="9.140625" style="16"/>
    <col min="1287" max="1287" width="10.28515625" style="16" customWidth="1"/>
    <col min="1288" max="1288" width="13" style="16" customWidth="1"/>
    <col min="1289" max="1289" width="14.42578125" style="16" bestFit="1" customWidth="1"/>
    <col min="1290" max="1290" width="15.7109375" style="16" bestFit="1" customWidth="1"/>
    <col min="1291" max="1537" width="9.140625" style="16"/>
    <col min="1538" max="1538" width="8" style="16" customWidth="1"/>
    <col min="1539" max="1539" width="6.85546875" style="16" customWidth="1"/>
    <col min="1540" max="1540" width="14" style="16" bestFit="1" customWidth="1"/>
    <col min="1541" max="1542" width="9.140625" style="16"/>
    <col min="1543" max="1543" width="10.28515625" style="16" customWidth="1"/>
    <col min="1544" max="1544" width="13" style="16" customWidth="1"/>
    <col min="1545" max="1545" width="14.42578125" style="16" bestFit="1" customWidth="1"/>
    <col min="1546" max="1546" width="15.7109375" style="16" bestFit="1" customWidth="1"/>
    <col min="1547" max="1793" width="9.140625" style="16"/>
    <col min="1794" max="1794" width="8" style="16" customWidth="1"/>
    <col min="1795" max="1795" width="6.85546875" style="16" customWidth="1"/>
    <col min="1796" max="1796" width="14" style="16" bestFit="1" customWidth="1"/>
    <col min="1797" max="1798" width="9.140625" style="16"/>
    <col min="1799" max="1799" width="10.28515625" style="16" customWidth="1"/>
    <col min="1800" max="1800" width="13" style="16" customWidth="1"/>
    <col min="1801" max="1801" width="14.42578125" style="16" bestFit="1" customWidth="1"/>
    <col min="1802" max="1802" width="15.7109375" style="16" bestFit="1" customWidth="1"/>
    <col min="1803" max="2049" width="9.140625" style="16"/>
    <col min="2050" max="2050" width="8" style="16" customWidth="1"/>
    <col min="2051" max="2051" width="6.85546875" style="16" customWidth="1"/>
    <col min="2052" max="2052" width="14" style="16" bestFit="1" customWidth="1"/>
    <col min="2053" max="2054" width="9.140625" style="16"/>
    <col min="2055" max="2055" width="10.28515625" style="16" customWidth="1"/>
    <col min="2056" max="2056" width="13" style="16" customWidth="1"/>
    <col min="2057" max="2057" width="14.42578125" style="16" bestFit="1" customWidth="1"/>
    <col min="2058" max="2058" width="15.7109375" style="16" bestFit="1" customWidth="1"/>
    <col min="2059" max="2305" width="9.140625" style="16"/>
    <col min="2306" max="2306" width="8" style="16" customWidth="1"/>
    <col min="2307" max="2307" width="6.85546875" style="16" customWidth="1"/>
    <col min="2308" max="2308" width="14" style="16" bestFit="1" customWidth="1"/>
    <col min="2309" max="2310" width="9.140625" style="16"/>
    <col min="2311" max="2311" width="10.28515625" style="16" customWidth="1"/>
    <col min="2312" max="2312" width="13" style="16" customWidth="1"/>
    <col min="2313" max="2313" width="14.42578125" style="16" bestFit="1" customWidth="1"/>
    <col min="2314" max="2314" width="15.7109375" style="16" bestFit="1" customWidth="1"/>
    <col min="2315" max="2561" width="9.140625" style="16"/>
    <col min="2562" max="2562" width="8" style="16" customWidth="1"/>
    <col min="2563" max="2563" width="6.85546875" style="16" customWidth="1"/>
    <col min="2564" max="2564" width="14" style="16" bestFit="1" customWidth="1"/>
    <col min="2565" max="2566" width="9.140625" style="16"/>
    <col min="2567" max="2567" width="10.28515625" style="16" customWidth="1"/>
    <col min="2568" max="2568" width="13" style="16" customWidth="1"/>
    <col min="2569" max="2569" width="14.42578125" style="16" bestFit="1" customWidth="1"/>
    <col min="2570" max="2570" width="15.7109375" style="16" bestFit="1" customWidth="1"/>
    <col min="2571" max="2817" width="9.140625" style="16"/>
    <col min="2818" max="2818" width="8" style="16" customWidth="1"/>
    <col min="2819" max="2819" width="6.85546875" style="16" customWidth="1"/>
    <col min="2820" max="2820" width="14" style="16" bestFit="1" customWidth="1"/>
    <col min="2821" max="2822" width="9.140625" style="16"/>
    <col min="2823" max="2823" width="10.28515625" style="16" customWidth="1"/>
    <col min="2824" max="2824" width="13" style="16" customWidth="1"/>
    <col min="2825" max="2825" width="14.42578125" style="16" bestFit="1" customWidth="1"/>
    <col min="2826" max="2826" width="15.7109375" style="16" bestFit="1" customWidth="1"/>
    <col min="2827" max="3073" width="9.140625" style="16"/>
    <col min="3074" max="3074" width="8" style="16" customWidth="1"/>
    <col min="3075" max="3075" width="6.85546875" style="16" customWidth="1"/>
    <col min="3076" max="3076" width="14" style="16" bestFit="1" customWidth="1"/>
    <col min="3077" max="3078" width="9.140625" style="16"/>
    <col min="3079" max="3079" width="10.28515625" style="16" customWidth="1"/>
    <col min="3080" max="3080" width="13" style="16" customWidth="1"/>
    <col min="3081" max="3081" width="14.42578125" style="16" bestFit="1" customWidth="1"/>
    <col min="3082" max="3082" width="15.7109375" style="16" bestFit="1" customWidth="1"/>
    <col min="3083" max="3329" width="9.140625" style="16"/>
    <col min="3330" max="3330" width="8" style="16" customWidth="1"/>
    <col min="3331" max="3331" width="6.85546875" style="16" customWidth="1"/>
    <col min="3332" max="3332" width="14" style="16" bestFit="1" customWidth="1"/>
    <col min="3333" max="3334" width="9.140625" style="16"/>
    <col min="3335" max="3335" width="10.28515625" style="16" customWidth="1"/>
    <col min="3336" max="3336" width="13" style="16" customWidth="1"/>
    <col min="3337" max="3337" width="14.42578125" style="16" bestFit="1" customWidth="1"/>
    <col min="3338" max="3338" width="15.7109375" style="16" bestFit="1" customWidth="1"/>
    <col min="3339" max="3585" width="9.140625" style="16"/>
    <col min="3586" max="3586" width="8" style="16" customWidth="1"/>
    <col min="3587" max="3587" width="6.85546875" style="16" customWidth="1"/>
    <col min="3588" max="3588" width="14" style="16" bestFit="1" customWidth="1"/>
    <col min="3589" max="3590" width="9.140625" style="16"/>
    <col min="3591" max="3591" width="10.28515625" style="16" customWidth="1"/>
    <col min="3592" max="3592" width="13" style="16" customWidth="1"/>
    <col min="3593" max="3593" width="14.42578125" style="16" bestFit="1" customWidth="1"/>
    <col min="3594" max="3594" width="15.7109375" style="16" bestFit="1" customWidth="1"/>
    <col min="3595" max="3841" width="9.140625" style="16"/>
    <col min="3842" max="3842" width="8" style="16" customWidth="1"/>
    <col min="3843" max="3843" width="6.85546875" style="16" customWidth="1"/>
    <col min="3844" max="3844" width="14" style="16" bestFit="1" customWidth="1"/>
    <col min="3845" max="3846" width="9.140625" style="16"/>
    <col min="3847" max="3847" width="10.28515625" style="16" customWidth="1"/>
    <col min="3848" max="3848" width="13" style="16" customWidth="1"/>
    <col min="3849" max="3849" width="14.42578125" style="16" bestFit="1" customWidth="1"/>
    <col min="3850" max="3850" width="15.7109375" style="16" bestFit="1" customWidth="1"/>
    <col min="3851" max="4097" width="9.140625" style="16"/>
    <col min="4098" max="4098" width="8" style="16" customWidth="1"/>
    <col min="4099" max="4099" width="6.85546875" style="16" customWidth="1"/>
    <col min="4100" max="4100" width="14" style="16" bestFit="1" customWidth="1"/>
    <col min="4101" max="4102" width="9.140625" style="16"/>
    <col min="4103" max="4103" width="10.28515625" style="16" customWidth="1"/>
    <col min="4104" max="4104" width="13" style="16" customWidth="1"/>
    <col min="4105" max="4105" width="14.42578125" style="16" bestFit="1" customWidth="1"/>
    <col min="4106" max="4106" width="15.7109375" style="16" bestFit="1" customWidth="1"/>
    <col min="4107" max="4353" width="9.140625" style="16"/>
    <col min="4354" max="4354" width="8" style="16" customWidth="1"/>
    <col min="4355" max="4355" width="6.85546875" style="16" customWidth="1"/>
    <col min="4356" max="4356" width="14" style="16" bestFit="1" customWidth="1"/>
    <col min="4357" max="4358" width="9.140625" style="16"/>
    <col min="4359" max="4359" width="10.28515625" style="16" customWidth="1"/>
    <col min="4360" max="4360" width="13" style="16" customWidth="1"/>
    <col min="4361" max="4361" width="14.42578125" style="16" bestFit="1" customWidth="1"/>
    <col min="4362" max="4362" width="15.7109375" style="16" bestFit="1" customWidth="1"/>
    <col min="4363" max="4609" width="9.140625" style="16"/>
    <col min="4610" max="4610" width="8" style="16" customWidth="1"/>
    <col min="4611" max="4611" width="6.85546875" style="16" customWidth="1"/>
    <col min="4612" max="4612" width="14" style="16" bestFit="1" customWidth="1"/>
    <col min="4613" max="4614" width="9.140625" style="16"/>
    <col min="4615" max="4615" width="10.28515625" style="16" customWidth="1"/>
    <col min="4616" max="4616" width="13" style="16" customWidth="1"/>
    <col min="4617" max="4617" width="14.42578125" style="16" bestFit="1" customWidth="1"/>
    <col min="4618" max="4618" width="15.7109375" style="16" bestFit="1" customWidth="1"/>
    <col min="4619" max="4865" width="9.140625" style="16"/>
    <col min="4866" max="4866" width="8" style="16" customWidth="1"/>
    <col min="4867" max="4867" width="6.85546875" style="16" customWidth="1"/>
    <col min="4868" max="4868" width="14" style="16" bestFit="1" customWidth="1"/>
    <col min="4869" max="4870" width="9.140625" style="16"/>
    <col min="4871" max="4871" width="10.28515625" style="16" customWidth="1"/>
    <col min="4872" max="4872" width="13" style="16" customWidth="1"/>
    <col min="4873" max="4873" width="14.42578125" style="16" bestFit="1" customWidth="1"/>
    <col min="4874" max="4874" width="15.7109375" style="16" bestFit="1" customWidth="1"/>
    <col min="4875" max="5121" width="9.140625" style="16"/>
    <col min="5122" max="5122" width="8" style="16" customWidth="1"/>
    <col min="5123" max="5123" width="6.85546875" style="16" customWidth="1"/>
    <col min="5124" max="5124" width="14" style="16" bestFit="1" customWidth="1"/>
    <col min="5125" max="5126" width="9.140625" style="16"/>
    <col min="5127" max="5127" width="10.28515625" style="16" customWidth="1"/>
    <col min="5128" max="5128" width="13" style="16" customWidth="1"/>
    <col min="5129" max="5129" width="14.42578125" style="16" bestFit="1" customWidth="1"/>
    <col min="5130" max="5130" width="15.7109375" style="16" bestFit="1" customWidth="1"/>
    <col min="5131" max="5377" width="9.140625" style="16"/>
    <col min="5378" max="5378" width="8" style="16" customWidth="1"/>
    <col min="5379" max="5379" width="6.85546875" style="16" customWidth="1"/>
    <col min="5380" max="5380" width="14" style="16" bestFit="1" customWidth="1"/>
    <col min="5381" max="5382" width="9.140625" style="16"/>
    <col min="5383" max="5383" width="10.28515625" style="16" customWidth="1"/>
    <col min="5384" max="5384" width="13" style="16" customWidth="1"/>
    <col min="5385" max="5385" width="14.42578125" style="16" bestFit="1" customWidth="1"/>
    <col min="5386" max="5386" width="15.7109375" style="16" bestFit="1" customWidth="1"/>
    <col min="5387" max="5633" width="9.140625" style="16"/>
    <col min="5634" max="5634" width="8" style="16" customWidth="1"/>
    <col min="5635" max="5635" width="6.85546875" style="16" customWidth="1"/>
    <col min="5636" max="5636" width="14" style="16" bestFit="1" customWidth="1"/>
    <col min="5637" max="5638" width="9.140625" style="16"/>
    <col min="5639" max="5639" width="10.28515625" style="16" customWidth="1"/>
    <col min="5640" max="5640" width="13" style="16" customWidth="1"/>
    <col min="5641" max="5641" width="14.42578125" style="16" bestFit="1" customWidth="1"/>
    <col min="5642" max="5642" width="15.7109375" style="16" bestFit="1" customWidth="1"/>
    <col min="5643" max="5889" width="9.140625" style="16"/>
    <col min="5890" max="5890" width="8" style="16" customWidth="1"/>
    <col min="5891" max="5891" width="6.85546875" style="16" customWidth="1"/>
    <col min="5892" max="5892" width="14" style="16" bestFit="1" customWidth="1"/>
    <col min="5893" max="5894" width="9.140625" style="16"/>
    <col min="5895" max="5895" width="10.28515625" style="16" customWidth="1"/>
    <col min="5896" max="5896" width="13" style="16" customWidth="1"/>
    <col min="5897" max="5897" width="14.42578125" style="16" bestFit="1" customWidth="1"/>
    <col min="5898" max="5898" width="15.7109375" style="16" bestFit="1" customWidth="1"/>
    <col min="5899" max="6145" width="9.140625" style="16"/>
    <col min="6146" max="6146" width="8" style="16" customWidth="1"/>
    <col min="6147" max="6147" width="6.85546875" style="16" customWidth="1"/>
    <col min="6148" max="6148" width="14" style="16" bestFit="1" customWidth="1"/>
    <col min="6149" max="6150" width="9.140625" style="16"/>
    <col min="6151" max="6151" width="10.28515625" style="16" customWidth="1"/>
    <col min="6152" max="6152" width="13" style="16" customWidth="1"/>
    <col min="6153" max="6153" width="14.42578125" style="16" bestFit="1" customWidth="1"/>
    <col min="6154" max="6154" width="15.7109375" style="16" bestFit="1" customWidth="1"/>
    <col min="6155" max="6401" width="9.140625" style="16"/>
    <col min="6402" max="6402" width="8" style="16" customWidth="1"/>
    <col min="6403" max="6403" width="6.85546875" style="16" customWidth="1"/>
    <col min="6404" max="6404" width="14" style="16" bestFit="1" customWidth="1"/>
    <col min="6405" max="6406" width="9.140625" style="16"/>
    <col min="6407" max="6407" width="10.28515625" style="16" customWidth="1"/>
    <col min="6408" max="6408" width="13" style="16" customWidth="1"/>
    <col min="6409" max="6409" width="14.42578125" style="16" bestFit="1" customWidth="1"/>
    <col min="6410" max="6410" width="15.7109375" style="16" bestFit="1" customWidth="1"/>
    <col min="6411" max="6657" width="9.140625" style="16"/>
    <col min="6658" max="6658" width="8" style="16" customWidth="1"/>
    <col min="6659" max="6659" width="6.85546875" style="16" customWidth="1"/>
    <col min="6660" max="6660" width="14" style="16" bestFit="1" customWidth="1"/>
    <col min="6661" max="6662" width="9.140625" style="16"/>
    <col min="6663" max="6663" width="10.28515625" style="16" customWidth="1"/>
    <col min="6664" max="6664" width="13" style="16" customWidth="1"/>
    <col min="6665" max="6665" width="14.42578125" style="16" bestFit="1" customWidth="1"/>
    <col min="6666" max="6666" width="15.7109375" style="16" bestFit="1" customWidth="1"/>
    <col min="6667" max="6913" width="9.140625" style="16"/>
    <col min="6914" max="6914" width="8" style="16" customWidth="1"/>
    <col min="6915" max="6915" width="6.85546875" style="16" customWidth="1"/>
    <col min="6916" max="6916" width="14" style="16" bestFit="1" customWidth="1"/>
    <col min="6917" max="6918" width="9.140625" style="16"/>
    <col min="6919" max="6919" width="10.28515625" style="16" customWidth="1"/>
    <col min="6920" max="6920" width="13" style="16" customWidth="1"/>
    <col min="6921" max="6921" width="14.42578125" style="16" bestFit="1" customWidth="1"/>
    <col min="6922" max="6922" width="15.7109375" style="16" bestFit="1" customWidth="1"/>
    <col min="6923" max="7169" width="9.140625" style="16"/>
    <col min="7170" max="7170" width="8" style="16" customWidth="1"/>
    <col min="7171" max="7171" width="6.85546875" style="16" customWidth="1"/>
    <col min="7172" max="7172" width="14" style="16" bestFit="1" customWidth="1"/>
    <col min="7173" max="7174" width="9.140625" style="16"/>
    <col min="7175" max="7175" width="10.28515625" style="16" customWidth="1"/>
    <col min="7176" max="7176" width="13" style="16" customWidth="1"/>
    <col min="7177" max="7177" width="14.42578125" style="16" bestFit="1" customWidth="1"/>
    <col min="7178" max="7178" width="15.7109375" style="16" bestFit="1" customWidth="1"/>
    <col min="7179" max="7425" width="9.140625" style="16"/>
    <col min="7426" max="7426" width="8" style="16" customWidth="1"/>
    <col min="7427" max="7427" width="6.85546875" style="16" customWidth="1"/>
    <col min="7428" max="7428" width="14" style="16" bestFit="1" customWidth="1"/>
    <col min="7429" max="7430" width="9.140625" style="16"/>
    <col min="7431" max="7431" width="10.28515625" style="16" customWidth="1"/>
    <col min="7432" max="7432" width="13" style="16" customWidth="1"/>
    <col min="7433" max="7433" width="14.42578125" style="16" bestFit="1" customWidth="1"/>
    <col min="7434" max="7434" width="15.7109375" style="16" bestFit="1" customWidth="1"/>
    <col min="7435" max="7681" width="9.140625" style="16"/>
    <col min="7682" max="7682" width="8" style="16" customWidth="1"/>
    <col min="7683" max="7683" width="6.85546875" style="16" customWidth="1"/>
    <col min="7684" max="7684" width="14" style="16" bestFit="1" customWidth="1"/>
    <col min="7685" max="7686" width="9.140625" style="16"/>
    <col min="7687" max="7687" width="10.28515625" style="16" customWidth="1"/>
    <col min="7688" max="7688" width="13" style="16" customWidth="1"/>
    <col min="7689" max="7689" width="14.42578125" style="16" bestFit="1" customWidth="1"/>
    <col min="7690" max="7690" width="15.7109375" style="16" bestFit="1" customWidth="1"/>
    <col min="7691" max="7937" width="9.140625" style="16"/>
    <col min="7938" max="7938" width="8" style="16" customWidth="1"/>
    <col min="7939" max="7939" width="6.85546875" style="16" customWidth="1"/>
    <col min="7940" max="7940" width="14" style="16" bestFit="1" customWidth="1"/>
    <col min="7941" max="7942" width="9.140625" style="16"/>
    <col min="7943" max="7943" width="10.28515625" style="16" customWidth="1"/>
    <col min="7944" max="7944" width="13" style="16" customWidth="1"/>
    <col min="7945" max="7945" width="14.42578125" style="16" bestFit="1" customWidth="1"/>
    <col min="7946" max="7946" width="15.7109375" style="16" bestFit="1" customWidth="1"/>
    <col min="7947" max="8193" width="9.140625" style="16"/>
    <col min="8194" max="8194" width="8" style="16" customWidth="1"/>
    <col min="8195" max="8195" width="6.85546875" style="16" customWidth="1"/>
    <col min="8196" max="8196" width="14" style="16" bestFit="1" customWidth="1"/>
    <col min="8197" max="8198" width="9.140625" style="16"/>
    <col min="8199" max="8199" width="10.28515625" style="16" customWidth="1"/>
    <col min="8200" max="8200" width="13" style="16" customWidth="1"/>
    <col min="8201" max="8201" width="14.42578125" style="16" bestFit="1" customWidth="1"/>
    <col min="8202" max="8202" width="15.7109375" style="16" bestFit="1" customWidth="1"/>
    <col min="8203" max="8449" width="9.140625" style="16"/>
    <col min="8450" max="8450" width="8" style="16" customWidth="1"/>
    <col min="8451" max="8451" width="6.85546875" style="16" customWidth="1"/>
    <col min="8452" max="8452" width="14" style="16" bestFit="1" customWidth="1"/>
    <col min="8453" max="8454" width="9.140625" style="16"/>
    <col min="8455" max="8455" width="10.28515625" style="16" customWidth="1"/>
    <col min="8456" max="8456" width="13" style="16" customWidth="1"/>
    <col min="8457" max="8457" width="14.42578125" style="16" bestFit="1" customWidth="1"/>
    <col min="8458" max="8458" width="15.7109375" style="16" bestFit="1" customWidth="1"/>
    <col min="8459" max="8705" width="9.140625" style="16"/>
    <col min="8706" max="8706" width="8" style="16" customWidth="1"/>
    <col min="8707" max="8707" width="6.85546875" style="16" customWidth="1"/>
    <col min="8708" max="8708" width="14" style="16" bestFit="1" customWidth="1"/>
    <col min="8709" max="8710" width="9.140625" style="16"/>
    <col min="8711" max="8711" width="10.28515625" style="16" customWidth="1"/>
    <col min="8712" max="8712" width="13" style="16" customWidth="1"/>
    <col min="8713" max="8713" width="14.42578125" style="16" bestFit="1" customWidth="1"/>
    <col min="8714" max="8714" width="15.7109375" style="16" bestFit="1" customWidth="1"/>
    <col min="8715" max="8961" width="9.140625" style="16"/>
    <col min="8962" max="8962" width="8" style="16" customWidth="1"/>
    <col min="8963" max="8963" width="6.85546875" style="16" customWidth="1"/>
    <col min="8964" max="8964" width="14" style="16" bestFit="1" customWidth="1"/>
    <col min="8965" max="8966" width="9.140625" style="16"/>
    <col min="8967" max="8967" width="10.28515625" style="16" customWidth="1"/>
    <col min="8968" max="8968" width="13" style="16" customWidth="1"/>
    <col min="8969" max="8969" width="14.42578125" style="16" bestFit="1" customWidth="1"/>
    <col min="8970" max="8970" width="15.7109375" style="16" bestFit="1" customWidth="1"/>
    <col min="8971" max="9217" width="9.140625" style="16"/>
    <col min="9218" max="9218" width="8" style="16" customWidth="1"/>
    <col min="9219" max="9219" width="6.85546875" style="16" customWidth="1"/>
    <col min="9220" max="9220" width="14" style="16" bestFit="1" customWidth="1"/>
    <col min="9221" max="9222" width="9.140625" style="16"/>
    <col min="9223" max="9223" width="10.28515625" style="16" customWidth="1"/>
    <col min="9224" max="9224" width="13" style="16" customWidth="1"/>
    <col min="9225" max="9225" width="14.42578125" style="16" bestFit="1" customWidth="1"/>
    <col min="9226" max="9226" width="15.7109375" style="16" bestFit="1" customWidth="1"/>
    <col min="9227" max="9473" width="9.140625" style="16"/>
    <col min="9474" max="9474" width="8" style="16" customWidth="1"/>
    <col min="9475" max="9475" width="6.85546875" style="16" customWidth="1"/>
    <col min="9476" max="9476" width="14" style="16" bestFit="1" customWidth="1"/>
    <col min="9477" max="9478" width="9.140625" style="16"/>
    <col min="9479" max="9479" width="10.28515625" style="16" customWidth="1"/>
    <col min="9480" max="9480" width="13" style="16" customWidth="1"/>
    <col min="9481" max="9481" width="14.42578125" style="16" bestFit="1" customWidth="1"/>
    <col min="9482" max="9482" width="15.7109375" style="16" bestFit="1" customWidth="1"/>
    <col min="9483" max="9729" width="9.140625" style="16"/>
    <col min="9730" max="9730" width="8" style="16" customWidth="1"/>
    <col min="9731" max="9731" width="6.85546875" style="16" customWidth="1"/>
    <col min="9732" max="9732" width="14" style="16" bestFit="1" customWidth="1"/>
    <col min="9733" max="9734" width="9.140625" style="16"/>
    <col min="9735" max="9735" width="10.28515625" style="16" customWidth="1"/>
    <col min="9736" max="9736" width="13" style="16" customWidth="1"/>
    <col min="9737" max="9737" width="14.42578125" style="16" bestFit="1" customWidth="1"/>
    <col min="9738" max="9738" width="15.7109375" style="16" bestFit="1" customWidth="1"/>
    <col min="9739" max="9985" width="9.140625" style="16"/>
    <col min="9986" max="9986" width="8" style="16" customWidth="1"/>
    <col min="9987" max="9987" width="6.85546875" style="16" customWidth="1"/>
    <col min="9988" max="9988" width="14" style="16" bestFit="1" customWidth="1"/>
    <col min="9989" max="9990" width="9.140625" style="16"/>
    <col min="9991" max="9991" width="10.28515625" style="16" customWidth="1"/>
    <col min="9992" max="9992" width="13" style="16" customWidth="1"/>
    <col min="9993" max="9993" width="14.42578125" style="16" bestFit="1" customWidth="1"/>
    <col min="9994" max="9994" width="15.7109375" style="16" bestFit="1" customWidth="1"/>
    <col min="9995" max="10241" width="9.140625" style="16"/>
    <col min="10242" max="10242" width="8" style="16" customWidth="1"/>
    <col min="10243" max="10243" width="6.85546875" style="16" customWidth="1"/>
    <col min="10244" max="10244" width="14" style="16" bestFit="1" customWidth="1"/>
    <col min="10245" max="10246" width="9.140625" style="16"/>
    <col min="10247" max="10247" width="10.28515625" style="16" customWidth="1"/>
    <col min="10248" max="10248" width="13" style="16" customWidth="1"/>
    <col min="10249" max="10249" width="14.42578125" style="16" bestFit="1" customWidth="1"/>
    <col min="10250" max="10250" width="15.7109375" style="16" bestFit="1" customWidth="1"/>
    <col min="10251" max="10497" width="9.140625" style="16"/>
    <col min="10498" max="10498" width="8" style="16" customWidth="1"/>
    <col min="10499" max="10499" width="6.85546875" style="16" customWidth="1"/>
    <col min="10500" max="10500" width="14" style="16" bestFit="1" customWidth="1"/>
    <col min="10501" max="10502" width="9.140625" style="16"/>
    <col min="10503" max="10503" width="10.28515625" style="16" customWidth="1"/>
    <col min="10504" max="10504" width="13" style="16" customWidth="1"/>
    <col min="10505" max="10505" width="14.42578125" style="16" bestFit="1" customWidth="1"/>
    <col min="10506" max="10506" width="15.7109375" style="16" bestFit="1" customWidth="1"/>
    <col min="10507" max="10753" width="9.140625" style="16"/>
    <col min="10754" max="10754" width="8" style="16" customWidth="1"/>
    <col min="10755" max="10755" width="6.85546875" style="16" customWidth="1"/>
    <col min="10756" max="10756" width="14" style="16" bestFit="1" customWidth="1"/>
    <col min="10757" max="10758" width="9.140625" style="16"/>
    <col min="10759" max="10759" width="10.28515625" style="16" customWidth="1"/>
    <col min="10760" max="10760" width="13" style="16" customWidth="1"/>
    <col min="10761" max="10761" width="14.42578125" style="16" bestFit="1" customWidth="1"/>
    <col min="10762" max="10762" width="15.7109375" style="16" bestFit="1" customWidth="1"/>
    <col min="10763" max="11009" width="9.140625" style="16"/>
    <col min="11010" max="11010" width="8" style="16" customWidth="1"/>
    <col min="11011" max="11011" width="6.85546875" style="16" customWidth="1"/>
    <col min="11012" max="11012" width="14" style="16" bestFit="1" customWidth="1"/>
    <col min="11013" max="11014" width="9.140625" style="16"/>
    <col min="11015" max="11015" width="10.28515625" style="16" customWidth="1"/>
    <col min="11016" max="11016" width="13" style="16" customWidth="1"/>
    <col min="11017" max="11017" width="14.42578125" style="16" bestFit="1" customWidth="1"/>
    <col min="11018" max="11018" width="15.7109375" style="16" bestFit="1" customWidth="1"/>
    <col min="11019" max="11265" width="9.140625" style="16"/>
    <col min="11266" max="11266" width="8" style="16" customWidth="1"/>
    <col min="11267" max="11267" width="6.85546875" style="16" customWidth="1"/>
    <col min="11268" max="11268" width="14" style="16" bestFit="1" customWidth="1"/>
    <col min="11269" max="11270" width="9.140625" style="16"/>
    <col min="11271" max="11271" width="10.28515625" style="16" customWidth="1"/>
    <col min="11272" max="11272" width="13" style="16" customWidth="1"/>
    <col min="11273" max="11273" width="14.42578125" style="16" bestFit="1" customWidth="1"/>
    <col min="11274" max="11274" width="15.7109375" style="16" bestFit="1" customWidth="1"/>
    <col min="11275" max="11521" width="9.140625" style="16"/>
    <col min="11522" max="11522" width="8" style="16" customWidth="1"/>
    <col min="11523" max="11523" width="6.85546875" style="16" customWidth="1"/>
    <col min="11524" max="11524" width="14" style="16" bestFit="1" customWidth="1"/>
    <col min="11525" max="11526" width="9.140625" style="16"/>
    <col min="11527" max="11527" width="10.28515625" style="16" customWidth="1"/>
    <col min="11528" max="11528" width="13" style="16" customWidth="1"/>
    <col min="11529" max="11529" width="14.42578125" style="16" bestFit="1" customWidth="1"/>
    <col min="11530" max="11530" width="15.7109375" style="16" bestFit="1" customWidth="1"/>
    <col min="11531" max="11777" width="9.140625" style="16"/>
    <col min="11778" max="11778" width="8" style="16" customWidth="1"/>
    <col min="11779" max="11779" width="6.85546875" style="16" customWidth="1"/>
    <col min="11780" max="11780" width="14" style="16" bestFit="1" customWidth="1"/>
    <col min="11781" max="11782" width="9.140625" style="16"/>
    <col min="11783" max="11783" width="10.28515625" style="16" customWidth="1"/>
    <col min="11784" max="11784" width="13" style="16" customWidth="1"/>
    <col min="11785" max="11785" width="14.42578125" style="16" bestFit="1" customWidth="1"/>
    <col min="11786" max="11786" width="15.7109375" style="16" bestFit="1" customWidth="1"/>
    <col min="11787" max="12033" width="9.140625" style="16"/>
    <col min="12034" max="12034" width="8" style="16" customWidth="1"/>
    <col min="12035" max="12035" width="6.85546875" style="16" customWidth="1"/>
    <col min="12036" max="12036" width="14" style="16" bestFit="1" customWidth="1"/>
    <col min="12037" max="12038" width="9.140625" style="16"/>
    <col min="12039" max="12039" width="10.28515625" style="16" customWidth="1"/>
    <col min="12040" max="12040" width="13" style="16" customWidth="1"/>
    <col min="12041" max="12041" width="14.42578125" style="16" bestFit="1" customWidth="1"/>
    <col min="12042" max="12042" width="15.7109375" style="16" bestFit="1" customWidth="1"/>
    <col min="12043" max="12289" width="9.140625" style="16"/>
    <col min="12290" max="12290" width="8" style="16" customWidth="1"/>
    <col min="12291" max="12291" width="6.85546875" style="16" customWidth="1"/>
    <col min="12292" max="12292" width="14" style="16" bestFit="1" customWidth="1"/>
    <col min="12293" max="12294" width="9.140625" style="16"/>
    <col min="12295" max="12295" width="10.28515625" style="16" customWidth="1"/>
    <col min="12296" max="12296" width="13" style="16" customWidth="1"/>
    <col min="12297" max="12297" width="14.42578125" style="16" bestFit="1" customWidth="1"/>
    <col min="12298" max="12298" width="15.7109375" style="16" bestFit="1" customWidth="1"/>
    <col min="12299" max="12545" width="9.140625" style="16"/>
    <col min="12546" max="12546" width="8" style="16" customWidth="1"/>
    <col min="12547" max="12547" width="6.85546875" style="16" customWidth="1"/>
    <col min="12548" max="12548" width="14" style="16" bestFit="1" customWidth="1"/>
    <col min="12549" max="12550" width="9.140625" style="16"/>
    <col min="12551" max="12551" width="10.28515625" style="16" customWidth="1"/>
    <col min="12552" max="12552" width="13" style="16" customWidth="1"/>
    <col min="12553" max="12553" width="14.42578125" style="16" bestFit="1" customWidth="1"/>
    <col min="12554" max="12554" width="15.7109375" style="16" bestFit="1" customWidth="1"/>
    <col min="12555" max="12801" width="9.140625" style="16"/>
    <col min="12802" max="12802" width="8" style="16" customWidth="1"/>
    <col min="12803" max="12803" width="6.85546875" style="16" customWidth="1"/>
    <col min="12804" max="12804" width="14" style="16" bestFit="1" customWidth="1"/>
    <col min="12805" max="12806" width="9.140625" style="16"/>
    <col min="12807" max="12807" width="10.28515625" style="16" customWidth="1"/>
    <col min="12808" max="12808" width="13" style="16" customWidth="1"/>
    <col min="12809" max="12809" width="14.42578125" style="16" bestFit="1" customWidth="1"/>
    <col min="12810" max="12810" width="15.7109375" style="16" bestFit="1" customWidth="1"/>
    <col min="12811" max="13057" width="9.140625" style="16"/>
    <col min="13058" max="13058" width="8" style="16" customWidth="1"/>
    <col min="13059" max="13059" width="6.85546875" style="16" customWidth="1"/>
    <col min="13060" max="13060" width="14" style="16" bestFit="1" customWidth="1"/>
    <col min="13061" max="13062" width="9.140625" style="16"/>
    <col min="13063" max="13063" width="10.28515625" style="16" customWidth="1"/>
    <col min="13064" max="13064" width="13" style="16" customWidth="1"/>
    <col min="13065" max="13065" width="14.42578125" style="16" bestFit="1" customWidth="1"/>
    <col min="13066" max="13066" width="15.7109375" style="16" bestFit="1" customWidth="1"/>
    <col min="13067" max="13313" width="9.140625" style="16"/>
    <col min="13314" max="13314" width="8" style="16" customWidth="1"/>
    <col min="13315" max="13315" width="6.85546875" style="16" customWidth="1"/>
    <col min="13316" max="13316" width="14" style="16" bestFit="1" customWidth="1"/>
    <col min="13317" max="13318" width="9.140625" style="16"/>
    <col min="13319" max="13319" width="10.28515625" style="16" customWidth="1"/>
    <col min="13320" max="13320" width="13" style="16" customWidth="1"/>
    <col min="13321" max="13321" width="14.42578125" style="16" bestFit="1" customWidth="1"/>
    <col min="13322" max="13322" width="15.7109375" style="16" bestFit="1" customWidth="1"/>
    <col min="13323" max="13569" width="9.140625" style="16"/>
    <col min="13570" max="13570" width="8" style="16" customWidth="1"/>
    <col min="13571" max="13571" width="6.85546875" style="16" customWidth="1"/>
    <col min="13572" max="13572" width="14" style="16" bestFit="1" customWidth="1"/>
    <col min="13573" max="13574" width="9.140625" style="16"/>
    <col min="13575" max="13575" width="10.28515625" style="16" customWidth="1"/>
    <col min="13576" max="13576" width="13" style="16" customWidth="1"/>
    <col min="13577" max="13577" width="14.42578125" style="16" bestFit="1" customWidth="1"/>
    <col min="13578" max="13578" width="15.7109375" style="16" bestFit="1" customWidth="1"/>
    <col min="13579" max="13825" width="9.140625" style="16"/>
    <col min="13826" max="13826" width="8" style="16" customWidth="1"/>
    <col min="13827" max="13827" width="6.85546875" style="16" customWidth="1"/>
    <col min="13828" max="13828" width="14" style="16" bestFit="1" customWidth="1"/>
    <col min="13829" max="13830" width="9.140625" style="16"/>
    <col min="13831" max="13831" width="10.28515625" style="16" customWidth="1"/>
    <col min="13832" max="13832" width="13" style="16" customWidth="1"/>
    <col min="13833" max="13833" width="14.42578125" style="16" bestFit="1" customWidth="1"/>
    <col min="13834" max="13834" width="15.7109375" style="16" bestFit="1" customWidth="1"/>
    <col min="13835" max="14081" width="9.140625" style="16"/>
    <col min="14082" max="14082" width="8" style="16" customWidth="1"/>
    <col min="14083" max="14083" width="6.85546875" style="16" customWidth="1"/>
    <col min="14084" max="14084" width="14" style="16" bestFit="1" customWidth="1"/>
    <col min="14085" max="14086" width="9.140625" style="16"/>
    <col min="14087" max="14087" width="10.28515625" style="16" customWidth="1"/>
    <col min="14088" max="14088" width="13" style="16" customWidth="1"/>
    <col min="14089" max="14089" width="14.42578125" style="16" bestFit="1" customWidth="1"/>
    <col min="14090" max="14090" width="15.7109375" style="16" bestFit="1" customWidth="1"/>
    <col min="14091" max="14337" width="9.140625" style="16"/>
    <col min="14338" max="14338" width="8" style="16" customWidth="1"/>
    <col min="14339" max="14339" width="6.85546875" style="16" customWidth="1"/>
    <col min="14340" max="14340" width="14" style="16" bestFit="1" customWidth="1"/>
    <col min="14341" max="14342" width="9.140625" style="16"/>
    <col min="14343" max="14343" width="10.28515625" style="16" customWidth="1"/>
    <col min="14344" max="14344" width="13" style="16" customWidth="1"/>
    <col min="14345" max="14345" width="14.42578125" style="16" bestFit="1" customWidth="1"/>
    <col min="14346" max="14346" width="15.7109375" style="16" bestFit="1" customWidth="1"/>
    <col min="14347" max="14593" width="9.140625" style="16"/>
    <col min="14594" max="14594" width="8" style="16" customWidth="1"/>
    <col min="14595" max="14595" width="6.85546875" style="16" customWidth="1"/>
    <col min="14596" max="14596" width="14" style="16" bestFit="1" customWidth="1"/>
    <col min="14597" max="14598" width="9.140625" style="16"/>
    <col min="14599" max="14599" width="10.28515625" style="16" customWidth="1"/>
    <col min="14600" max="14600" width="13" style="16" customWidth="1"/>
    <col min="14601" max="14601" width="14.42578125" style="16" bestFit="1" customWidth="1"/>
    <col min="14602" max="14602" width="15.7109375" style="16" bestFit="1" customWidth="1"/>
    <col min="14603" max="14849" width="9.140625" style="16"/>
    <col min="14850" max="14850" width="8" style="16" customWidth="1"/>
    <col min="14851" max="14851" width="6.85546875" style="16" customWidth="1"/>
    <col min="14852" max="14852" width="14" style="16" bestFit="1" customWidth="1"/>
    <col min="14853" max="14854" width="9.140625" style="16"/>
    <col min="14855" max="14855" width="10.28515625" style="16" customWidth="1"/>
    <col min="14856" max="14856" width="13" style="16" customWidth="1"/>
    <col min="14857" max="14857" width="14.42578125" style="16" bestFit="1" customWidth="1"/>
    <col min="14858" max="14858" width="15.7109375" style="16" bestFit="1" customWidth="1"/>
    <col min="14859" max="15105" width="9.140625" style="16"/>
    <col min="15106" max="15106" width="8" style="16" customWidth="1"/>
    <col min="15107" max="15107" width="6.85546875" style="16" customWidth="1"/>
    <col min="15108" max="15108" width="14" style="16" bestFit="1" customWidth="1"/>
    <col min="15109" max="15110" width="9.140625" style="16"/>
    <col min="15111" max="15111" width="10.28515625" style="16" customWidth="1"/>
    <col min="15112" max="15112" width="13" style="16" customWidth="1"/>
    <col min="15113" max="15113" width="14.42578125" style="16" bestFit="1" customWidth="1"/>
    <col min="15114" max="15114" width="15.7109375" style="16" bestFit="1" customWidth="1"/>
    <col min="15115" max="15361" width="9.140625" style="16"/>
    <col min="15362" max="15362" width="8" style="16" customWidth="1"/>
    <col min="15363" max="15363" width="6.85546875" style="16" customWidth="1"/>
    <col min="15364" max="15364" width="14" style="16" bestFit="1" customWidth="1"/>
    <col min="15365" max="15366" width="9.140625" style="16"/>
    <col min="15367" max="15367" width="10.28515625" style="16" customWidth="1"/>
    <col min="15368" max="15368" width="13" style="16" customWidth="1"/>
    <col min="15369" max="15369" width="14.42578125" style="16" bestFit="1" customWidth="1"/>
    <col min="15370" max="15370" width="15.7109375" style="16" bestFit="1" customWidth="1"/>
    <col min="15371" max="15617" width="9.140625" style="16"/>
    <col min="15618" max="15618" width="8" style="16" customWidth="1"/>
    <col min="15619" max="15619" width="6.85546875" style="16" customWidth="1"/>
    <col min="15620" max="15620" width="14" style="16" bestFit="1" customWidth="1"/>
    <col min="15621" max="15622" width="9.140625" style="16"/>
    <col min="15623" max="15623" width="10.28515625" style="16" customWidth="1"/>
    <col min="15624" max="15624" width="13" style="16" customWidth="1"/>
    <col min="15625" max="15625" width="14.42578125" style="16" bestFit="1" customWidth="1"/>
    <col min="15626" max="15626" width="15.7109375" style="16" bestFit="1" customWidth="1"/>
    <col min="15627" max="15873" width="9.140625" style="16"/>
    <col min="15874" max="15874" width="8" style="16" customWidth="1"/>
    <col min="15875" max="15875" width="6.85546875" style="16" customWidth="1"/>
    <col min="15876" max="15876" width="14" style="16" bestFit="1" customWidth="1"/>
    <col min="15877" max="15878" width="9.140625" style="16"/>
    <col min="15879" max="15879" width="10.28515625" style="16" customWidth="1"/>
    <col min="15880" max="15880" width="13" style="16" customWidth="1"/>
    <col min="15881" max="15881" width="14.42578125" style="16" bestFit="1" customWidth="1"/>
    <col min="15882" max="15882" width="15.7109375" style="16" bestFit="1" customWidth="1"/>
    <col min="15883" max="16129" width="9.140625" style="16"/>
    <col min="16130" max="16130" width="8" style="16" customWidth="1"/>
    <col min="16131" max="16131" width="6.85546875" style="16" customWidth="1"/>
    <col min="16132" max="16132" width="14" style="16" bestFit="1" customWidth="1"/>
    <col min="16133" max="16134" width="9.140625" style="16"/>
    <col min="16135" max="16135" width="10.28515625" style="16" customWidth="1"/>
    <col min="16136" max="16136" width="13" style="16" customWidth="1"/>
    <col min="16137" max="16137" width="14.42578125" style="16" bestFit="1" customWidth="1"/>
    <col min="16138" max="16138" width="15.7109375" style="16" bestFit="1" customWidth="1"/>
    <col min="16139" max="16384" width="9.140625" style="16"/>
  </cols>
  <sheetData>
    <row r="6" spans="2:10" ht="16.5" thickBot="1" x14ac:dyDescent="0.3"/>
    <row r="7" spans="2:10" x14ac:dyDescent="0.25">
      <c r="B7" s="676" t="s">
        <v>4</v>
      </c>
      <c r="C7" s="677"/>
      <c r="D7" s="677"/>
      <c r="E7" s="677"/>
      <c r="F7" s="677"/>
      <c r="G7" s="677"/>
      <c r="H7" s="677"/>
      <c r="I7" s="677"/>
      <c r="J7" s="678"/>
    </row>
    <row r="8" spans="2:10" x14ac:dyDescent="0.25">
      <c r="B8" s="679" t="s">
        <v>5</v>
      </c>
      <c r="C8" s="630"/>
      <c r="D8" s="630"/>
      <c r="E8" s="680" t="s">
        <v>6</v>
      </c>
      <c r="F8" s="630"/>
      <c r="G8" s="630"/>
      <c r="H8" s="680" t="s">
        <v>7</v>
      </c>
      <c r="I8" s="630"/>
      <c r="J8" s="681"/>
    </row>
    <row r="9" spans="2:10" ht="16.5" thickBot="1" x14ac:dyDescent="0.3">
      <c r="B9" s="682" t="s">
        <v>8</v>
      </c>
      <c r="C9" s="683"/>
      <c r="D9" s="683"/>
      <c r="E9" s="683"/>
      <c r="F9" s="17"/>
      <c r="G9" s="684" t="str">
        <f>"FONE: (45)3242-2210         V.:"&amp;GERAL!C26</f>
        <v>FONE: (45)3242-2210         V.:Versão: 45791</v>
      </c>
      <c r="H9" s="684"/>
      <c r="I9" s="684"/>
      <c r="J9" s="685"/>
    </row>
    <row r="10" spans="2:10" ht="16.5" thickBot="1" x14ac:dyDescent="0.3">
      <c r="E10" s="18"/>
      <c r="F10" s="18"/>
      <c r="G10" s="18"/>
      <c r="H10" s="19"/>
    </row>
    <row r="11" spans="2:10" x14ac:dyDescent="0.25">
      <c r="B11" s="20"/>
      <c r="C11" s="103" t="s">
        <v>115</v>
      </c>
      <c r="D11" s="21"/>
      <c r="E11" s="22"/>
      <c r="F11" s="22"/>
      <c r="G11" s="22"/>
      <c r="H11" s="23" t="s">
        <v>9</v>
      </c>
      <c r="I11" s="24">
        <f ca="1">TODAY()</f>
        <v>45828</v>
      </c>
      <c r="J11" s="25"/>
    </row>
    <row r="12" spans="2:10" x14ac:dyDescent="0.25">
      <c r="B12" s="26"/>
      <c r="J12" s="27"/>
    </row>
    <row r="13" spans="2:10" x14ac:dyDescent="0.25">
      <c r="B13" s="26"/>
      <c r="C13" s="28" t="s">
        <v>37</v>
      </c>
      <c r="D13" s="29"/>
      <c r="E13" s="751" t="s">
        <v>381</v>
      </c>
      <c r="F13" s="752"/>
      <c r="G13" s="752"/>
      <c r="H13" s="752"/>
      <c r="I13" s="753"/>
      <c r="J13" s="30"/>
    </row>
    <row r="14" spans="2:10" x14ac:dyDescent="0.25">
      <c r="B14" s="26"/>
      <c r="C14" s="28" t="s">
        <v>38</v>
      </c>
      <c r="D14" s="29"/>
      <c r="E14" s="751"/>
      <c r="F14" s="752"/>
      <c r="G14" s="752"/>
      <c r="H14" s="752"/>
      <c r="I14" s="753"/>
      <c r="J14" s="30"/>
    </row>
    <row r="15" spans="2:10" x14ac:dyDescent="0.25">
      <c r="B15" s="26"/>
      <c r="C15" s="31" t="s">
        <v>39</v>
      </c>
      <c r="E15" s="751" t="s">
        <v>382</v>
      </c>
      <c r="F15" s="752"/>
      <c r="G15" s="752"/>
      <c r="H15" s="752"/>
      <c r="I15" s="753"/>
      <c r="J15" s="30"/>
    </row>
    <row r="16" spans="2:10" x14ac:dyDescent="0.25">
      <c r="B16" s="26"/>
      <c r="C16" s="28" t="s">
        <v>40</v>
      </c>
      <c r="D16" s="29"/>
      <c r="E16" s="184" t="s">
        <v>380</v>
      </c>
      <c r="F16" s="172" t="s">
        <v>367</v>
      </c>
      <c r="G16" s="752"/>
      <c r="H16" s="752"/>
      <c r="I16" s="753"/>
      <c r="J16" s="30"/>
    </row>
    <row r="17" spans="2:11" x14ac:dyDescent="0.25">
      <c r="B17" s="26"/>
      <c r="C17" s="31" t="s">
        <v>41</v>
      </c>
      <c r="E17" s="752"/>
      <c r="F17" s="752"/>
      <c r="G17" s="752"/>
      <c r="H17" s="172" t="s">
        <v>113</v>
      </c>
      <c r="I17" s="177"/>
      <c r="J17" s="30"/>
      <c r="K17" s="32"/>
    </row>
    <row r="18" spans="2:11" x14ac:dyDescent="0.25">
      <c r="B18" s="26"/>
      <c r="C18" s="28" t="s">
        <v>42</v>
      </c>
      <c r="D18" s="29"/>
      <c r="E18" s="752"/>
      <c r="F18" s="752"/>
      <c r="G18" s="752"/>
      <c r="H18" s="752"/>
      <c r="I18" s="753"/>
      <c r="J18" s="30"/>
    </row>
    <row r="19" spans="2:11" x14ac:dyDescent="0.25">
      <c r="B19" s="26"/>
      <c r="C19" s="28" t="s">
        <v>43</v>
      </c>
      <c r="D19" s="29"/>
      <c r="E19" s="751"/>
      <c r="F19" s="752"/>
      <c r="G19" s="752"/>
      <c r="H19" s="752"/>
      <c r="I19" s="753"/>
      <c r="J19" s="30"/>
    </row>
    <row r="20" spans="2:11" x14ac:dyDescent="0.25">
      <c r="B20" s="26"/>
      <c r="E20" s="54"/>
      <c r="F20" s="54"/>
      <c r="G20" s="54"/>
      <c r="H20" s="54"/>
      <c r="I20" s="54"/>
      <c r="J20" s="27"/>
    </row>
    <row r="21" spans="2:11" ht="16.5" thickBot="1" x14ac:dyDescent="0.3">
      <c r="B21" s="33"/>
      <c r="C21" s="17"/>
      <c r="D21" s="17"/>
      <c r="E21" s="58"/>
      <c r="F21" s="58"/>
      <c r="G21" s="58"/>
      <c r="H21" s="58"/>
      <c r="I21" s="58"/>
      <c r="J21" s="34"/>
    </row>
    <row r="22" spans="2:11" ht="16.5" thickBot="1" x14ac:dyDescent="0.3">
      <c r="E22" s="54"/>
      <c r="F22" s="54"/>
      <c r="G22" s="54"/>
      <c r="H22" s="54"/>
      <c r="I22" s="54"/>
    </row>
    <row r="23" spans="2:11" x14ac:dyDescent="0.25">
      <c r="B23" s="20"/>
      <c r="C23" s="21"/>
      <c r="D23" s="21"/>
      <c r="E23" s="59"/>
      <c r="F23" s="59"/>
      <c r="G23" s="59"/>
      <c r="H23" s="59"/>
      <c r="I23" s="59"/>
      <c r="J23" s="25"/>
    </row>
    <row r="24" spans="2:11" x14ac:dyDescent="0.25">
      <c r="B24" s="26"/>
      <c r="C24" s="28" t="s">
        <v>10</v>
      </c>
      <c r="D24" s="29"/>
      <c r="E24" s="751" t="s">
        <v>383</v>
      </c>
      <c r="F24" s="751"/>
      <c r="G24" s="751"/>
      <c r="H24" s="751"/>
      <c r="I24" s="758"/>
      <c r="J24" s="27"/>
    </row>
    <row r="25" spans="2:11" x14ac:dyDescent="0.25">
      <c r="B25" s="26"/>
      <c r="C25" s="28" t="s">
        <v>11</v>
      </c>
      <c r="D25" s="35"/>
      <c r="E25" s="756"/>
      <c r="F25" s="756"/>
      <c r="G25" s="756"/>
      <c r="H25" s="756"/>
      <c r="I25" s="757"/>
      <c r="J25" s="27"/>
    </row>
    <row r="26" spans="2:11" x14ac:dyDescent="0.25">
      <c r="B26" s="26"/>
      <c r="C26" s="28" t="s">
        <v>12</v>
      </c>
      <c r="D26" s="35"/>
      <c r="E26" s="752"/>
      <c r="F26" s="752"/>
      <c r="G26" s="752"/>
      <c r="H26" s="752"/>
      <c r="I26" s="753"/>
      <c r="J26" s="27"/>
    </row>
    <row r="27" spans="2:11" x14ac:dyDescent="0.25">
      <c r="B27" s="26"/>
      <c r="C27" s="28" t="s">
        <v>13</v>
      </c>
      <c r="D27" s="35"/>
      <c r="E27" s="756"/>
      <c r="F27" s="756"/>
      <c r="G27" s="756"/>
      <c r="H27" s="756"/>
      <c r="I27" s="757"/>
      <c r="J27" s="27"/>
    </row>
    <row r="28" spans="2:11" x14ac:dyDescent="0.25">
      <c r="B28" s="26"/>
      <c r="C28" s="28" t="s">
        <v>14</v>
      </c>
      <c r="D28" s="35"/>
      <c r="E28" s="756"/>
      <c r="F28" s="756"/>
      <c r="G28" s="756"/>
      <c r="H28" s="756"/>
      <c r="I28" s="757"/>
      <c r="J28" s="27"/>
    </row>
    <row r="29" spans="2:11" ht="16.5" thickBot="1" x14ac:dyDescent="0.3">
      <c r="B29" s="33"/>
      <c r="C29" s="17"/>
      <c r="D29" s="17"/>
      <c r="E29" s="17"/>
      <c r="F29" s="17"/>
      <c r="G29" s="17"/>
      <c r="H29" s="17"/>
      <c r="I29" s="17"/>
      <c r="J29" s="34"/>
    </row>
    <row r="30" spans="2:11" ht="16.5" thickBot="1" x14ac:dyDescent="0.3"/>
    <row r="31" spans="2:11" x14ac:dyDescent="0.25">
      <c r="B31" s="20"/>
      <c r="C31" s="21"/>
      <c r="D31" s="36"/>
      <c r="E31" s="21"/>
      <c r="F31" s="21"/>
      <c r="G31" s="21"/>
      <c r="H31" s="21"/>
      <c r="I31" s="21"/>
      <c r="J31" s="25"/>
    </row>
    <row r="32" spans="2:11" x14ac:dyDescent="0.25">
      <c r="B32" s="37" t="s">
        <v>278</v>
      </c>
      <c r="D32" s="178">
        <v>45807</v>
      </c>
      <c r="E32" s="32"/>
      <c r="G32" s="39" t="s">
        <v>16</v>
      </c>
      <c r="H32" s="181"/>
      <c r="J32" s="27"/>
    </row>
    <row r="33" spans="2:14" x14ac:dyDescent="0.25">
      <c r="B33" s="37" t="s">
        <v>17</v>
      </c>
      <c r="D33" s="150"/>
      <c r="G33" s="39" t="s">
        <v>18</v>
      </c>
      <c r="H33" s="181"/>
      <c r="J33" s="27"/>
    </row>
    <row r="34" spans="2:14" x14ac:dyDescent="0.25">
      <c r="B34" s="37" t="s">
        <v>19</v>
      </c>
      <c r="D34" s="179"/>
      <c r="E34" s="41" t="s">
        <v>20</v>
      </c>
      <c r="G34" s="39" t="s">
        <v>21</v>
      </c>
      <c r="H34" s="182"/>
      <c r="J34" s="27"/>
    </row>
    <row r="35" spans="2:14" x14ac:dyDescent="0.25">
      <c r="B35" s="37" t="s">
        <v>23</v>
      </c>
      <c r="D35" s="180"/>
      <c r="E35" s="42"/>
      <c r="G35" s="43" t="str">
        <f>IF('INPUT CONFERENCIA'!E3="n","(**)"," ")</f>
        <v xml:space="preserve"> </v>
      </c>
      <c r="H35" s="44"/>
      <c r="J35" s="27"/>
    </row>
    <row r="36" spans="2:14" x14ac:dyDescent="0.25">
      <c r="B36" s="37" t="s">
        <v>24</v>
      </c>
      <c r="D36" s="55" t="str">
        <f>'PEDIDO VIA CLIENTE'!D36</f>
        <v>VICTOR</v>
      </c>
      <c r="E36" s="42"/>
      <c r="G36" s="39"/>
      <c r="H36" s="44"/>
      <c r="J36" s="27"/>
    </row>
    <row r="37" spans="2:14" ht="16.5" thickBot="1" x14ac:dyDescent="0.3">
      <c r="B37" s="33"/>
      <c r="C37" s="17"/>
      <c r="D37" s="17"/>
      <c r="E37" s="17"/>
      <c r="F37" s="17"/>
      <c r="G37" s="17"/>
      <c r="H37" s="17"/>
      <c r="I37" s="17"/>
      <c r="J37" s="34"/>
    </row>
    <row r="38" spans="2:14" ht="16.5" thickBot="1" x14ac:dyDescent="0.3">
      <c r="K38" s="345"/>
      <c r="L38" s="345"/>
      <c r="M38" s="345"/>
      <c r="N38" s="345"/>
    </row>
    <row r="39" spans="2:14" x14ac:dyDescent="0.25">
      <c r="B39" s="668" t="s">
        <v>25</v>
      </c>
      <c r="C39" s="669"/>
      <c r="D39" s="45" t="s">
        <v>26</v>
      </c>
      <c r="E39" s="669" t="s">
        <v>27</v>
      </c>
      <c r="F39" s="669"/>
      <c r="G39" s="669"/>
      <c r="H39" s="669"/>
      <c r="I39" s="45" t="s">
        <v>28</v>
      </c>
      <c r="J39" s="46" t="s">
        <v>46</v>
      </c>
      <c r="K39" s="345"/>
      <c r="L39" s="355"/>
      <c r="M39" s="355"/>
      <c r="N39" s="345"/>
    </row>
    <row r="40" spans="2:14" x14ac:dyDescent="0.25">
      <c r="B40" s="745">
        <v>4</v>
      </c>
      <c r="C40" s="746"/>
      <c r="D40" s="156" t="s">
        <v>35</v>
      </c>
      <c r="E40" s="642" t="s">
        <v>116</v>
      </c>
      <c r="F40" s="643"/>
      <c r="G40" s="643"/>
      <c r="H40" s="644"/>
      <c r="I40" s="448">
        <f>('BANCO DE DADOS'!B8)*$L$42</f>
        <v>463.23212167028095</v>
      </c>
      <c r="J40" s="158">
        <f t="shared" ref="J40:J48" si="0">I40*B40</f>
        <v>1852.9284866811238</v>
      </c>
      <c r="K40" s="345"/>
      <c r="L40" s="447" t="s">
        <v>276</v>
      </c>
      <c r="M40" s="428">
        <f>'BANCO DE DADOS'!B27</f>
        <v>45657</v>
      </c>
      <c r="N40" s="345"/>
    </row>
    <row r="41" spans="2:14" x14ac:dyDescent="0.25">
      <c r="B41" s="747">
        <v>50</v>
      </c>
      <c r="C41" s="748"/>
      <c r="D41" s="156" t="s">
        <v>117</v>
      </c>
      <c r="E41" s="642" t="s">
        <v>118</v>
      </c>
      <c r="F41" s="643"/>
      <c r="G41" s="643"/>
      <c r="H41" s="644"/>
      <c r="I41" s="448">
        <f>(IF(B41&gt;0,('BANCO DE DADOS'!B12),0))*$L$42</f>
        <v>5.3411559856452175</v>
      </c>
      <c r="J41" s="158">
        <f t="shared" si="0"/>
        <v>267.05779928226087</v>
      </c>
      <c r="K41" s="345"/>
      <c r="L41" s="355" t="s">
        <v>277</v>
      </c>
      <c r="M41" s="428">
        <f>D32</f>
        <v>45807</v>
      </c>
      <c r="N41" s="345"/>
    </row>
    <row r="42" spans="2:14" x14ac:dyDescent="0.25">
      <c r="B42" s="759"/>
      <c r="C42" s="760"/>
      <c r="D42" s="12"/>
      <c r="E42" s="727"/>
      <c r="F42" s="728"/>
      <c r="G42" s="728"/>
      <c r="H42" s="729"/>
      <c r="I42" s="126"/>
      <c r="J42" s="49">
        <f t="shared" si="0"/>
        <v>0</v>
      </c>
      <c r="K42" s="345"/>
      <c r="L42" s="355">
        <f>POWER((100+'BANCO DE DADOS'!B40)/100,_xlfn.DAYS(D32,M40)/30)</f>
        <v>1.0772840038843743</v>
      </c>
      <c r="M42" s="355"/>
      <c r="N42" s="345"/>
    </row>
    <row r="43" spans="2:14" x14ac:dyDescent="0.25">
      <c r="B43" s="722"/>
      <c r="C43" s="723"/>
      <c r="D43" s="12"/>
      <c r="E43" s="727"/>
      <c r="F43" s="728"/>
      <c r="G43" s="728"/>
      <c r="H43" s="729"/>
      <c r="I43" s="70"/>
      <c r="J43" s="49">
        <f t="shared" si="0"/>
        <v>0</v>
      </c>
      <c r="K43" s="345"/>
      <c r="L43" s="355"/>
      <c r="M43" s="355"/>
      <c r="N43" s="345"/>
    </row>
    <row r="44" spans="2:14" x14ac:dyDescent="0.25">
      <c r="B44" s="732"/>
      <c r="C44" s="733"/>
      <c r="D44" s="12"/>
      <c r="E44" s="99"/>
      <c r="F44" s="100"/>
      <c r="G44" s="100"/>
      <c r="H44" s="101"/>
      <c r="I44" s="70"/>
      <c r="J44" s="49">
        <f t="shared" si="0"/>
        <v>0</v>
      </c>
      <c r="K44" s="345"/>
      <c r="L44" s="345"/>
      <c r="M44" s="345"/>
      <c r="N44" s="345"/>
    </row>
    <row r="45" spans="2:14" x14ac:dyDescent="0.25">
      <c r="B45" s="722"/>
      <c r="C45" s="723"/>
      <c r="D45" s="12"/>
      <c r="E45" s="251"/>
      <c r="F45" s="252"/>
      <c r="G45" s="252"/>
      <c r="H45" s="253"/>
      <c r="I45" s="70"/>
      <c r="J45" s="49">
        <f t="shared" si="0"/>
        <v>0</v>
      </c>
      <c r="K45" s="345"/>
      <c r="L45" s="345"/>
      <c r="M45" s="345"/>
      <c r="N45" s="345"/>
    </row>
    <row r="46" spans="2:14" x14ac:dyDescent="0.25">
      <c r="B46" s="722"/>
      <c r="C46" s="723"/>
      <c r="D46" s="12"/>
      <c r="E46" s="8"/>
      <c r="F46" s="8"/>
      <c r="G46" s="8"/>
      <c r="H46" s="8"/>
      <c r="I46" s="71"/>
      <c r="J46" s="49">
        <f t="shared" si="0"/>
        <v>0</v>
      </c>
    </row>
    <row r="47" spans="2:14" x14ac:dyDescent="0.25">
      <c r="B47" s="722"/>
      <c r="C47" s="723"/>
      <c r="D47" s="12"/>
      <c r="E47" s="99"/>
      <c r="F47" s="100"/>
      <c r="G47" s="100"/>
      <c r="H47" s="101"/>
      <c r="I47" s="71"/>
      <c r="J47" s="49">
        <f t="shared" si="0"/>
        <v>0</v>
      </c>
    </row>
    <row r="48" spans="2:14" ht="16.5" thickBot="1" x14ac:dyDescent="0.3">
      <c r="B48" s="761">
        <v>1</v>
      </c>
      <c r="C48" s="762"/>
      <c r="D48" s="284"/>
      <c r="E48" s="727" t="s">
        <v>384</v>
      </c>
      <c r="F48" s="728"/>
      <c r="G48" s="728"/>
      <c r="H48" s="729"/>
      <c r="I48" s="71">
        <f>1500-2120</f>
        <v>-620</v>
      </c>
      <c r="J48" s="49">
        <f t="shared" si="0"/>
        <v>-620</v>
      </c>
    </row>
    <row r="49" spans="2:10" ht="16.5" thickBot="1" x14ac:dyDescent="0.3">
      <c r="B49" s="763" t="str">
        <f>IFERROR("R$ "&amp;ROUND(I49/B40,2)&amp;"/ponto",0)</f>
        <v>R$ 375/ponto</v>
      </c>
      <c r="C49" s="764"/>
      <c r="D49" s="765"/>
      <c r="E49" s="647" t="s">
        <v>31</v>
      </c>
      <c r="F49" s="647"/>
      <c r="G49" s="647"/>
      <c r="H49" s="647"/>
      <c r="I49" s="648">
        <f>SUM(J40:J48)</f>
        <v>1499.9862859633845</v>
      </c>
      <c r="J49" s="649"/>
    </row>
    <row r="50" spans="2:10" x14ac:dyDescent="0.25">
      <c r="B50" s="629"/>
      <c r="C50" s="629"/>
      <c r="D50" s="32"/>
      <c r="E50" s="630"/>
      <c r="F50" s="630"/>
      <c r="G50" s="630"/>
      <c r="H50" s="630"/>
    </row>
    <row r="51" spans="2:10" x14ac:dyDescent="0.25">
      <c r="B51" s="51"/>
      <c r="C51" s="51"/>
      <c r="E51" s="52"/>
      <c r="F51" s="52"/>
      <c r="G51" s="52"/>
      <c r="H51" s="52"/>
    </row>
    <row r="52" spans="2:10" x14ac:dyDescent="0.25">
      <c r="B52" s="183"/>
      <c r="C52" s="184"/>
      <c r="D52" s="185"/>
      <c r="E52" s="186"/>
      <c r="F52" s="186"/>
      <c r="G52" s="186"/>
      <c r="H52" s="186"/>
      <c r="I52" s="187"/>
      <c r="J52" s="177"/>
    </row>
    <row r="53" spans="2:10" x14ac:dyDescent="0.25">
      <c r="B53" s="188"/>
      <c r="C53" s="189"/>
      <c r="D53" s="190"/>
      <c r="E53" s="189"/>
      <c r="F53" s="189"/>
      <c r="G53" s="189"/>
      <c r="H53" s="189"/>
      <c r="I53" s="190"/>
      <c r="J53" s="191"/>
    </row>
    <row r="54" spans="2:10" x14ac:dyDescent="0.25">
      <c r="B54" s="192"/>
      <c r="C54" s="187"/>
      <c r="D54" s="187"/>
      <c r="E54" s="187"/>
      <c r="F54" s="187"/>
      <c r="G54" s="187"/>
      <c r="H54" s="187"/>
      <c r="I54" s="187"/>
      <c r="J54" s="177"/>
    </row>
    <row r="55" spans="2:10" x14ac:dyDescent="0.25">
      <c r="B55" s="193"/>
      <c r="C55" s="187"/>
      <c r="D55" s="187"/>
      <c r="E55" s="187"/>
      <c r="F55" s="187"/>
      <c r="G55" s="187"/>
      <c r="H55" s="187"/>
      <c r="I55" s="187"/>
      <c r="J55" s="177"/>
    </row>
    <row r="56" spans="2:10" x14ac:dyDescent="0.25">
      <c r="B56" s="53"/>
      <c r="C56" s="54"/>
      <c r="D56" s="54"/>
      <c r="E56" s="54"/>
      <c r="F56" s="54"/>
      <c r="G56" s="54"/>
      <c r="H56" s="54"/>
      <c r="I56" s="54"/>
      <c r="J56" s="54"/>
    </row>
    <row r="58" spans="2:10" x14ac:dyDescent="0.25">
      <c r="B58" s="55" t="s">
        <v>32</v>
      </c>
      <c r="G58" s="55" t="s">
        <v>33</v>
      </c>
    </row>
    <row r="59" spans="2:10" x14ac:dyDescent="0.25">
      <c r="B59" s="55" t="s">
        <v>34</v>
      </c>
      <c r="G59" s="16" t="str">
        <f>E13</f>
        <v>ALVARO BUSETTI</v>
      </c>
    </row>
  </sheetData>
  <sheetProtection selectLockedCells="1"/>
  <mergeCells count="39">
    <mergeCell ref="I49:J49"/>
    <mergeCell ref="B50:C50"/>
    <mergeCell ref="E50:H50"/>
    <mergeCell ref="B46:C46"/>
    <mergeCell ref="B47:C47"/>
    <mergeCell ref="B48:C48"/>
    <mergeCell ref="E48:H48"/>
    <mergeCell ref="E49:H49"/>
    <mergeCell ref="B49:D49"/>
    <mergeCell ref="B45:C45"/>
    <mergeCell ref="B39:C39"/>
    <mergeCell ref="E39:H39"/>
    <mergeCell ref="B40:C40"/>
    <mergeCell ref="E40:H40"/>
    <mergeCell ref="B41:C41"/>
    <mergeCell ref="E41:H41"/>
    <mergeCell ref="B42:C42"/>
    <mergeCell ref="E42:H42"/>
    <mergeCell ref="B43:C43"/>
    <mergeCell ref="E43:H43"/>
    <mergeCell ref="B44:C44"/>
    <mergeCell ref="E28:I28"/>
    <mergeCell ref="E13:I13"/>
    <mergeCell ref="E14:I14"/>
    <mergeCell ref="E15:I15"/>
    <mergeCell ref="E17:G17"/>
    <mergeCell ref="E18:I18"/>
    <mergeCell ref="E19:I19"/>
    <mergeCell ref="E24:I24"/>
    <mergeCell ref="E25:I25"/>
    <mergeCell ref="E26:I26"/>
    <mergeCell ref="E27:I27"/>
    <mergeCell ref="G16:I16"/>
    <mergeCell ref="B7:J7"/>
    <mergeCell ref="B8:D8"/>
    <mergeCell ref="E8:G8"/>
    <mergeCell ref="H8:J8"/>
    <mergeCell ref="B9:E9"/>
    <mergeCell ref="G9:J9"/>
  </mergeCells>
  <conditionalFormatting sqref="D32">
    <cfRule type="expression" dxfId="17" priority="1">
      <formula>AND($B$40&lt;&gt;"",$D$32="")</formula>
    </cfRule>
  </conditionalFormatting>
  <dataValidations count="1">
    <dataValidation type="date" allowBlank="1" showInputMessage="1" showErrorMessage="1" sqref="D32" xr:uid="{EFF8F7D9-0488-43C4-BB0B-6C7FD59195BC}">
      <formula1>44956</formula1>
      <formula2>47847</formula2>
    </dataValidation>
  </dataValidations>
  <pageMargins left="0.511811024" right="0.511811024" top="0.78740157499999996" bottom="0.78740157499999996" header="0.31496062000000002" footer="0.31496062000000002"/>
  <pageSetup paperSize="9" scale="78" orientation="portrait" r:id="rId1"/>
  <colBreaks count="1" manualBreakCount="1">
    <brk id="10" max="1048575" man="1"/>
  </col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7">
    <pageSetUpPr fitToPage="1"/>
  </sheetPr>
  <dimension ref="A1:K35"/>
  <sheetViews>
    <sheetView showGridLines="0" zoomScale="105" zoomScaleNormal="105" workbookViewId="0">
      <selection activeCell="E2" sqref="E2"/>
    </sheetView>
  </sheetViews>
  <sheetFormatPr defaultColWidth="8.85546875" defaultRowHeight="15" x14ac:dyDescent="0.25"/>
  <cols>
    <col min="1" max="1" width="15.28515625" style="69" customWidth="1"/>
    <col min="2" max="2" width="13.7109375" style="69" bestFit="1" customWidth="1"/>
    <col min="3" max="3" width="8.85546875" style="69"/>
    <col min="4" max="4" width="9.5703125" style="69" customWidth="1"/>
    <col min="5" max="5" width="16.5703125" style="69" bestFit="1" customWidth="1"/>
    <col min="6" max="6" width="14.85546875" style="97" customWidth="1"/>
    <col min="7" max="7" width="17.7109375" style="69" customWidth="1"/>
    <col min="8" max="8" width="14.28515625" style="97" bestFit="1" customWidth="1"/>
    <col min="9" max="9" width="20.7109375" style="69" bestFit="1" customWidth="1"/>
    <col min="10" max="10" width="17.7109375" style="69" bestFit="1" customWidth="1"/>
    <col min="11" max="11" width="45.140625" style="69" customWidth="1"/>
    <col min="12" max="16384" width="8.85546875" style="69"/>
  </cols>
  <sheetData>
    <row r="1" spans="1:11" s="82" customFormat="1" ht="16.5" thickBot="1" x14ac:dyDescent="0.3">
      <c r="A1" s="83" t="s">
        <v>121</v>
      </c>
      <c r="F1" s="91"/>
      <c r="H1" s="91"/>
    </row>
    <row r="2" spans="1:11" s="82" customFormat="1" ht="16.5" thickBot="1" x14ac:dyDescent="0.3">
      <c r="A2" s="712" t="s">
        <v>275</v>
      </c>
      <c r="B2" s="712"/>
      <c r="C2" s="712"/>
      <c r="D2" s="713"/>
      <c r="E2" s="443"/>
      <c r="F2" s="507">
        <f>POWER(1.03,_xlfn.DAYS(E2,H2)/30)</f>
        <v>2.9042080253610339E-20</v>
      </c>
      <c r="G2" s="445"/>
      <c r="H2" s="446">
        <f>'BANCO DE DADOS'!B27</f>
        <v>45657</v>
      </c>
    </row>
    <row r="3" spans="1:11" s="82" customFormat="1" ht="16.5" thickBot="1" x14ac:dyDescent="0.3">
      <c r="A3" s="712" t="s">
        <v>64</v>
      </c>
      <c r="B3" s="712"/>
      <c r="C3" s="712"/>
      <c r="D3" s="713"/>
      <c r="E3" s="444"/>
      <c r="F3" s="102" t="str">
        <f>IF(E3="","",IF(E3="a","RECOMENDADO PARA AREAS MENORES QUE 50 ALQUEIRES, OU MAIOR VARIABILIDADE.", IF(E3="P","RECOMENDADO PARA ÁREAS MAIORES QUE 50 ALQ OU MENOR VARIABILIDADE.","FAVOR PREENCHER CORRETAMENTE")))</f>
        <v/>
      </c>
      <c r="H3" s="91"/>
    </row>
    <row r="4" spans="1:11" s="82" customFormat="1" ht="16.5" thickBot="1" x14ac:dyDescent="0.3">
      <c r="A4" s="712" t="s">
        <v>63</v>
      </c>
      <c r="B4" s="712"/>
      <c r="C4" s="712"/>
      <c r="D4" s="713"/>
      <c r="E4" s="444"/>
      <c r="F4" s="102" t="str">
        <f>IF(E4=""," ",IF(E4="s","SERÁ EMITIDA NF PARA CLIENTE", "SERVIÇO SEM NOTA FISCAL"))</f>
        <v xml:space="preserve"> </v>
      </c>
      <c r="H4" s="91"/>
    </row>
    <row r="5" spans="1:11" s="82" customFormat="1" ht="16.5" thickBot="1" x14ac:dyDescent="0.3">
      <c r="A5" s="712" t="s">
        <v>59</v>
      </c>
      <c r="B5" s="712"/>
      <c r="C5" s="712"/>
      <c r="D5" s="712"/>
      <c r="E5" s="444"/>
      <c r="F5" s="92"/>
      <c r="G5" s="89"/>
      <c r="H5" s="92"/>
    </row>
    <row r="6" spans="1:11" s="82" customFormat="1" ht="16.5" thickBot="1" x14ac:dyDescent="0.3">
      <c r="A6" s="84" t="s">
        <v>54</v>
      </c>
      <c r="B6" s="467" t="s">
        <v>0</v>
      </c>
      <c r="C6" s="770" t="s">
        <v>55</v>
      </c>
      <c r="D6" s="770"/>
      <c r="E6" s="90" t="s">
        <v>70</v>
      </c>
      <c r="F6" s="90" t="s">
        <v>71</v>
      </c>
      <c r="G6" s="90" t="s">
        <v>72</v>
      </c>
      <c r="H6" s="107" t="s">
        <v>60</v>
      </c>
      <c r="I6" s="108" t="s">
        <v>61</v>
      </c>
      <c r="J6" s="93" t="s">
        <v>62</v>
      </c>
      <c r="K6" s="109" t="s">
        <v>57</v>
      </c>
    </row>
    <row r="7" spans="1:11" s="82" customFormat="1" ht="16.5" thickTop="1" x14ac:dyDescent="0.25">
      <c r="A7" s="466">
        <v>1</v>
      </c>
      <c r="B7" s="469"/>
      <c r="C7" s="771"/>
      <c r="D7" s="771"/>
      <c r="E7" s="478">
        <f>(IF(C7=0,0,IF($E$3="a",IF($E$4="S",IF(B7*'BANCO DE DADOS'!$B$9+('BANCO DE DADOS'!$B$12*$E$5/$B$27*B7)&lt;'BANCO DE DADOS'!$B$8,'BANCO DE DADOS'!$B$8,B7*'BANCO DE DADOS'!$B$9+('BANCO DE DADOS'!$B$12*$E$5/$B$27*B7)),IF(B7*'BANCO DE DADOS'!$B$9+('BANCO DE DADOS'!$B$12*$E$5/$B$27*B7)&lt;'BANCO DE DADOS'!$B$8*0.93,('BANCO DE DADOS'!$B$8*0.93),(B7*'BANCO DE DADOS'!$B$9+('BANCO DE DADOS'!$B$12*$E$5/$B$27*B7))*0.93)),IF($E$4="S",((C7*'BANCO DE DADOS'!$B$8+'BANCO DE DADOS'!$B$12*$E$5/$B$27*B7)+B7+'BANCO DE DADOS'!$B$13/B$27*B7)/0.85,(C7*'BANCO DE DADOS'!$B$8+'BANCO DE DADOS'!$B$12*$E$5/$B$27*B7)+B7+'BANCO DE DADOS'!$B$13/B$27*B7))))*$F$2</f>
        <v>0</v>
      </c>
      <c r="F7" s="104">
        <f>IF(B7&gt;0,E7/B7,0)</f>
        <v>0</v>
      </c>
      <c r="G7" s="104">
        <f>IF(B7&gt;0,E7/C7,0)</f>
        <v>0</v>
      </c>
      <c r="H7" s="114"/>
      <c r="I7" s="115"/>
      <c r="J7" s="94" t="str">
        <f>IF(H7&lt;&gt;0,IF(I7&lt;&gt;0,(IF(I7="p",H7+45,IF(I7="m",H7+55,H7+65)))," "),"")</f>
        <v/>
      </c>
      <c r="K7" s="118"/>
    </row>
    <row r="8" spans="1:11" s="82" customFormat="1" ht="15.75" x14ac:dyDescent="0.25">
      <c r="A8" s="85">
        <v>2</v>
      </c>
      <c r="B8" s="468"/>
      <c r="C8" s="766"/>
      <c r="D8" s="766"/>
      <c r="E8" s="104">
        <f>(IF(C8=0,0,IF($E$3="a",IF($E$4="S",IF(B8*'BANCO DE DADOS'!$B$9+('BANCO DE DADOS'!$B$12*$E$5/$B$27*B8)&lt;'BANCO DE DADOS'!$B$8,'BANCO DE DADOS'!$B$8,B8*'BANCO DE DADOS'!$B$9+('BANCO DE DADOS'!$B$12*$E$5/$B$27*B8)),IF(B8*'BANCO DE DADOS'!$B$9+('BANCO DE DADOS'!$B$12*$E$5/$B$27*B8)&lt;'BANCO DE DADOS'!$B$8*0.93,('BANCO DE DADOS'!$B$8*0.93),(B8*'BANCO DE DADOS'!$B$9+('BANCO DE DADOS'!$B$12*$E$5/$B$27*B8))*0.93)),IF($E$4="S",((C8*'BANCO DE DADOS'!$B$8+'BANCO DE DADOS'!$B$12*$E$5/$B$27*B8)+B8+'BANCO DE DADOS'!$B$13/B$27*B8)/0.85,(C8*'BANCO DE DADOS'!$B$8+'BANCO DE DADOS'!$B$12*$E$5/$B$27*B8)+B8+'BANCO DE DADOS'!$B$13/B$27*B8))))*$F$2</f>
        <v>0</v>
      </c>
      <c r="F8" s="104">
        <f t="shared" ref="F8:F12" si="0">IF(B8&gt;0,E8/B8,0)</f>
        <v>0</v>
      </c>
      <c r="G8" s="104">
        <f t="shared" ref="G8:G12" si="1">IF(B8&gt;0,E8/C8,0)</f>
        <v>0</v>
      </c>
      <c r="H8" s="114"/>
      <c r="I8" s="115"/>
      <c r="J8" s="94" t="str">
        <f t="shared" ref="J8:J26" si="2">IF(H8&lt;&gt;0,IF(I8&lt;&gt;0,(IF(I8="p",H8+45,IF(I8="m",H8+55,H8+65)))," "),"")</f>
        <v/>
      </c>
      <c r="K8" s="118"/>
    </row>
    <row r="9" spans="1:11" s="82" customFormat="1" ht="15.75" x14ac:dyDescent="0.25">
      <c r="A9" s="85">
        <v>3</v>
      </c>
      <c r="B9" s="111"/>
      <c r="C9" s="766"/>
      <c r="D9" s="766"/>
      <c r="E9" s="104">
        <f>(IF(C9=0,0,IF($E$3="a",IF($E$4="S",IF(B9*'BANCO DE DADOS'!$B$9+('BANCO DE DADOS'!$B$12*$E$5/$B$27*B9)&lt;'BANCO DE DADOS'!$B$8,'BANCO DE DADOS'!$B$8,B9*'BANCO DE DADOS'!$B$9+('BANCO DE DADOS'!$B$12*$E$5/$B$27*B9)),IF(B9*'BANCO DE DADOS'!$B$9+('BANCO DE DADOS'!$B$12*$E$5/$B$27*B9)&lt;'BANCO DE DADOS'!$B$8*0.93,('BANCO DE DADOS'!$B$8*0.93),(B9*'BANCO DE DADOS'!$B$9+('BANCO DE DADOS'!$B$12*$E$5/$B$27*B9))*0.93)),IF($E$4="S",((C9*'BANCO DE DADOS'!$B$8+'BANCO DE DADOS'!$B$12*$E$5/$B$27*B9)+B9+'BANCO DE DADOS'!$B$13/B$27*B9)/0.85,(C9*'BANCO DE DADOS'!$B$8+'BANCO DE DADOS'!$B$12*$E$5/$B$27*B9)+B9+'BANCO DE DADOS'!$B$13/B$27*B9))))*$F$2</f>
        <v>0</v>
      </c>
      <c r="F9" s="104">
        <f t="shared" si="0"/>
        <v>0</v>
      </c>
      <c r="G9" s="104">
        <f t="shared" si="1"/>
        <v>0</v>
      </c>
      <c r="H9" s="114"/>
      <c r="I9" s="115"/>
      <c r="J9" s="94" t="str">
        <f t="shared" si="2"/>
        <v/>
      </c>
      <c r="K9" s="118"/>
    </row>
    <row r="10" spans="1:11" s="82" customFormat="1" ht="15.75" x14ac:dyDescent="0.25">
      <c r="A10" s="85">
        <v>4</v>
      </c>
      <c r="B10" s="111"/>
      <c r="C10" s="766"/>
      <c r="D10" s="766"/>
      <c r="E10" s="104">
        <f>(IF(C10=0,0,IF($E$3="a",IF($E$4="S",IF(B10*'BANCO DE DADOS'!$B$9+('BANCO DE DADOS'!$B$12*$E$5/$B$27*B10)&lt;'BANCO DE DADOS'!$B$8,'BANCO DE DADOS'!$B$8,B10*'BANCO DE DADOS'!$B$9+('BANCO DE DADOS'!$B$12*$E$5/$B$27*B10)),IF(B10*'BANCO DE DADOS'!$B$9+('BANCO DE DADOS'!$B$12*$E$5/$B$27*B10)&lt;'BANCO DE DADOS'!$B$8*0.93,('BANCO DE DADOS'!$B$8*0.93),(B10*'BANCO DE DADOS'!$B$9+('BANCO DE DADOS'!$B$12*$E$5/$B$27*B10))*0.93)),IF($E$4="S",((C10*'BANCO DE DADOS'!$B$8+'BANCO DE DADOS'!$B$12*$E$5/$B$27*B10)+B10+'BANCO DE DADOS'!$B$13/B$27*B10)/0.85,(C10*'BANCO DE DADOS'!$B$8+'BANCO DE DADOS'!$B$12*$E$5/$B$27*B10)+B10+'BANCO DE DADOS'!$B$13/B$27*B10))))*$F$2</f>
        <v>0</v>
      </c>
      <c r="F10" s="104">
        <f t="shared" si="0"/>
        <v>0</v>
      </c>
      <c r="G10" s="104">
        <f t="shared" si="1"/>
        <v>0</v>
      </c>
      <c r="H10" s="114"/>
      <c r="I10" s="115"/>
      <c r="J10" s="94" t="str">
        <f t="shared" si="2"/>
        <v/>
      </c>
      <c r="K10" s="118"/>
    </row>
    <row r="11" spans="1:11" s="82" customFormat="1" ht="15.75" x14ac:dyDescent="0.25">
      <c r="A11" s="85">
        <v>5</v>
      </c>
      <c r="B11" s="111"/>
      <c r="C11" s="766"/>
      <c r="D11" s="766"/>
      <c r="E11" s="104">
        <f>(IF(C11=0,0,IF($E$3="a",IF($E$4="S",IF(B11*'BANCO DE DADOS'!$B$9+('BANCO DE DADOS'!$B$12*$E$5/$B$27*B11)&lt;'BANCO DE DADOS'!$B$8,'BANCO DE DADOS'!$B$8,B11*'BANCO DE DADOS'!$B$9+('BANCO DE DADOS'!$B$12*$E$5/$B$27*B11)),IF(B11*'BANCO DE DADOS'!$B$9+('BANCO DE DADOS'!$B$12*$E$5/$B$27*B11)&lt;'BANCO DE DADOS'!$B$8*0.93,('BANCO DE DADOS'!$B$8*0.93),(B11*'BANCO DE DADOS'!$B$9+('BANCO DE DADOS'!$B$12*$E$5/$B$27*B11))*0.93)),IF($E$4="S",((C11*'BANCO DE DADOS'!$B$8+'BANCO DE DADOS'!$B$12*$E$5/$B$27*B11)+B11+'BANCO DE DADOS'!$B$13/B$27*B11)/0.85,(C11*'BANCO DE DADOS'!$B$8+'BANCO DE DADOS'!$B$12*$E$5/$B$27*B11)+B11+'BANCO DE DADOS'!$B$13/B$27*B11))))*$F$2</f>
        <v>0</v>
      </c>
      <c r="F11" s="104">
        <f t="shared" si="0"/>
        <v>0</v>
      </c>
      <c r="G11" s="104">
        <f t="shared" si="1"/>
        <v>0</v>
      </c>
      <c r="H11" s="114"/>
      <c r="I11" s="115"/>
      <c r="J11" s="94" t="str">
        <f t="shared" si="2"/>
        <v/>
      </c>
      <c r="K11" s="119"/>
    </row>
    <row r="12" spans="1:11" s="82" customFormat="1" ht="15.75" x14ac:dyDescent="0.25">
      <c r="A12" s="85">
        <v>6</v>
      </c>
      <c r="B12" s="111"/>
      <c r="C12" s="766"/>
      <c r="D12" s="766"/>
      <c r="E12" s="104">
        <f>(IF(C12=0,0,IF($E$3="a",IF($E$4="S",IF(B12*'BANCO DE DADOS'!$B$9+('BANCO DE DADOS'!$B$12*$E$5/$B$27*B12)&lt;'BANCO DE DADOS'!$B$8,'BANCO DE DADOS'!$B$8,B12*'BANCO DE DADOS'!$B$9+('BANCO DE DADOS'!$B$12*$E$5/$B$27*B12)),IF(B12*'BANCO DE DADOS'!$B$9+('BANCO DE DADOS'!$B$12*$E$5/$B$27*B12)&lt;'BANCO DE DADOS'!$B$8*0.93,('BANCO DE DADOS'!$B$8*0.93),(B12*'BANCO DE DADOS'!$B$9+('BANCO DE DADOS'!$B$12*$E$5/$B$27*B12))*0.93)),IF($E$4="S",((C12*'BANCO DE DADOS'!$B$8+'BANCO DE DADOS'!$B$12*$E$5/$B$27*B12)+B12+'BANCO DE DADOS'!$B$13/B$27*B12)/0.85,(C12*'BANCO DE DADOS'!$B$8+'BANCO DE DADOS'!$B$12*$E$5/$B$27*B12)+B12+'BANCO DE DADOS'!$B$13/B$27*B12))))*$F$2</f>
        <v>0</v>
      </c>
      <c r="F12" s="104">
        <f t="shared" si="0"/>
        <v>0</v>
      </c>
      <c r="G12" s="104">
        <f t="shared" si="1"/>
        <v>0</v>
      </c>
      <c r="H12" s="114"/>
      <c r="I12" s="115"/>
      <c r="J12" s="94" t="str">
        <f t="shared" si="2"/>
        <v/>
      </c>
      <c r="K12" s="119"/>
    </row>
    <row r="13" spans="1:11" s="82" customFormat="1" ht="15.75" x14ac:dyDescent="0.25">
      <c r="A13" s="85">
        <v>7</v>
      </c>
      <c r="B13" s="111"/>
      <c r="C13" s="766"/>
      <c r="D13" s="766"/>
      <c r="E13" s="104">
        <f>(IF(C13=0,0,IF($E$3="a",IF($E$4="S",IF(B13*'BANCO DE DADOS'!$B$9+('BANCO DE DADOS'!$B$12*$E$5/$B$27*B13)&lt;'BANCO DE DADOS'!$B$8,'BANCO DE DADOS'!$B$8,B13*'BANCO DE DADOS'!$B$9+('BANCO DE DADOS'!$B$12*$E$5/$B$27*B13)),IF(B13*'BANCO DE DADOS'!$B$9+('BANCO DE DADOS'!$B$12*$E$5/$B$27*B13)&lt;'BANCO DE DADOS'!$B$8*0.93,('BANCO DE DADOS'!$B$8*0.93),(B13*'BANCO DE DADOS'!$B$9+('BANCO DE DADOS'!$B$12*$E$5/$B$27*B13))*0.93)),IF($E$4="S",((C13*'BANCO DE DADOS'!$B$8+'BANCO DE DADOS'!$B$12*$E$5/$B$27*B13)+B13+'BANCO DE DADOS'!$B$13/B$27*B13)/0.85,(C13*'BANCO DE DADOS'!$B$8+'BANCO DE DADOS'!$B$12*$E$5/$B$27*B13)+B13+'BANCO DE DADOS'!$B$13/B$27*B13))))*$F$2</f>
        <v>0</v>
      </c>
      <c r="F13" s="104">
        <f t="shared" ref="F13:F25" si="3">IF(B13&gt;0,E13/B13,0)</f>
        <v>0</v>
      </c>
      <c r="G13" s="104">
        <f t="shared" ref="G13:G25" si="4">IF(B13&gt;0,E13/C13,0)</f>
        <v>0</v>
      </c>
      <c r="H13" s="114"/>
      <c r="I13" s="115"/>
      <c r="J13" s="94" t="str">
        <f t="shared" si="2"/>
        <v/>
      </c>
      <c r="K13" s="119"/>
    </row>
    <row r="14" spans="1:11" s="82" customFormat="1" ht="15.75" x14ac:dyDescent="0.25">
      <c r="A14" s="85">
        <v>8</v>
      </c>
      <c r="B14" s="111"/>
      <c r="C14" s="766"/>
      <c r="D14" s="766"/>
      <c r="E14" s="104">
        <f>(IF(C14=0,0,IF($E$3="a",IF($E$4="S",IF(B14*'BANCO DE DADOS'!$B$9+('BANCO DE DADOS'!$B$12*$E$5/$B$27*B14)&lt;'BANCO DE DADOS'!$B$8,'BANCO DE DADOS'!$B$8,B14*'BANCO DE DADOS'!$B$9+('BANCO DE DADOS'!$B$12*$E$5/$B$27*B14)),IF(B14*'BANCO DE DADOS'!$B$9+('BANCO DE DADOS'!$B$12*$E$5/$B$27*B14)&lt;'BANCO DE DADOS'!$B$8*0.93,('BANCO DE DADOS'!$B$8*0.93),(B14*'BANCO DE DADOS'!$B$9+('BANCO DE DADOS'!$B$12*$E$5/$B$27*B14))*0.93)),IF($E$4="S",((C14*'BANCO DE DADOS'!$B$8+'BANCO DE DADOS'!$B$12*$E$5/$B$27*B14)+B14+'BANCO DE DADOS'!$B$13/B$27*B14)/0.85,(C14*'BANCO DE DADOS'!$B$8+'BANCO DE DADOS'!$B$12*$E$5/$B$27*B14)+B14+'BANCO DE DADOS'!$B$13/B$27*B14))))*$F$2</f>
        <v>0</v>
      </c>
      <c r="F14" s="104">
        <f t="shared" si="3"/>
        <v>0</v>
      </c>
      <c r="G14" s="104">
        <f t="shared" si="4"/>
        <v>0</v>
      </c>
      <c r="H14" s="114"/>
      <c r="I14" s="115"/>
      <c r="J14" s="94" t="str">
        <f t="shared" si="2"/>
        <v/>
      </c>
      <c r="K14" s="119"/>
    </row>
    <row r="15" spans="1:11" s="82" customFormat="1" ht="15.75" x14ac:dyDescent="0.25">
      <c r="A15" s="85">
        <v>9</v>
      </c>
      <c r="B15" s="111"/>
      <c r="C15" s="766"/>
      <c r="D15" s="766"/>
      <c r="E15" s="104">
        <f>(IF(C15=0,0,IF($E$3="a",IF($E$4="S",IF(B15*'BANCO DE DADOS'!$B$9+('BANCO DE DADOS'!$B$12*$E$5/$B$27*B15)&lt;'BANCO DE DADOS'!$B$8,'BANCO DE DADOS'!$B$8,B15*'BANCO DE DADOS'!$B$9+('BANCO DE DADOS'!$B$12*$E$5/$B$27*B15)),IF(B15*'BANCO DE DADOS'!$B$9+('BANCO DE DADOS'!$B$12*$E$5/$B$27*B15)&lt;'BANCO DE DADOS'!$B$8*0.93,('BANCO DE DADOS'!$B$8*0.93),(B15*'BANCO DE DADOS'!$B$9+('BANCO DE DADOS'!$B$12*$E$5/$B$27*B15))*0.93)),IF($E$4="S",((C15*'BANCO DE DADOS'!$B$8+'BANCO DE DADOS'!$B$12*$E$5/$B$27*B15)+B15+'BANCO DE DADOS'!$B$13/B$27*B15)/0.85,(C15*'BANCO DE DADOS'!$B$8+'BANCO DE DADOS'!$B$12*$E$5/$B$27*B15)+B15+'BANCO DE DADOS'!$B$13/B$27*B15))))*$F$2</f>
        <v>0</v>
      </c>
      <c r="F15" s="104">
        <f t="shared" si="3"/>
        <v>0</v>
      </c>
      <c r="G15" s="104">
        <f t="shared" si="4"/>
        <v>0</v>
      </c>
      <c r="H15" s="114"/>
      <c r="I15" s="115"/>
      <c r="J15" s="94" t="str">
        <f t="shared" si="2"/>
        <v/>
      </c>
      <c r="K15" s="119"/>
    </row>
    <row r="16" spans="1:11" s="82" customFormat="1" ht="15.75" x14ac:dyDescent="0.25">
      <c r="A16" s="85">
        <v>10</v>
      </c>
      <c r="B16" s="111"/>
      <c r="C16" s="766"/>
      <c r="D16" s="766"/>
      <c r="E16" s="104">
        <f>(IF(C16=0,0,IF($E$3="a",IF($E$4="S",IF(B16*'BANCO DE DADOS'!$B$9+('BANCO DE DADOS'!$B$12*$E$5/$B$27*B16)&lt;'BANCO DE DADOS'!$B$8,'BANCO DE DADOS'!$B$8,B16*'BANCO DE DADOS'!$B$9+('BANCO DE DADOS'!$B$12*$E$5/$B$27*B16)),IF(B16*'BANCO DE DADOS'!$B$9+('BANCO DE DADOS'!$B$12*$E$5/$B$27*B16)&lt;'BANCO DE DADOS'!$B$8*0.93,('BANCO DE DADOS'!$B$8*0.93),(B16*'BANCO DE DADOS'!$B$9+('BANCO DE DADOS'!$B$12*$E$5/$B$27*B16))*0.93)),IF($E$4="S",((C16*'BANCO DE DADOS'!$B$8+'BANCO DE DADOS'!$B$12*$E$5/$B$27*B16)+B16+'BANCO DE DADOS'!$B$13/B$27*B16)/0.85,(C16*'BANCO DE DADOS'!$B$8+'BANCO DE DADOS'!$B$12*$E$5/$B$27*B16)+B16+'BANCO DE DADOS'!$B$13/B$27*B16))))*$F$2</f>
        <v>0</v>
      </c>
      <c r="F16" s="104">
        <f t="shared" si="3"/>
        <v>0</v>
      </c>
      <c r="G16" s="104">
        <f t="shared" si="4"/>
        <v>0</v>
      </c>
      <c r="H16" s="114"/>
      <c r="I16" s="115"/>
      <c r="J16" s="94" t="str">
        <f t="shared" si="2"/>
        <v/>
      </c>
      <c r="K16" s="119"/>
    </row>
    <row r="17" spans="1:11" s="82" customFormat="1" ht="15.75" x14ac:dyDescent="0.25">
      <c r="A17" s="85">
        <v>11</v>
      </c>
      <c r="B17" s="111"/>
      <c r="C17" s="766"/>
      <c r="D17" s="766"/>
      <c r="E17" s="104">
        <f>(IF(C17=0,0,IF($E$3="a",IF($E$4="S",IF(B17*'BANCO DE DADOS'!$B$9+('BANCO DE DADOS'!$B$12*$E$5/$B$27*B17)&lt;'BANCO DE DADOS'!$B$8,'BANCO DE DADOS'!$B$8,B17*'BANCO DE DADOS'!$B$9+('BANCO DE DADOS'!$B$12*$E$5/$B$27*B17)),IF(B17*'BANCO DE DADOS'!$B$9+('BANCO DE DADOS'!$B$12*$E$5/$B$27*B17)&lt;'BANCO DE DADOS'!$B$8*0.93,('BANCO DE DADOS'!$B$8*0.93),(B17*'BANCO DE DADOS'!$B$9+('BANCO DE DADOS'!$B$12*$E$5/$B$27*B17))*0.93)),IF($E$4="S",((C17*'BANCO DE DADOS'!$B$8+'BANCO DE DADOS'!$B$12*$E$5/$B$27*B17)+B17+'BANCO DE DADOS'!$B$13/B$27*B17)/0.85,(C17*'BANCO DE DADOS'!$B$8+'BANCO DE DADOS'!$B$12*$E$5/$B$27*B17)+B17+'BANCO DE DADOS'!$B$13/B$27*B17))))*$F$2</f>
        <v>0</v>
      </c>
      <c r="F17" s="104">
        <f t="shared" si="3"/>
        <v>0</v>
      </c>
      <c r="G17" s="104">
        <f t="shared" si="4"/>
        <v>0</v>
      </c>
      <c r="H17" s="114"/>
      <c r="I17" s="115"/>
      <c r="J17" s="94" t="str">
        <f t="shared" si="2"/>
        <v/>
      </c>
      <c r="K17" s="119"/>
    </row>
    <row r="18" spans="1:11" s="82" customFormat="1" ht="15.75" x14ac:dyDescent="0.25">
      <c r="A18" s="85">
        <v>12</v>
      </c>
      <c r="B18" s="111"/>
      <c r="C18" s="766"/>
      <c r="D18" s="766"/>
      <c r="E18" s="104">
        <f>(IF(C18=0,0,IF($E$3="a",IF($E$4="S",IF(B18*'BANCO DE DADOS'!$B$9+('BANCO DE DADOS'!$B$12*$E$5/$B$27*B18)&lt;'BANCO DE DADOS'!$B$8,'BANCO DE DADOS'!$B$8,B18*'BANCO DE DADOS'!$B$9+('BANCO DE DADOS'!$B$12*$E$5/$B$27*B18)),IF(B18*'BANCO DE DADOS'!$B$9+('BANCO DE DADOS'!$B$12*$E$5/$B$27*B18)&lt;'BANCO DE DADOS'!$B$8*0.93,('BANCO DE DADOS'!$B$8*0.93),(B18*'BANCO DE DADOS'!$B$9+('BANCO DE DADOS'!$B$12*$E$5/$B$27*B18))*0.93)),IF($E$4="S",((C18*'BANCO DE DADOS'!$B$8+'BANCO DE DADOS'!$B$12*$E$5/$B$27*B18)+B18+'BANCO DE DADOS'!$B$13/B$27*B18)/0.85,(C18*'BANCO DE DADOS'!$B$8+'BANCO DE DADOS'!$B$12*$E$5/$B$27*B18)+B18+'BANCO DE DADOS'!$B$13/B$27*B18))))*$F$2</f>
        <v>0</v>
      </c>
      <c r="F18" s="104">
        <f t="shared" si="3"/>
        <v>0</v>
      </c>
      <c r="G18" s="104">
        <f t="shared" si="4"/>
        <v>0</v>
      </c>
      <c r="H18" s="114"/>
      <c r="I18" s="115"/>
      <c r="J18" s="94" t="str">
        <f t="shared" si="2"/>
        <v/>
      </c>
      <c r="K18" s="119"/>
    </row>
    <row r="19" spans="1:11" s="82" customFormat="1" ht="15.75" x14ac:dyDescent="0.25">
      <c r="A19" s="85">
        <v>13</v>
      </c>
      <c r="B19" s="111"/>
      <c r="C19" s="766"/>
      <c r="D19" s="766"/>
      <c r="E19" s="104">
        <f>(IF(C19=0,0,IF($E$3="a",IF($E$4="S",IF(B19*'BANCO DE DADOS'!$B$9+('BANCO DE DADOS'!$B$12*$E$5/$B$27*B19)&lt;'BANCO DE DADOS'!$B$8,'BANCO DE DADOS'!$B$8,B19*'BANCO DE DADOS'!$B$9+('BANCO DE DADOS'!$B$12*$E$5/$B$27*B19)),IF(B19*'BANCO DE DADOS'!$B$9+('BANCO DE DADOS'!$B$12*$E$5/$B$27*B19)&lt;'BANCO DE DADOS'!$B$8*0.93,('BANCO DE DADOS'!$B$8*0.93),(B19*'BANCO DE DADOS'!$B$9+('BANCO DE DADOS'!$B$12*$E$5/$B$27*B19))*0.93)),IF($E$4="S",((C19*'BANCO DE DADOS'!$B$8+'BANCO DE DADOS'!$B$12*$E$5/$B$27*B19)+B19+'BANCO DE DADOS'!$B$13/B$27*B19)/0.85,(C19*'BANCO DE DADOS'!$B$8+'BANCO DE DADOS'!$B$12*$E$5/$B$27*B19)+B19+'BANCO DE DADOS'!$B$13/B$27*B19))))*$F$2</f>
        <v>0</v>
      </c>
      <c r="F19" s="104">
        <f t="shared" si="3"/>
        <v>0</v>
      </c>
      <c r="G19" s="104">
        <f t="shared" si="4"/>
        <v>0</v>
      </c>
      <c r="H19" s="114"/>
      <c r="I19" s="115"/>
      <c r="J19" s="94" t="str">
        <f t="shared" si="2"/>
        <v/>
      </c>
      <c r="K19" s="119"/>
    </row>
    <row r="20" spans="1:11" s="82" customFormat="1" ht="15.75" x14ac:dyDescent="0.25">
      <c r="A20" s="85">
        <v>14</v>
      </c>
      <c r="B20" s="111"/>
      <c r="C20" s="766"/>
      <c r="D20" s="766"/>
      <c r="E20" s="104">
        <f>(IF(C20=0,0,IF($E$3="a",IF($E$4="S",IF(B20*'BANCO DE DADOS'!$B$9+('BANCO DE DADOS'!$B$12*$E$5/$B$27*B20)&lt;'BANCO DE DADOS'!$B$8,'BANCO DE DADOS'!$B$8,B20*'BANCO DE DADOS'!$B$9+('BANCO DE DADOS'!$B$12*$E$5/$B$27*B20)),IF(B20*'BANCO DE DADOS'!$B$9+('BANCO DE DADOS'!$B$12*$E$5/$B$27*B20)&lt;'BANCO DE DADOS'!$B$8*0.93,('BANCO DE DADOS'!$B$8*0.93),(B20*'BANCO DE DADOS'!$B$9+('BANCO DE DADOS'!$B$12*$E$5/$B$27*B20))*0.93)),IF($E$4="S",((C20*'BANCO DE DADOS'!$B$8+'BANCO DE DADOS'!$B$12*$E$5/$B$27*B20)+B20+'BANCO DE DADOS'!$B$13/B$27*B20)/0.85,(C20*'BANCO DE DADOS'!$B$8+'BANCO DE DADOS'!$B$12*$E$5/$B$27*B20)+B20+'BANCO DE DADOS'!$B$13/B$27*B20))))*$F$2</f>
        <v>0</v>
      </c>
      <c r="F20" s="104">
        <f t="shared" si="3"/>
        <v>0</v>
      </c>
      <c r="G20" s="104">
        <f t="shared" si="4"/>
        <v>0</v>
      </c>
      <c r="H20" s="114"/>
      <c r="I20" s="115"/>
      <c r="J20" s="94" t="str">
        <f t="shared" si="2"/>
        <v/>
      </c>
      <c r="K20" s="119"/>
    </row>
    <row r="21" spans="1:11" s="82" customFormat="1" ht="15.75" x14ac:dyDescent="0.25">
      <c r="A21" s="85">
        <v>15</v>
      </c>
      <c r="B21" s="111"/>
      <c r="C21" s="766"/>
      <c r="D21" s="766"/>
      <c r="E21" s="104">
        <f>(IF(C21=0,0,IF($E$3="a",IF($E$4="S",IF(B21*'BANCO DE DADOS'!$B$9+('BANCO DE DADOS'!$B$12*$E$5/$B$27*B21)&lt;'BANCO DE DADOS'!$B$8,'BANCO DE DADOS'!$B$8,B21*'BANCO DE DADOS'!$B$9+('BANCO DE DADOS'!$B$12*$E$5/$B$27*B21)),IF(B21*'BANCO DE DADOS'!$B$9+('BANCO DE DADOS'!$B$12*$E$5/$B$27*B21)&lt;'BANCO DE DADOS'!$B$8*0.93,('BANCO DE DADOS'!$B$8*0.93),(B21*'BANCO DE DADOS'!$B$9+('BANCO DE DADOS'!$B$12*$E$5/$B$27*B21))*0.93)),IF($E$4="S",((C21*'BANCO DE DADOS'!$B$8+'BANCO DE DADOS'!$B$12*$E$5/$B$27*B21)+B21+'BANCO DE DADOS'!$B$13/B$27*B21)/0.85,(C21*'BANCO DE DADOS'!$B$8+'BANCO DE DADOS'!$B$12*$E$5/$B$27*B21)+B21+'BANCO DE DADOS'!$B$13/B$27*B21))))*$F$2</f>
        <v>0</v>
      </c>
      <c r="F21" s="104">
        <f t="shared" si="3"/>
        <v>0</v>
      </c>
      <c r="G21" s="104">
        <f t="shared" si="4"/>
        <v>0</v>
      </c>
      <c r="H21" s="114"/>
      <c r="I21" s="115"/>
      <c r="J21" s="94" t="str">
        <f t="shared" si="2"/>
        <v/>
      </c>
      <c r="K21" s="119"/>
    </row>
    <row r="22" spans="1:11" s="82" customFormat="1" ht="15.75" x14ac:dyDescent="0.25">
      <c r="A22" s="85">
        <v>16</v>
      </c>
      <c r="B22" s="111"/>
      <c r="C22" s="766"/>
      <c r="D22" s="766"/>
      <c r="E22" s="104">
        <f>(IF(C22=0,0,IF($E$3="a",IF($E$4="S",IF(B22*'BANCO DE DADOS'!$B$9+('BANCO DE DADOS'!$B$12*$E$5/$B$27*B22)&lt;'BANCO DE DADOS'!$B$8,'BANCO DE DADOS'!$B$8,B22*'BANCO DE DADOS'!$B$9+('BANCO DE DADOS'!$B$12*$E$5/$B$27*B22)),IF(B22*'BANCO DE DADOS'!$B$9+('BANCO DE DADOS'!$B$12*$E$5/$B$27*B22)&lt;'BANCO DE DADOS'!$B$8*0.93,('BANCO DE DADOS'!$B$8*0.93),(B22*'BANCO DE DADOS'!$B$9+('BANCO DE DADOS'!$B$12*$E$5/$B$27*B22))*0.93)),IF($E$4="S",((C22*'BANCO DE DADOS'!$B$8+'BANCO DE DADOS'!$B$12*$E$5/$B$27*B22)+B22+'BANCO DE DADOS'!$B$13/B$27*B22)/0.85,(C22*'BANCO DE DADOS'!$B$8+'BANCO DE DADOS'!$B$12*$E$5/$B$27*B22)+B22+'BANCO DE DADOS'!$B$13/B$27*B22))))*$F$2</f>
        <v>0</v>
      </c>
      <c r="F22" s="104">
        <f t="shared" si="3"/>
        <v>0</v>
      </c>
      <c r="G22" s="104">
        <f t="shared" si="4"/>
        <v>0</v>
      </c>
      <c r="H22" s="114"/>
      <c r="I22" s="115"/>
      <c r="J22" s="94" t="str">
        <f t="shared" si="2"/>
        <v/>
      </c>
      <c r="K22" s="119"/>
    </row>
    <row r="23" spans="1:11" s="82" customFormat="1" ht="15.75" x14ac:dyDescent="0.25">
      <c r="A23" s="85">
        <v>17</v>
      </c>
      <c r="B23" s="111"/>
      <c r="C23" s="766"/>
      <c r="D23" s="766"/>
      <c r="E23" s="104">
        <f>(IF(C23=0,0,IF($E$3="a",IF($E$4="S",IF(B23*'BANCO DE DADOS'!$B$9+('BANCO DE DADOS'!$B$12*$E$5/$B$27*B23)&lt;'BANCO DE DADOS'!$B$8,'BANCO DE DADOS'!$B$8,B23*'BANCO DE DADOS'!$B$9+('BANCO DE DADOS'!$B$12*$E$5/$B$27*B23)),IF(B23*'BANCO DE DADOS'!$B$9+('BANCO DE DADOS'!$B$12*$E$5/$B$27*B23)&lt;'BANCO DE DADOS'!$B$8*0.93,('BANCO DE DADOS'!$B$8*0.93),(B23*'BANCO DE DADOS'!$B$9+('BANCO DE DADOS'!$B$12*$E$5/$B$27*B23))*0.93)),IF($E$4="S",((C23*'BANCO DE DADOS'!$B$8+'BANCO DE DADOS'!$B$12*$E$5/$B$27*B23)+B23+'BANCO DE DADOS'!$B$13/B$27*B23)/0.85,(C23*'BANCO DE DADOS'!$B$8+'BANCO DE DADOS'!$B$12*$E$5/$B$27*B23)+B23+'BANCO DE DADOS'!$B$13/B$27*B23))))*$F$2</f>
        <v>0</v>
      </c>
      <c r="F23" s="104">
        <f t="shared" si="3"/>
        <v>0</v>
      </c>
      <c r="G23" s="104">
        <f t="shared" si="4"/>
        <v>0</v>
      </c>
      <c r="H23" s="114"/>
      <c r="I23" s="115"/>
      <c r="J23" s="94" t="str">
        <f t="shared" si="2"/>
        <v/>
      </c>
      <c r="K23" s="119"/>
    </row>
    <row r="24" spans="1:11" s="82" customFormat="1" ht="15.75" x14ac:dyDescent="0.25">
      <c r="A24" s="85">
        <v>18</v>
      </c>
      <c r="B24" s="111"/>
      <c r="C24" s="766"/>
      <c r="D24" s="766"/>
      <c r="E24" s="104">
        <f>(IF(C24=0,0,IF($E$3="a",IF($E$4="S",IF(B24*'BANCO DE DADOS'!$B$9+('BANCO DE DADOS'!$B$12*$E$5/$B$27*B24)&lt;'BANCO DE DADOS'!$B$8,'BANCO DE DADOS'!$B$8,B24*'BANCO DE DADOS'!$B$9+('BANCO DE DADOS'!$B$12*$E$5/$B$27*B24)),IF(B24*'BANCO DE DADOS'!$B$9+('BANCO DE DADOS'!$B$12*$E$5/$B$27*B24)&lt;'BANCO DE DADOS'!$B$8*0.93,('BANCO DE DADOS'!$B$8*0.93),(B24*'BANCO DE DADOS'!$B$9+('BANCO DE DADOS'!$B$12*$E$5/$B$27*B24))*0.93)),IF($E$4="S",((C24*'BANCO DE DADOS'!$B$8+'BANCO DE DADOS'!$B$12*$E$5/$B$27*B24)+B24+'BANCO DE DADOS'!$B$13/B$27*B24)/0.85,(C24*'BANCO DE DADOS'!$B$8+'BANCO DE DADOS'!$B$12*$E$5/$B$27*B24)+B24+'BANCO DE DADOS'!$B$13/B$27*B24))))*$F$2</f>
        <v>0</v>
      </c>
      <c r="F24" s="104">
        <f t="shared" si="3"/>
        <v>0</v>
      </c>
      <c r="G24" s="104">
        <f t="shared" si="4"/>
        <v>0</v>
      </c>
      <c r="H24" s="114"/>
      <c r="I24" s="115"/>
      <c r="J24" s="94" t="str">
        <f t="shared" si="2"/>
        <v/>
      </c>
      <c r="K24" s="119"/>
    </row>
    <row r="25" spans="1:11" s="82" customFormat="1" ht="15.75" x14ac:dyDescent="0.25">
      <c r="A25" s="85">
        <v>19</v>
      </c>
      <c r="B25" s="111"/>
      <c r="C25" s="766"/>
      <c r="D25" s="766"/>
      <c r="E25" s="104">
        <f>(IF(C25=0,0,IF($E$3="a",IF($E$4="S",IF(B25*'BANCO DE DADOS'!$B$9+('BANCO DE DADOS'!$B$12*$E$5/$B$27*B25)&lt;'BANCO DE DADOS'!$B$8,'BANCO DE DADOS'!$B$8,B25*'BANCO DE DADOS'!$B$9+('BANCO DE DADOS'!$B$12*$E$5/$B$27*B25)),IF(B25*'BANCO DE DADOS'!$B$9+('BANCO DE DADOS'!$B$12*$E$5/$B$27*B25)&lt;'BANCO DE DADOS'!$B$8*0.93,('BANCO DE DADOS'!$B$8*0.93),(B25*'BANCO DE DADOS'!$B$9+('BANCO DE DADOS'!$B$12*$E$5/$B$27*B25))*0.93)),IF($E$4="S",((C25*'BANCO DE DADOS'!$B$8+'BANCO DE DADOS'!$B$12*$E$5/$B$27*B25)+B25+'BANCO DE DADOS'!$B$13/B$27*B25)/0.85,(C25*'BANCO DE DADOS'!$B$8+'BANCO DE DADOS'!$B$12*$E$5/$B$27*B25)+B25+'BANCO DE DADOS'!$B$13/B$27*B25))))*$F$2</f>
        <v>0</v>
      </c>
      <c r="F25" s="104">
        <f t="shared" si="3"/>
        <v>0</v>
      </c>
      <c r="G25" s="104">
        <f t="shared" si="4"/>
        <v>0</v>
      </c>
      <c r="H25" s="114"/>
      <c r="I25" s="115"/>
      <c r="J25" s="94" t="str">
        <f t="shared" si="2"/>
        <v/>
      </c>
      <c r="K25" s="119"/>
    </row>
    <row r="26" spans="1:11" s="82" customFormat="1" ht="16.5" thickBot="1" x14ac:dyDescent="0.3">
      <c r="A26" s="86">
        <v>20</v>
      </c>
      <c r="B26" s="112"/>
      <c r="C26" s="767"/>
      <c r="D26" s="767"/>
      <c r="E26" s="105">
        <f>(IF(C26=0,0,IF($E$3="a",IF($E$4="S",IF(B26*'BANCO DE DADOS'!$B$9+('BANCO DE DADOS'!$B$12*$E$5/$B$27*B26)&lt;'BANCO DE DADOS'!$B$8,'BANCO DE DADOS'!$B$8,B26*'BANCO DE DADOS'!$B$9+('BANCO DE DADOS'!$B$12*$E$5/$B$27*B26)),IF(B26*'BANCO DE DADOS'!$B$9+('BANCO DE DADOS'!$B$12*$E$5/$B$27*B26)&lt;'BANCO DE DADOS'!$B$8*0.93,('BANCO DE DADOS'!$B$8*0.93),(B26*'BANCO DE DADOS'!$B$9+('BANCO DE DADOS'!$B$12*$E$5/$B$27*B26))*0.93)),IF($E$4="S",((C26*'BANCO DE DADOS'!$B$8+'BANCO DE DADOS'!$B$12*$E$5/$B$27*B26)+B26+'BANCO DE DADOS'!$B$13/B$27*B26)/0.85,(C26*'BANCO DE DADOS'!$B$8+'BANCO DE DADOS'!$B$12*$E$5/$B$27*B26)+B26+'BANCO DE DADOS'!$B$13/B$27*B26))))*$F$2</f>
        <v>0</v>
      </c>
      <c r="F26" s="105">
        <f>IF(B26&gt;0,E26/B26,0)</f>
        <v>0</v>
      </c>
      <c r="G26" s="105">
        <f>IF(B26&gt;0,E26/C26,0)</f>
        <v>0</v>
      </c>
      <c r="H26" s="116"/>
      <c r="I26" s="117"/>
      <c r="J26" s="195" t="str">
        <f t="shared" si="2"/>
        <v/>
      </c>
      <c r="K26" s="120"/>
    </row>
    <row r="27" spans="1:11" s="82" customFormat="1" ht="16.5" thickBot="1" x14ac:dyDescent="0.3">
      <c r="A27" s="87" t="s">
        <v>58</v>
      </c>
      <c r="B27" s="113">
        <f>SUM(B7:B26)</f>
        <v>0</v>
      </c>
      <c r="C27" s="768">
        <f>SUMIF(A7:A26,"&lt;&gt;0",C7:D26)</f>
        <v>0</v>
      </c>
      <c r="D27" s="769"/>
      <c r="E27" s="95"/>
      <c r="F27" s="106"/>
      <c r="G27" s="95"/>
    </row>
    <row r="28" spans="1:11" s="82" customFormat="1" ht="15.75" x14ac:dyDescent="0.25">
      <c r="A28" s="714" t="s">
        <v>56</v>
      </c>
      <c r="B28" s="714"/>
      <c r="C28" s="714"/>
      <c r="D28" s="714"/>
      <c r="E28" s="88">
        <f>SUM(E7:E26)</f>
        <v>0</v>
      </c>
      <c r="F28" s="106"/>
      <c r="G28" s="88"/>
      <c r="H28" s="96"/>
    </row>
    <row r="29" spans="1:11" s="82" customFormat="1" ht="15.75" x14ac:dyDescent="0.25">
      <c r="A29" s="714" t="s">
        <v>119</v>
      </c>
      <c r="B29" s="714"/>
      <c r="C29" s="714"/>
      <c r="D29" s="714"/>
      <c r="E29" s="194" t="e">
        <f>E28/B27</f>
        <v>#DIV/0!</v>
      </c>
      <c r="F29" s="92"/>
      <c r="G29" s="89"/>
      <c r="H29" s="92"/>
    </row>
    <row r="30" spans="1:11" s="82" customFormat="1" ht="15.75" x14ac:dyDescent="0.25">
      <c r="A30" s="714" t="s">
        <v>120</v>
      </c>
      <c r="B30" s="714"/>
      <c r="C30" s="714"/>
      <c r="D30" s="714"/>
      <c r="E30" s="194" t="e">
        <f>E28/C27</f>
        <v>#DIV/0!</v>
      </c>
      <c r="F30" s="92"/>
      <c r="G30" s="89"/>
      <c r="H30" s="92"/>
    </row>
    <row r="31" spans="1:11" s="82" customFormat="1" ht="15.75" x14ac:dyDescent="0.25">
      <c r="A31" s="87"/>
      <c r="B31" s="87"/>
      <c r="C31" s="87"/>
      <c r="D31" s="87"/>
      <c r="E31" s="89"/>
      <c r="F31" s="92"/>
      <c r="G31" s="89"/>
      <c r="H31" s="92"/>
    </row>
    <row r="32" spans="1:11" s="82" customFormat="1" ht="15.75" x14ac:dyDescent="0.25">
      <c r="A32" s="87"/>
      <c r="B32" s="87"/>
      <c r="C32" s="87"/>
      <c r="D32" s="87"/>
      <c r="E32" s="89"/>
      <c r="F32" s="92"/>
      <c r="G32" s="89"/>
      <c r="H32" s="92"/>
    </row>
    <row r="33" spans="1:8" s="82" customFormat="1" ht="15.75" x14ac:dyDescent="0.25">
      <c r="A33" s="87"/>
      <c r="B33" s="87"/>
      <c r="C33" s="87"/>
      <c r="D33" s="87"/>
      <c r="E33" s="89"/>
      <c r="F33" s="92"/>
      <c r="G33" s="89"/>
      <c r="H33" s="92"/>
    </row>
    <row r="34" spans="1:8" s="82" customFormat="1" ht="15.75" x14ac:dyDescent="0.25">
      <c r="A34" s="87"/>
      <c r="B34" s="87"/>
      <c r="C34" s="87"/>
      <c r="D34" s="87"/>
      <c r="E34" s="89"/>
      <c r="F34" s="92"/>
      <c r="G34" s="89"/>
      <c r="H34" s="92"/>
    </row>
    <row r="35" spans="1:8" s="82" customFormat="1" ht="15.75" x14ac:dyDescent="0.25">
      <c r="A35" s="89"/>
      <c r="F35" s="91"/>
      <c r="H35" s="98"/>
    </row>
  </sheetData>
  <sheetProtection selectLockedCells="1"/>
  <mergeCells count="29">
    <mergeCell ref="C18:D18"/>
    <mergeCell ref="C19:D19"/>
    <mergeCell ref="C20:D20"/>
    <mergeCell ref="C9:D9"/>
    <mergeCell ref="A5:D5"/>
    <mergeCell ref="C6:D6"/>
    <mergeCell ref="C7:D7"/>
    <mergeCell ref="C8:D8"/>
    <mergeCell ref="C13:D13"/>
    <mergeCell ref="C14:D14"/>
    <mergeCell ref="C15:D15"/>
    <mergeCell ref="C16:D16"/>
    <mergeCell ref="C17:D17"/>
    <mergeCell ref="A3:D3"/>
    <mergeCell ref="A4:D4"/>
    <mergeCell ref="A2:D2"/>
    <mergeCell ref="A29:D29"/>
    <mergeCell ref="A30:D30"/>
    <mergeCell ref="A28:D28"/>
    <mergeCell ref="C22:D22"/>
    <mergeCell ref="C23:D23"/>
    <mergeCell ref="C24:D24"/>
    <mergeCell ref="C25:D25"/>
    <mergeCell ref="C26:D26"/>
    <mergeCell ref="C27:D27"/>
    <mergeCell ref="C21:D21"/>
    <mergeCell ref="C10:D10"/>
    <mergeCell ref="C11:D11"/>
    <mergeCell ref="C12:D12"/>
  </mergeCells>
  <dataValidations count="4">
    <dataValidation type="date" allowBlank="1" showInputMessage="1" showErrorMessage="1" prompt="Entre com DD/MM/AA" sqref="E2" xr:uid="{B90A3EA3-CA9C-46C5-BA5F-2B1F76176967}">
      <formula1>44956</formula1>
      <formula2>47847</formula2>
    </dataValidation>
    <dataValidation type="list" allowBlank="1" showInputMessage="1" showErrorMessage="1" sqref="E3" xr:uid="{D952EA2E-0849-44CC-870B-AEEB5BB26200}">
      <formula1>"A,a,P,p"</formula1>
    </dataValidation>
    <dataValidation type="list" allowBlank="1" showInputMessage="1" showErrorMessage="1" sqref="E4" xr:uid="{F886E2DD-C8D6-47C5-8325-4D36F615DE7C}">
      <formula1>"s,S,n,N"</formula1>
    </dataValidation>
    <dataValidation type="decimal" allowBlank="1" showInputMessage="1" showErrorMessage="1" sqref="E5" xr:uid="{1FD97926-C0F8-4A6F-B9EC-222AFD98303B}">
      <formula1>0</formula1>
      <formula2>10000</formula2>
    </dataValidation>
  </dataValidations>
  <pageMargins left="0.511811024" right="0.511811024" top="0.78740157499999996" bottom="0.78740157499999996" header="0.31496062000000002" footer="0.31496062000000002"/>
  <pageSetup paperSize="9" scale="72" orientation="landscape" r:id="rId1"/>
  <colBreaks count="1" manualBreakCount="1">
    <brk id="9" max="1048575" man="1"/>
  </col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8"/>
  <dimension ref="B6:K57"/>
  <sheetViews>
    <sheetView showGridLines="0" zoomScale="90" zoomScaleNormal="90" workbookViewId="0">
      <selection activeCell="B50" sqref="B50:J53"/>
    </sheetView>
  </sheetViews>
  <sheetFormatPr defaultColWidth="9.140625" defaultRowHeight="15.75" x14ac:dyDescent="0.25"/>
  <cols>
    <col min="1" max="1" width="9.140625" style="16"/>
    <col min="2" max="2" width="8" style="16" customWidth="1"/>
    <col min="3" max="3" width="6.85546875" style="16" customWidth="1"/>
    <col min="4" max="4" width="11.7109375" style="16" customWidth="1"/>
    <col min="5" max="5" width="9.7109375" style="16" customWidth="1"/>
    <col min="6" max="6" width="9.140625" style="16"/>
    <col min="7" max="7" width="10.28515625" style="16" customWidth="1"/>
    <col min="8" max="8" width="13" style="16" customWidth="1"/>
    <col min="9" max="9" width="14.42578125" style="16" bestFit="1" customWidth="1"/>
    <col min="10" max="10" width="15.7109375" style="16" bestFit="1" customWidth="1"/>
    <col min="11" max="257" width="9.140625" style="16"/>
    <col min="258" max="258" width="8" style="16" customWidth="1"/>
    <col min="259" max="259" width="6.85546875" style="16" customWidth="1"/>
    <col min="260" max="260" width="14" style="16" bestFit="1" customWidth="1"/>
    <col min="261" max="262" width="9.140625" style="16"/>
    <col min="263" max="263" width="10.28515625" style="16" customWidth="1"/>
    <col min="264" max="264" width="13" style="16" customWidth="1"/>
    <col min="265" max="265" width="14.42578125" style="16" bestFit="1" customWidth="1"/>
    <col min="266" max="266" width="15.7109375" style="16" bestFit="1" customWidth="1"/>
    <col min="267" max="513" width="9.140625" style="16"/>
    <col min="514" max="514" width="8" style="16" customWidth="1"/>
    <col min="515" max="515" width="6.85546875" style="16" customWidth="1"/>
    <col min="516" max="516" width="14" style="16" bestFit="1" customWidth="1"/>
    <col min="517" max="518" width="9.140625" style="16"/>
    <col min="519" max="519" width="10.28515625" style="16" customWidth="1"/>
    <col min="520" max="520" width="13" style="16" customWidth="1"/>
    <col min="521" max="521" width="14.42578125" style="16" bestFit="1" customWidth="1"/>
    <col min="522" max="522" width="15.7109375" style="16" bestFit="1" customWidth="1"/>
    <col min="523" max="769" width="9.140625" style="16"/>
    <col min="770" max="770" width="8" style="16" customWidth="1"/>
    <col min="771" max="771" width="6.85546875" style="16" customWidth="1"/>
    <col min="772" max="772" width="14" style="16" bestFit="1" customWidth="1"/>
    <col min="773" max="774" width="9.140625" style="16"/>
    <col min="775" max="775" width="10.28515625" style="16" customWidth="1"/>
    <col min="776" max="776" width="13" style="16" customWidth="1"/>
    <col min="777" max="777" width="14.42578125" style="16" bestFit="1" customWidth="1"/>
    <col min="778" max="778" width="15.7109375" style="16" bestFit="1" customWidth="1"/>
    <col min="779" max="1025" width="9.140625" style="16"/>
    <col min="1026" max="1026" width="8" style="16" customWidth="1"/>
    <col min="1027" max="1027" width="6.85546875" style="16" customWidth="1"/>
    <col min="1028" max="1028" width="14" style="16" bestFit="1" customWidth="1"/>
    <col min="1029" max="1030" width="9.140625" style="16"/>
    <col min="1031" max="1031" width="10.28515625" style="16" customWidth="1"/>
    <col min="1032" max="1032" width="13" style="16" customWidth="1"/>
    <col min="1033" max="1033" width="14.42578125" style="16" bestFit="1" customWidth="1"/>
    <col min="1034" max="1034" width="15.7109375" style="16" bestFit="1" customWidth="1"/>
    <col min="1035" max="1281" width="9.140625" style="16"/>
    <col min="1282" max="1282" width="8" style="16" customWidth="1"/>
    <col min="1283" max="1283" width="6.85546875" style="16" customWidth="1"/>
    <col min="1284" max="1284" width="14" style="16" bestFit="1" customWidth="1"/>
    <col min="1285" max="1286" width="9.140625" style="16"/>
    <col min="1287" max="1287" width="10.28515625" style="16" customWidth="1"/>
    <col min="1288" max="1288" width="13" style="16" customWidth="1"/>
    <col min="1289" max="1289" width="14.42578125" style="16" bestFit="1" customWidth="1"/>
    <col min="1290" max="1290" width="15.7109375" style="16" bestFit="1" customWidth="1"/>
    <col min="1291" max="1537" width="9.140625" style="16"/>
    <col min="1538" max="1538" width="8" style="16" customWidth="1"/>
    <col min="1539" max="1539" width="6.85546875" style="16" customWidth="1"/>
    <col min="1540" max="1540" width="14" style="16" bestFit="1" customWidth="1"/>
    <col min="1541" max="1542" width="9.140625" style="16"/>
    <col min="1543" max="1543" width="10.28515625" style="16" customWidth="1"/>
    <col min="1544" max="1544" width="13" style="16" customWidth="1"/>
    <col min="1545" max="1545" width="14.42578125" style="16" bestFit="1" customWidth="1"/>
    <col min="1546" max="1546" width="15.7109375" style="16" bestFit="1" customWidth="1"/>
    <col min="1547" max="1793" width="9.140625" style="16"/>
    <col min="1794" max="1794" width="8" style="16" customWidth="1"/>
    <col min="1795" max="1795" width="6.85546875" style="16" customWidth="1"/>
    <col min="1796" max="1796" width="14" style="16" bestFit="1" customWidth="1"/>
    <col min="1797" max="1798" width="9.140625" style="16"/>
    <col min="1799" max="1799" width="10.28515625" style="16" customWidth="1"/>
    <col min="1800" max="1800" width="13" style="16" customWidth="1"/>
    <col min="1801" max="1801" width="14.42578125" style="16" bestFit="1" customWidth="1"/>
    <col min="1802" max="1802" width="15.7109375" style="16" bestFit="1" customWidth="1"/>
    <col min="1803" max="2049" width="9.140625" style="16"/>
    <col min="2050" max="2050" width="8" style="16" customWidth="1"/>
    <col min="2051" max="2051" width="6.85546875" style="16" customWidth="1"/>
    <col min="2052" max="2052" width="14" style="16" bestFit="1" customWidth="1"/>
    <col min="2053" max="2054" width="9.140625" style="16"/>
    <col min="2055" max="2055" width="10.28515625" style="16" customWidth="1"/>
    <col min="2056" max="2056" width="13" style="16" customWidth="1"/>
    <col min="2057" max="2057" width="14.42578125" style="16" bestFit="1" customWidth="1"/>
    <col min="2058" max="2058" width="15.7109375" style="16" bestFit="1" customWidth="1"/>
    <col min="2059" max="2305" width="9.140625" style="16"/>
    <col min="2306" max="2306" width="8" style="16" customWidth="1"/>
    <col min="2307" max="2307" width="6.85546875" style="16" customWidth="1"/>
    <col min="2308" max="2308" width="14" style="16" bestFit="1" customWidth="1"/>
    <col min="2309" max="2310" width="9.140625" style="16"/>
    <col min="2311" max="2311" width="10.28515625" style="16" customWidth="1"/>
    <col min="2312" max="2312" width="13" style="16" customWidth="1"/>
    <col min="2313" max="2313" width="14.42578125" style="16" bestFit="1" customWidth="1"/>
    <col min="2314" max="2314" width="15.7109375" style="16" bestFit="1" customWidth="1"/>
    <col min="2315" max="2561" width="9.140625" style="16"/>
    <col min="2562" max="2562" width="8" style="16" customWidth="1"/>
    <col min="2563" max="2563" width="6.85546875" style="16" customWidth="1"/>
    <col min="2564" max="2564" width="14" style="16" bestFit="1" customWidth="1"/>
    <col min="2565" max="2566" width="9.140625" style="16"/>
    <col min="2567" max="2567" width="10.28515625" style="16" customWidth="1"/>
    <col min="2568" max="2568" width="13" style="16" customWidth="1"/>
    <col min="2569" max="2569" width="14.42578125" style="16" bestFit="1" customWidth="1"/>
    <col min="2570" max="2570" width="15.7109375" style="16" bestFit="1" customWidth="1"/>
    <col min="2571" max="2817" width="9.140625" style="16"/>
    <col min="2818" max="2818" width="8" style="16" customWidth="1"/>
    <col min="2819" max="2819" width="6.85546875" style="16" customWidth="1"/>
    <col min="2820" max="2820" width="14" style="16" bestFit="1" customWidth="1"/>
    <col min="2821" max="2822" width="9.140625" style="16"/>
    <col min="2823" max="2823" width="10.28515625" style="16" customWidth="1"/>
    <col min="2824" max="2824" width="13" style="16" customWidth="1"/>
    <col min="2825" max="2825" width="14.42578125" style="16" bestFit="1" customWidth="1"/>
    <col min="2826" max="2826" width="15.7109375" style="16" bestFit="1" customWidth="1"/>
    <col min="2827" max="3073" width="9.140625" style="16"/>
    <col min="3074" max="3074" width="8" style="16" customWidth="1"/>
    <col min="3075" max="3075" width="6.85546875" style="16" customWidth="1"/>
    <col min="3076" max="3076" width="14" style="16" bestFit="1" customWidth="1"/>
    <col min="3077" max="3078" width="9.140625" style="16"/>
    <col min="3079" max="3079" width="10.28515625" style="16" customWidth="1"/>
    <col min="3080" max="3080" width="13" style="16" customWidth="1"/>
    <col min="3081" max="3081" width="14.42578125" style="16" bestFit="1" customWidth="1"/>
    <col min="3082" max="3082" width="15.7109375" style="16" bestFit="1" customWidth="1"/>
    <col min="3083" max="3329" width="9.140625" style="16"/>
    <col min="3330" max="3330" width="8" style="16" customWidth="1"/>
    <col min="3331" max="3331" width="6.85546875" style="16" customWidth="1"/>
    <col min="3332" max="3332" width="14" style="16" bestFit="1" customWidth="1"/>
    <col min="3333" max="3334" width="9.140625" style="16"/>
    <col min="3335" max="3335" width="10.28515625" style="16" customWidth="1"/>
    <col min="3336" max="3336" width="13" style="16" customWidth="1"/>
    <col min="3337" max="3337" width="14.42578125" style="16" bestFit="1" customWidth="1"/>
    <col min="3338" max="3338" width="15.7109375" style="16" bestFit="1" customWidth="1"/>
    <col min="3339" max="3585" width="9.140625" style="16"/>
    <col min="3586" max="3586" width="8" style="16" customWidth="1"/>
    <col min="3587" max="3587" width="6.85546875" style="16" customWidth="1"/>
    <col min="3588" max="3588" width="14" style="16" bestFit="1" customWidth="1"/>
    <col min="3589" max="3590" width="9.140625" style="16"/>
    <col min="3591" max="3591" width="10.28515625" style="16" customWidth="1"/>
    <col min="3592" max="3592" width="13" style="16" customWidth="1"/>
    <col min="3593" max="3593" width="14.42578125" style="16" bestFit="1" customWidth="1"/>
    <col min="3594" max="3594" width="15.7109375" style="16" bestFit="1" customWidth="1"/>
    <col min="3595" max="3841" width="9.140625" style="16"/>
    <col min="3842" max="3842" width="8" style="16" customWidth="1"/>
    <col min="3843" max="3843" width="6.85546875" style="16" customWidth="1"/>
    <col min="3844" max="3844" width="14" style="16" bestFit="1" customWidth="1"/>
    <col min="3845" max="3846" width="9.140625" style="16"/>
    <col min="3847" max="3847" width="10.28515625" style="16" customWidth="1"/>
    <col min="3848" max="3848" width="13" style="16" customWidth="1"/>
    <col min="3849" max="3849" width="14.42578125" style="16" bestFit="1" customWidth="1"/>
    <col min="3850" max="3850" width="15.7109375" style="16" bestFit="1" customWidth="1"/>
    <col min="3851" max="4097" width="9.140625" style="16"/>
    <col min="4098" max="4098" width="8" style="16" customWidth="1"/>
    <col min="4099" max="4099" width="6.85546875" style="16" customWidth="1"/>
    <col min="4100" max="4100" width="14" style="16" bestFit="1" customWidth="1"/>
    <col min="4101" max="4102" width="9.140625" style="16"/>
    <col min="4103" max="4103" width="10.28515625" style="16" customWidth="1"/>
    <col min="4104" max="4104" width="13" style="16" customWidth="1"/>
    <col min="4105" max="4105" width="14.42578125" style="16" bestFit="1" customWidth="1"/>
    <col min="4106" max="4106" width="15.7109375" style="16" bestFit="1" customWidth="1"/>
    <col min="4107" max="4353" width="9.140625" style="16"/>
    <col min="4354" max="4354" width="8" style="16" customWidth="1"/>
    <col min="4355" max="4355" width="6.85546875" style="16" customWidth="1"/>
    <col min="4356" max="4356" width="14" style="16" bestFit="1" customWidth="1"/>
    <col min="4357" max="4358" width="9.140625" style="16"/>
    <col min="4359" max="4359" width="10.28515625" style="16" customWidth="1"/>
    <col min="4360" max="4360" width="13" style="16" customWidth="1"/>
    <col min="4361" max="4361" width="14.42578125" style="16" bestFit="1" customWidth="1"/>
    <col min="4362" max="4362" width="15.7109375" style="16" bestFit="1" customWidth="1"/>
    <col min="4363" max="4609" width="9.140625" style="16"/>
    <col min="4610" max="4610" width="8" style="16" customWidth="1"/>
    <col min="4611" max="4611" width="6.85546875" style="16" customWidth="1"/>
    <col min="4612" max="4612" width="14" style="16" bestFit="1" customWidth="1"/>
    <col min="4613" max="4614" width="9.140625" style="16"/>
    <col min="4615" max="4615" width="10.28515625" style="16" customWidth="1"/>
    <col min="4616" max="4616" width="13" style="16" customWidth="1"/>
    <col min="4617" max="4617" width="14.42578125" style="16" bestFit="1" customWidth="1"/>
    <col min="4618" max="4618" width="15.7109375" style="16" bestFit="1" customWidth="1"/>
    <col min="4619" max="4865" width="9.140625" style="16"/>
    <col min="4866" max="4866" width="8" style="16" customWidth="1"/>
    <col min="4867" max="4867" width="6.85546875" style="16" customWidth="1"/>
    <col min="4868" max="4868" width="14" style="16" bestFit="1" customWidth="1"/>
    <col min="4869" max="4870" width="9.140625" style="16"/>
    <col min="4871" max="4871" width="10.28515625" style="16" customWidth="1"/>
    <col min="4872" max="4872" width="13" style="16" customWidth="1"/>
    <col min="4873" max="4873" width="14.42578125" style="16" bestFit="1" customWidth="1"/>
    <col min="4874" max="4874" width="15.7109375" style="16" bestFit="1" customWidth="1"/>
    <col min="4875" max="5121" width="9.140625" style="16"/>
    <col min="5122" max="5122" width="8" style="16" customWidth="1"/>
    <col min="5123" max="5123" width="6.85546875" style="16" customWidth="1"/>
    <col min="5124" max="5124" width="14" style="16" bestFit="1" customWidth="1"/>
    <col min="5125" max="5126" width="9.140625" style="16"/>
    <col min="5127" max="5127" width="10.28515625" style="16" customWidth="1"/>
    <col min="5128" max="5128" width="13" style="16" customWidth="1"/>
    <col min="5129" max="5129" width="14.42578125" style="16" bestFit="1" customWidth="1"/>
    <col min="5130" max="5130" width="15.7109375" style="16" bestFit="1" customWidth="1"/>
    <col min="5131" max="5377" width="9.140625" style="16"/>
    <col min="5378" max="5378" width="8" style="16" customWidth="1"/>
    <col min="5379" max="5379" width="6.85546875" style="16" customWidth="1"/>
    <col min="5380" max="5380" width="14" style="16" bestFit="1" customWidth="1"/>
    <col min="5381" max="5382" width="9.140625" style="16"/>
    <col min="5383" max="5383" width="10.28515625" style="16" customWidth="1"/>
    <col min="5384" max="5384" width="13" style="16" customWidth="1"/>
    <col min="5385" max="5385" width="14.42578125" style="16" bestFit="1" customWidth="1"/>
    <col min="5386" max="5386" width="15.7109375" style="16" bestFit="1" customWidth="1"/>
    <col min="5387" max="5633" width="9.140625" style="16"/>
    <col min="5634" max="5634" width="8" style="16" customWidth="1"/>
    <col min="5635" max="5635" width="6.85546875" style="16" customWidth="1"/>
    <col min="5636" max="5636" width="14" style="16" bestFit="1" customWidth="1"/>
    <col min="5637" max="5638" width="9.140625" style="16"/>
    <col min="5639" max="5639" width="10.28515625" style="16" customWidth="1"/>
    <col min="5640" max="5640" width="13" style="16" customWidth="1"/>
    <col min="5641" max="5641" width="14.42578125" style="16" bestFit="1" customWidth="1"/>
    <col min="5642" max="5642" width="15.7109375" style="16" bestFit="1" customWidth="1"/>
    <col min="5643" max="5889" width="9.140625" style="16"/>
    <col min="5890" max="5890" width="8" style="16" customWidth="1"/>
    <col min="5891" max="5891" width="6.85546875" style="16" customWidth="1"/>
    <col min="5892" max="5892" width="14" style="16" bestFit="1" customWidth="1"/>
    <col min="5893" max="5894" width="9.140625" style="16"/>
    <col min="5895" max="5895" width="10.28515625" style="16" customWidth="1"/>
    <col min="5896" max="5896" width="13" style="16" customWidth="1"/>
    <col min="5897" max="5897" width="14.42578125" style="16" bestFit="1" customWidth="1"/>
    <col min="5898" max="5898" width="15.7109375" style="16" bestFit="1" customWidth="1"/>
    <col min="5899" max="6145" width="9.140625" style="16"/>
    <col min="6146" max="6146" width="8" style="16" customWidth="1"/>
    <col min="6147" max="6147" width="6.85546875" style="16" customWidth="1"/>
    <col min="6148" max="6148" width="14" style="16" bestFit="1" customWidth="1"/>
    <col min="6149" max="6150" width="9.140625" style="16"/>
    <col min="6151" max="6151" width="10.28515625" style="16" customWidth="1"/>
    <col min="6152" max="6152" width="13" style="16" customWidth="1"/>
    <col min="6153" max="6153" width="14.42578125" style="16" bestFit="1" customWidth="1"/>
    <col min="6154" max="6154" width="15.7109375" style="16" bestFit="1" customWidth="1"/>
    <col min="6155" max="6401" width="9.140625" style="16"/>
    <col min="6402" max="6402" width="8" style="16" customWidth="1"/>
    <col min="6403" max="6403" width="6.85546875" style="16" customWidth="1"/>
    <col min="6404" max="6404" width="14" style="16" bestFit="1" customWidth="1"/>
    <col min="6405" max="6406" width="9.140625" style="16"/>
    <col min="6407" max="6407" width="10.28515625" style="16" customWidth="1"/>
    <col min="6408" max="6408" width="13" style="16" customWidth="1"/>
    <col min="6409" max="6409" width="14.42578125" style="16" bestFit="1" customWidth="1"/>
    <col min="6410" max="6410" width="15.7109375" style="16" bestFit="1" customWidth="1"/>
    <col min="6411" max="6657" width="9.140625" style="16"/>
    <col min="6658" max="6658" width="8" style="16" customWidth="1"/>
    <col min="6659" max="6659" width="6.85546875" style="16" customWidth="1"/>
    <col min="6660" max="6660" width="14" style="16" bestFit="1" customWidth="1"/>
    <col min="6661" max="6662" width="9.140625" style="16"/>
    <col min="6663" max="6663" width="10.28515625" style="16" customWidth="1"/>
    <col min="6664" max="6664" width="13" style="16" customWidth="1"/>
    <col min="6665" max="6665" width="14.42578125" style="16" bestFit="1" customWidth="1"/>
    <col min="6666" max="6666" width="15.7109375" style="16" bestFit="1" customWidth="1"/>
    <col min="6667" max="6913" width="9.140625" style="16"/>
    <col min="6914" max="6914" width="8" style="16" customWidth="1"/>
    <col min="6915" max="6915" width="6.85546875" style="16" customWidth="1"/>
    <col min="6916" max="6916" width="14" style="16" bestFit="1" customWidth="1"/>
    <col min="6917" max="6918" width="9.140625" style="16"/>
    <col min="6919" max="6919" width="10.28515625" style="16" customWidth="1"/>
    <col min="6920" max="6920" width="13" style="16" customWidth="1"/>
    <col min="6921" max="6921" width="14.42578125" style="16" bestFit="1" customWidth="1"/>
    <col min="6922" max="6922" width="15.7109375" style="16" bestFit="1" customWidth="1"/>
    <col min="6923" max="7169" width="9.140625" style="16"/>
    <col min="7170" max="7170" width="8" style="16" customWidth="1"/>
    <col min="7171" max="7171" width="6.85546875" style="16" customWidth="1"/>
    <col min="7172" max="7172" width="14" style="16" bestFit="1" customWidth="1"/>
    <col min="7173" max="7174" width="9.140625" style="16"/>
    <col min="7175" max="7175" width="10.28515625" style="16" customWidth="1"/>
    <col min="7176" max="7176" width="13" style="16" customWidth="1"/>
    <col min="7177" max="7177" width="14.42578125" style="16" bestFit="1" customWidth="1"/>
    <col min="7178" max="7178" width="15.7109375" style="16" bestFit="1" customWidth="1"/>
    <col min="7179" max="7425" width="9.140625" style="16"/>
    <col min="7426" max="7426" width="8" style="16" customWidth="1"/>
    <col min="7427" max="7427" width="6.85546875" style="16" customWidth="1"/>
    <col min="7428" max="7428" width="14" style="16" bestFit="1" customWidth="1"/>
    <col min="7429" max="7430" width="9.140625" style="16"/>
    <col min="7431" max="7431" width="10.28515625" style="16" customWidth="1"/>
    <col min="7432" max="7432" width="13" style="16" customWidth="1"/>
    <col min="7433" max="7433" width="14.42578125" style="16" bestFit="1" customWidth="1"/>
    <col min="7434" max="7434" width="15.7109375" style="16" bestFit="1" customWidth="1"/>
    <col min="7435" max="7681" width="9.140625" style="16"/>
    <col min="7682" max="7682" width="8" style="16" customWidth="1"/>
    <col min="7683" max="7683" width="6.85546875" style="16" customWidth="1"/>
    <col min="7684" max="7684" width="14" style="16" bestFit="1" customWidth="1"/>
    <col min="7685" max="7686" width="9.140625" style="16"/>
    <col min="7687" max="7687" width="10.28515625" style="16" customWidth="1"/>
    <col min="7688" max="7688" width="13" style="16" customWidth="1"/>
    <col min="7689" max="7689" width="14.42578125" style="16" bestFit="1" customWidth="1"/>
    <col min="7690" max="7690" width="15.7109375" style="16" bestFit="1" customWidth="1"/>
    <col min="7691" max="7937" width="9.140625" style="16"/>
    <col min="7938" max="7938" width="8" style="16" customWidth="1"/>
    <col min="7939" max="7939" width="6.85546875" style="16" customWidth="1"/>
    <col min="7940" max="7940" width="14" style="16" bestFit="1" customWidth="1"/>
    <col min="7941" max="7942" width="9.140625" style="16"/>
    <col min="7943" max="7943" width="10.28515625" style="16" customWidth="1"/>
    <col min="7944" max="7944" width="13" style="16" customWidth="1"/>
    <col min="7945" max="7945" width="14.42578125" style="16" bestFit="1" customWidth="1"/>
    <col min="7946" max="7946" width="15.7109375" style="16" bestFit="1" customWidth="1"/>
    <col min="7947" max="8193" width="9.140625" style="16"/>
    <col min="8194" max="8194" width="8" style="16" customWidth="1"/>
    <col min="8195" max="8195" width="6.85546875" style="16" customWidth="1"/>
    <col min="8196" max="8196" width="14" style="16" bestFit="1" customWidth="1"/>
    <col min="8197" max="8198" width="9.140625" style="16"/>
    <col min="8199" max="8199" width="10.28515625" style="16" customWidth="1"/>
    <col min="8200" max="8200" width="13" style="16" customWidth="1"/>
    <col min="8201" max="8201" width="14.42578125" style="16" bestFit="1" customWidth="1"/>
    <col min="8202" max="8202" width="15.7109375" style="16" bestFit="1" customWidth="1"/>
    <col min="8203" max="8449" width="9.140625" style="16"/>
    <col min="8450" max="8450" width="8" style="16" customWidth="1"/>
    <col min="8451" max="8451" width="6.85546875" style="16" customWidth="1"/>
    <col min="8452" max="8452" width="14" style="16" bestFit="1" customWidth="1"/>
    <col min="8453" max="8454" width="9.140625" style="16"/>
    <col min="8455" max="8455" width="10.28515625" style="16" customWidth="1"/>
    <col min="8456" max="8456" width="13" style="16" customWidth="1"/>
    <col min="8457" max="8457" width="14.42578125" style="16" bestFit="1" customWidth="1"/>
    <col min="8458" max="8458" width="15.7109375" style="16" bestFit="1" customWidth="1"/>
    <col min="8459" max="8705" width="9.140625" style="16"/>
    <col min="8706" max="8706" width="8" style="16" customWidth="1"/>
    <col min="8707" max="8707" width="6.85546875" style="16" customWidth="1"/>
    <col min="8708" max="8708" width="14" style="16" bestFit="1" customWidth="1"/>
    <col min="8709" max="8710" width="9.140625" style="16"/>
    <col min="8711" max="8711" width="10.28515625" style="16" customWidth="1"/>
    <col min="8712" max="8712" width="13" style="16" customWidth="1"/>
    <col min="8713" max="8713" width="14.42578125" style="16" bestFit="1" customWidth="1"/>
    <col min="8714" max="8714" width="15.7109375" style="16" bestFit="1" customWidth="1"/>
    <col min="8715" max="8961" width="9.140625" style="16"/>
    <col min="8962" max="8962" width="8" style="16" customWidth="1"/>
    <col min="8963" max="8963" width="6.85546875" style="16" customWidth="1"/>
    <col min="8964" max="8964" width="14" style="16" bestFit="1" customWidth="1"/>
    <col min="8965" max="8966" width="9.140625" style="16"/>
    <col min="8967" max="8967" width="10.28515625" style="16" customWidth="1"/>
    <col min="8968" max="8968" width="13" style="16" customWidth="1"/>
    <col min="8969" max="8969" width="14.42578125" style="16" bestFit="1" customWidth="1"/>
    <col min="8970" max="8970" width="15.7109375" style="16" bestFit="1" customWidth="1"/>
    <col min="8971" max="9217" width="9.140625" style="16"/>
    <col min="9218" max="9218" width="8" style="16" customWidth="1"/>
    <col min="9219" max="9219" width="6.85546875" style="16" customWidth="1"/>
    <col min="9220" max="9220" width="14" style="16" bestFit="1" customWidth="1"/>
    <col min="9221" max="9222" width="9.140625" style="16"/>
    <col min="9223" max="9223" width="10.28515625" style="16" customWidth="1"/>
    <col min="9224" max="9224" width="13" style="16" customWidth="1"/>
    <col min="9225" max="9225" width="14.42578125" style="16" bestFit="1" customWidth="1"/>
    <col min="9226" max="9226" width="15.7109375" style="16" bestFit="1" customWidth="1"/>
    <col min="9227" max="9473" width="9.140625" style="16"/>
    <col min="9474" max="9474" width="8" style="16" customWidth="1"/>
    <col min="9475" max="9475" width="6.85546875" style="16" customWidth="1"/>
    <col min="9476" max="9476" width="14" style="16" bestFit="1" customWidth="1"/>
    <col min="9477" max="9478" width="9.140625" style="16"/>
    <col min="9479" max="9479" width="10.28515625" style="16" customWidth="1"/>
    <col min="9480" max="9480" width="13" style="16" customWidth="1"/>
    <col min="9481" max="9481" width="14.42578125" style="16" bestFit="1" customWidth="1"/>
    <col min="9482" max="9482" width="15.7109375" style="16" bestFit="1" customWidth="1"/>
    <col min="9483" max="9729" width="9.140625" style="16"/>
    <col min="9730" max="9730" width="8" style="16" customWidth="1"/>
    <col min="9731" max="9731" width="6.85546875" style="16" customWidth="1"/>
    <col min="9732" max="9732" width="14" style="16" bestFit="1" customWidth="1"/>
    <col min="9733" max="9734" width="9.140625" style="16"/>
    <col min="9735" max="9735" width="10.28515625" style="16" customWidth="1"/>
    <col min="9736" max="9736" width="13" style="16" customWidth="1"/>
    <col min="9737" max="9737" width="14.42578125" style="16" bestFit="1" customWidth="1"/>
    <col min="9738" max="9738" width="15.7109375" style="16" bestFit="1" customWidth="1"/>
    <col min="9739" max="9985" width="9.140625" style="16"/>
    <col min="9986" max="9986" width="8" style="16" customWidth="1"/>
    <col min="9987" max="9987" width="6.85546875" style="16" customWidth="1"/>
    <col min="9988" max="9988" width="14" style="16" bestFit="1" customWidth="1"/>
    <col min="9989" max="9990" width="9.140625" style="16"/>
    <col min="9991" max="9991" width="10.28515625" style="16" customWidth="1"/>
    <col min="9992" max="9992" width="13" style="16" customWidth="1"/>
    <col min="9993" max="9993" width="14.42578125" style="16" bestFit="1" customWidth="1"/>
    <col min="9994" max="9994" width="15.7109375" style="16" bestFit="1" customWidth="1"/>
    <col min="9995" max="10241" width="9.140625" style="16"/>
    <col min="10242" max="10242" width="8" style="16" customWidth="1"/>
    <col min="10243" max="10243" width="6.85546875" style="16" customWidth="1"/>
    <col min="10244" max="10244" width="14" style="16" bestFit="1" customWidth="1"/>
    <col min="10245" max="10246" width="9.140625" style="16"/>
    <col min="10247" max="10247" width="10.28515625" style="16" customWidth="1"/>
    <col min="10248" max="10248" width="13" style="16" customWidth="1"/>
    <col min="10249" max="10249" width="14.42578125" style="16" bestFit="1" customWidth="1"/>
    <col min="10250" max="10250" width="15.7109375" style="16" bestFit="1" customWidth="1"/>
    <col min="10251" max="10497" width="9.140625" style="16"/>
    <col min="10498" max="10498" width="8" style="16" customWidth="1"/>
    <col min="10499" max="10499" width="6.85546875" style="16" customWidth="1"/>
    <col min="10500" max="10500" width="14" style="16" bestFit="1" customWidth="1"/>
    <col min="10501" max="10502" width="9.140625" style="16"/>
    <col min="10503" max="10503" width="10.28515625" style="16" customWidth="1"/>
    <col min="10504" max="10504" width="13" style="16" customWidth="1"/>
    <col min="10505" max="10505" width="14.42578125" style="16" bestFit="1" customWidth="1"/>
    <col min="10506" max="10506" width="15.7109375" style="16" bestFit="1" customWidth="1"/>
    <col min="10507" max="10753" width="9.140625" style="16"/>
    <col min="10754" max="10754" width="8" style="16" customWidth="1"/>
    <col min="10755" max="10755" width="6.85546875" style="16" customWidth="1"/>
    <col min="10756" max="10756" width="14" style="16" bestFit="1" customWidth="1"/>
    <col min="10757" max="10758" width="9.140625" style="16"/>
    <col min="10759" max="10759" width="10.28515625" style="16" customWidth="1"/>
    <col min="10760" max="10760" width="13" style="16" customWidth="1"/>
    <col min="10761" max="10761" width="14.42578125" style="16" bestFit="1" customWidth="1"/>
    <col min="10762" max="10762" width="15.7109375" style="16" bestFit="1" customWidth="1"/>
    <col min="10763" max="11009" width="9.140625" style="16"/>
    <col min="11010" max="11010" width="8" style="16" customWidth="1"/>
    <col min="11011" max="11011" width="6.85546875" style="16" customWidth="1"/>
    <col min="11012" max="11012" width="14" style="16" bestFit="1" customWidth="1"/>
    <col min="11013" max="11014" width="9.140625" style="16"/>
    <col min="11015" max="11015" width="10.28515625" style="16" customWidth="1"/>
    <col min="11016" max="11016" width="13" style="16" customWidth="1"/>
    <col min="11017" max="11017" width="14.42578125" style="16" bestFit="1" customWidth="1"/>
    <col min="11018" max="11018" width="15.7109375" style="16" bestFit="1" customWidth="1"/>
    <col min="11019" max="11265" width="9.140625" style="16"/>
    <col min="11266" max="11266" width="8" style="16" customWidth="1"/>
    <col min="11267" max="11267" width="6.85546875" style="16" customWidth="1"/>
    <col min="11268" max="11268" width="14" style="16" bestFit="1" customWidth="1"/>
    <col min="11269" max="11270" width="9.140625" style="16"/>
    <col min="11271" max="11271" width="10.28515625" style="16" customWidth="1"/>
    <col min="11272" max="11272" width="13" style="16" customWidth="1"/>
    <col min="11273" max="11273" width="14.42578125" style="16" bestFit="1" customWidth="1"/>
    <col min="11274" max="11274" width="15.7109375" style="16" bestFit="1" customWidth="1"/>
    <col min="11275" max="11521" width="9.140625" style="16"/>
    <col min="11522" max="11522" width="8" style="16" customWidth="1"/>
    <col min="11523" max="11523" width="6.85546875" style="16" customWidth="1"/>
    <col min="11524" max="11524" width="14" style="16" bestFit="1" customWidth="1"/>
    <col min="11525" max="11526" width="9.140625" style="16"/>
    <col min="11527" max="11527" width="10.28515625" style="16" customWidth="1"/>
    <col min="11528" max="11528" width="13" style="16" customWidth="1"/>
    <col min="11529" max="11529" width="14.42578125" style="16" bestFit="1" customWidth="1"/>
    <col min="11530" max="11530" width="15.7109375" style="16" bestFit="1" customWidth="1"/>
    <col min="11531" max="11777" width="9.140625" style="16"/>
    <col min="11778" max="11778" width="8" style="16" customWidth="1"/>
    <col min="11779" max="11779" width="6.85546875" style="16" customWidth="1"/>
    <col min="11780" max="11780" width="14" style="16" bestFit="1" customWidth="1"/>
    <col min="11781" max="11782" width="9.140625" style="16"/>
    <col min="11783" max="11783" width="10.28515625" style="16" customWidth="1"/>
    <col min="11784" max="11784" width="13" style="16" customWidth="1"/>
    <col min="11785" max="11785" width="14.42578125" style="16" bestFit="1" customWidth="1"/>
    <col min="11786" max="11786" width="15.7109375" style="16" bestFit="1" customWidth="1"/>
    <col min="11787" max="12033" width="9.140625" style="16"/>
    <col min="12034" max="12034" width="8" style="16" customWidth="1"/>
    <col min="12035" max="12035" width="6.85546875" style="16" customWidth="1"/>
    <col min="12036" max="12036" width="14" style="16" bestFit="1" customWidth="1"/>
    <col min="12037" max="12038" width="9.140625" style="16"/>
    <col min="12039" max="12039" width="10.28515625" style="16" customWidth="1"/>
    <col min="12040" max="12040" width="13" style="16" customWidth="1"/>
    <col min="12041" max="12041" width="14.42578125" style="16" bestFit="1" customWidth="1"/>
    <col min="12042" max="12042" width="15.7109375" style="16" bestFit="1" customWidth="1"/>
    <col min="12043" max="12289" width="9.140625" style="16"/>
    <col min="12290" max="12290" width="8" style="16" customWidth="1"/>
    <col min="12291" max="12291" width="6.85546875" style="16" customWidth="1"/>
    <col min="12292" max="12292" width="14" style="16" bestFit="1" customWidth="1"/>
    <col min="12293" max="12294" width="9.140625" style="16"/>
    <col min="12295" max="12295" width="10.28515625" style="16" customWidth="1"/>
    <col min="12296" max="12296" width="13" style="16" customWidth="1"/>
    <col min="12297" max="12297" width="14.42578125" style="16" bestFit="1" customWidth="1"/>
    <col min="12298" max="12298" width="15.7109375" style="16" bestFit="1" customWidth="1"/>
    <col min="12299" max="12545" width="9.140625" style="16"/>
    <col min="12546" max="12546" width="8" style="16" customWidth="1"/>
    <col min="12547" max="12547" width="6.85546875" style="16" customWidth="1"/>
    <col min="12548" max="12548" width="14" style="16" bestFit="1" customWidth="1"/>
    <col min="12549" max="12550" width="9.140625" style="16"/>
    <col min="12551" max="12551" width="10.28515625" style="16" customWidth="1"/>
    <col min="12552" max="12552" width="13" style="16" customWidth="1"/>
    <col min="12553" max="12553" width="14.42578125" style="16" bestFit="1" customWidth="1"/>
    <col min="12554" max="12554" width="15.7109375" style="16" bestFit="1" customWidth="1"/>
    <col min="12555" max="12801" width="9.140625" style="16"/>
    <col min="12802" max="12802" width="8" style="16" customWidth="1"/>
    <col min="12803" max="12803" width="6.85546875" style="16" customWidth="1"/>
    <col min="12804" max="12804" width="14" style="16" bestFit="1" customWidth="1"/>
    <col min="12805" max="12806" width="9.140625" style="16"/>
    <col min="12807" max="12807" width="10.28515625" style="16" customWidth="1"/>
    <col min="12808" max="12808" width="13" style="16" customWidth="1"/>
    <col min="12809" max="12809" width="14.42578125" style="16" bestFit="1" customWidth="1"/>
    <col min="12810" max="12810" width="15.7109375" style="16" bestFit="1" customWidth="1"/>
    <col min="12811" max="13057" width="9.140625" style="16"/>
    <col min="13058" max="13058" width="8" style="16" customWidth="1"/>
    <col min="13059" max="13059" width="6.85546875" style="16" customWidth="1"/>
    <col min="13060" max="13060" width="14" style="16" bestFit="1" customWidth="1"/>
    <col min="13061" max="13062" width="9.140625" style="16"/>
    <col min="13063" max="13063" width="10.28515625" style="16" customWidth="1"/>
    <col min="13064" max="13064" width="13" style="16" customWidth="1"/>
    <col min="13065" max="13065" width="14.42578125" style="16" bestFit="1" customWidth="1"/>
    <col min="13066" max="13066" width="15.7109375" style="16" bestFit="1" customWidth="1"/>
    <col min="13067" max="13313" width="9.140625" style="16"/>
    <col min="13314" max="13314" width="8" style="16" customWidth="1"/>
    <col min="13315" max="13315" width="6.85546875" style="16" customWidth="1"/>
    <col min="13316" max="13316" width="14" style="16" bestFit="1" customWidth="1"/>
    <col min="13317" max="13318" width="9.140625" style="16"/>
    <col min="13319" max="13319" width="10.28515625" style="16" customWidth="1"/>
    <col min="13320" max="13320" width="13" style="16" customWidth="1"/>
    <col min="13321" max="13321" width="14.42578125" style="16" bestFit="1" customWidth="1"/>
    <col min="13322" max="13322" width="15.7109375" style="16" bestFit="1" customWidth="1"/>
    <col min="13323" max="13569" width="9.140625" style="16"/>
    <col min="13570" max="13570" width="8" style="16" customWidth="1"/>
    <col min="13571" max="13571" width="6.85546875" style="16" customWidth="1"/>
    <col min="13572" max="13572" width="14" style="16" bestFit="1" customWidth="1"/>
    <col min="13573" max="13574" width="9.140625" style="16"/>
    <col min="13575" max="13575" width="10.28515625" style="16" customWidth="1"/>
    <col min="13576" max="13576" width="13" style="16" customWidth="1"/>
    <col min="13577" max="13577" width="14.42578125" style="16" bestFit="1" customWidth="1"/>
    <col min="13578" max="13578" width="15.7109375" style="16" bestFit="1" customWidth="1"/>
    <col min="13579" max="13825" width="9.140625" style="16"/>
    <col min="13826" max="13826" width="8" style="16" customWidth="1"/>
    <col min="13827" max="13827" width="6.85546875" style="16" customWidth="1"/>
    <col min="13828" max="13828" width="14" style="16" bestFit="1" customWidth="1"/>
    <col min="13829" max="13830" width="9.140625" style="16"/>
    <col min="13831" max="13831" width="10.28515625" style="16" customWidth="1"/>
    <col min="13832" max="13832" width="13" style="16" customWidth="1"/>
    <col min="13833" max="13833" width="14.42578125" style="16" bestFit="1" customWidth="1"/>
    <col min="13834" max="13834" width="15.7109375" style="16" bestFit="1" customWidth="1"/>
    <col min="13835" max="14081" width="9.140625" style="16"/>
    <col min="14082" max="14082" width="8" style="16" customWidth="1"/>
    <col min="14083" max="14083" width="6.85546875" style="16" customWidth="1"/>
    <col min="14084" max="14084" width="14" style="16" bestFit="1" customWidth="1"/>
    <col min="14085" max="14086" width="9.140625" style="16"/>
    <col min="14087" max="14087" width="10.28515625" style="16" customWidth="1"/>
    <col min="14088" max="14088" width="13" style="16" customWidth="1"/>
    <col min="14089" max="14089" width="14.42578125" style="16" bestFit="1" customWidth="1"/>
    <col min="14090" max="14090" width="15.7109375" style="16" bestFit="1" customWidth="1"/>
    <col min="14091" max="14337" width="9.140625" style="16"/>
    <col min="14338" max="14338" width="8" style="16" customWidth="1"/>
    <col min="14339" max="14339" width="6.85546875" style="16" customWidth="1"/>
    <col min="14340" max="14340" width="14" style="16" bestFit="1" customWidth="1"/>
    <col min="14341" max="14342" width="9.140625" style="16"/>
    <col min="14343" max="14343" width="10.28515625" style="16" customWidth="1"/>
    <col min="14344" max="14344" width="13" style="16" customWidth="1"/>
    <col min="14345" max="14345" width="14.42578125" style="16" bestFit="1" customWidth="1"/>
    <col min="14346" max="14346" width="15.7109375" style="16" bestFit="1" customWidth="1"/>
    <col min="14347" max="14593" width="9.140625" style="16"/>
    <col min="14594" max="14594" width="8" style="16" customWidth="1"/>
    <col min="14595" max="14595" width="6.85546875" style="16" customWidth="1"/>
    <col min="14596" max="14596" width="14" style="16" bestFit="1" customWidth="1"/>
    <col min="14597" max="14598" width="9.140625" style="16"/>
    <col min="14599" max="14599" width="10.28515625" style="16" customWidth="1"/>
    <col min="14600" max="14600" width="13" style="16" customWidth="1"/>
    <col min="14601" max="14601" width="14.42578125" style="16" bestFit="1" customWidth="1"/>
    <col min="14602" max="14602" width="15.7109375" style="16" bestFit="1" customWidth="1"/>
    <col min="14603" max="14849" width="9.140625" style="16"/>
    <col min="14850" max="14850" width="8" style="16" customWidth="1"/>
    <col min="14851" max="14851" width="6.85546875" style="16" customWidth="1"/>
    <col min="14852" max="14852" width="14" style="16" bestFit="1" customWidth="1"/>
    <col min="14853" max="14854" width="9.140625" style="16"/>
    <col min="14855" max="14855" width="10.28515625" style="16" customWidth="1"/>
    <col min="14856" max="14856" width="13" style="16" customWidth="1"/>
    <col min="14857" max="14857" width="14.42578125" style="16" bestFit="1" customWidth="1"/>
    <col min="14858" max="14858" width="15.7109375" style="16" bestFit="1" customWidth="1"/>
    <col min="14859" max="15105" width="9.140625" style="16"/>
    <col min="15106" max="15106" width="8" style="16" customWidth="1"/>
    <col min="15107" max="15107" width="6.85546875" style="16" customWidth="1"/>
    <col min="15108" max="15108" width="14" style="16" bestFit="1" customWidth="1"/>
    <col min="15109" max="15110" width="9.140625" style="16"/>
    <col min="15111" max="15111" width="10.28515625" style="16" customWidth="1"/>
    <col min="15112" max="15112" width="13" style="16" customWidth="1"/>
    <col min="15113" max="15113" width="14.42578125" style="16" bestFit="1" customWidth="1"/>
    <col min="15114" max="15114" width="15.7109375" style="16" bestFit="1" customWidth="1"/>
    <col min="15115" max="15361" width="9.140625" style="16"/>
    <col min="15362" max="15362" width="8" style="16" customWidth="1"/>
    <col min="15363" max="15363" width="6.85546875" style="16" customWidth="1"/>
    <col min="15364" max="15364" width="14" style="16" bestFit="1" customWidth="1"/>
    <col min="15365" max="15366" width="9.140625" style="16"/>
    <col min="15367" max="15367" width="10.28515625" style="16" customWidth="1"/>
    <col min="15368" max="15368" width="13" style="16" customWidth="1"/>
    <col min="15369" max="15369" width="14.42578125" style="16" bestFit="1" customWidth="1"/>
    <col min="15370" max="15370" width="15.7109375" style="16" bestFit="1" customWidth="1"/>
    <col min="15371" max="15617" width="9.140625" style="16"/>
    <col min="15618" max="15618" width="8" style="16" customWidth="1"/>
    <col min="15619" max="15619" width="6.85546875" style="16" customWidth="1"/>
    <col min="15620" max="15620" width="14" style="16" bestFit="1" customWidth="1"/>
    <col min="15621" max="15622" width="9.140625" style="16"/>
    <col min="15623" max="15623" width="10.28515625" style="16" customWidth="1"/>
    <col min="15624" max="15624" width="13" style="16" customWidth="1"/>
    <col min="15625" max="15625" width="14.42578125" style="16" bestFit="1" customWidth="1"/>
    <col min="15626" max="15626" width="15.7109375" style="16" bestFit="1" customWidth="1"/>
    <col min="15627" max="15873" width="9.140625" style="16"/>
    <col min="15874" max="15874" width="8" style="16" customWidth="1"/>
    <col min="15875" max="15875" width="6.85546875" style="16" customWidth="1"/>
    <col min="15876" max="15876" width="14" style="16" bestFit="1" customWidth="1"/>
    <col min="15877" max="15878" width="9.140625" style="16"/>
    <col min="15879" max="15879" width="10.28515625" style="16" customWidth="1"/>
    <col min="15880" max="15880" width="13" style="16" customWidth="1"/>
    <col min="15881" max="15881" width="14.42578125" style="16" bestFit="1" customWidth="1"/>
    <col min="15882" max="15882" width="15.7109375" style="16" bestFit="1" customWidth="1"/>
    <col min="15883" max="16129" width="9.140625" style="16"/>
    <col min="16130" max="16130" width="8" style="16" customWidth="1"/>
    <col min="16131" max="16131" width="6.85546875" style="16" customWidth="1"/>
    <col min="16132" max="16132" width="14" style="16" bestFit="1" customWidth="1"/>
    <col min="16133" max="16134" width="9.140625" style="16"/>
    <col min="16135" max="16135" width="10.28515625" style="16" customWidth="1"/>
    <col min="16136" max="16136" width="13" style="16" customWidth="1"/>
    <col min="16137" max="16137" width="14.42578125" style="16" bestFit="1" customWidth="1"/>
    <col min="16138" max="16138" width="15.7109375" style="16" bestFit="1" customWidth="1"/>
    <col min="16139" max="16384" width="9.140625" style="16"/>
  </cols>
  <sheetData>
    <row r="6" spans="2:10" ht="16.5" thickBot="1" x14ac:dyDescent="0.3"/>
    <row r="7" spans="2:10" x14ac:dyDescent="0.25">
      <c r="B7" s="676" t="s">
        <v>4</v>
      </c>
      <c r="C7" s="677"/>
      <c r="D7" s="677"/>
      <c r="E7" s="677"/>
      <c r="F7" s="677"/>
      <c r="G7" s="677"/>
      <c r="H7" s="677"/>
      <c r="I7" s="677"/>
      <c r="J7" s="678"/>
    </row>
    <row r="8" spans="2:10" x14ac:dyDescent="0.25">
      <c r="B8" s="679" t="s">
        <v>5</v>
      </c>
      <c r="C8" s="630"/>
      <c r="D8" s="630"/>
      <c r="E8" s="680" t="s">
        <v>6</v>
      </c>
      <c r="F8" s="630"/>
      <c r="G8" s="630"/>
      <c r="H8" s="680" t="s">
        <v>7</v>
      </c>
      <c r="I8" s="630"/>
      <c r="J8" s="681"/>
    </row>
    <row r="9" spans="2:10" ht="16.5" thickBot="1" x14ac:dyDescent="0.3">
      <c r="B9" s="682" t="s">
        <v>8</v>
      </c>
      <c r="C9" s="683"/>
      <c r="D9" s="683"/>
      <c r="E9" s="683"/>
      <c r="F9" s="17"/>
      <c r="G9" s="684" t="str">
        <f>"FONE: (45)3242-2210         V.:"&amp;GERAL!C26</f>
        <v>FONE: (45)3242-2210         V.:Versão: 45791</v>
      </c>
      <c r="H9" s="684"/>
      <c r="I9" s="684"/>
      <c r="J9" s="685"/>
    </row>
    <row r="10" spans="2:10" ht="16.5" thickBot="1" x14ac:dyDescent="0.3">
      <c r="E10" s="18"/>
      <c r="F10" s="18"/>
      <c r="G10" s="18"/>
      <c r="H10" s="19"/>
    </row>
    <row r="11" spans="2:10" x14ac:dyDescent="0.25">
      <c r="B11" s="20"/>
      <c r="C11" s="103" t="s">
        <v>68</v>
      </c>
      <c r="D11" s="21"/>
      <c r="E11" s="22"/>
      <c r="F11" s="22"/>
      <c r="G11" s="22"/>
      <c r="H11" s="23" t="s">
        <v>9</v>
      </c>
      <c r="I11" s="24">
        <f ca="1">TODAY()</f>
        <v>45828</v>
      </c>
      <c r="J11" s="25"/>
    </row>
    <row r="12" spans="2:10" x14ac:dyDescent="0.25">
      <c r="B12" s="26"/>
      <c r="J12" s="27"/>
    </row>
    <row r="13" spans="2:10" x14ac:dyDescent="0.25">
      <c r="B13" s="26"/>
      <c r="C13" s="28" t="s">
        <v>37</v>
      </c>
      <c r="D13" s="29"/>
      <c r="E13" s="660"/>
      <c r="F13" s="660"/>
      <c r="G13" s="660"/>
      <c r="H13" s="660"/>
      <c r="I13" s="672"/>
      <c r="J13" s="30"/>
    </row>
    <row r="14" spans="2:10" x14ac:dyDescent="0.25">
      <c r="B14" s="26"/>
      <c r="C14" s="28" t="s">
        <v>38</v>
      </c>
      <c r="D14" s="29"/>
      <c r="E14" s="660"/>
      <c r="F14" s="660"/>
      <c r="G14" s="660"/>
      <c r="H14" s="660"/>
      <c r="I14" s="672"/>
      <c r="J14" s="30"/>
    </row>
    <row r="15" spans="2:10" x14ac:dyDescent="0.25">
      <c r="B15" s="26"/>
      <c r="C15" s="31" t="s">
        <v>39</v>
      </c>
      <c r="E15" s="660"/>
      <c r="F15" s="660"/>
      <c r="G15" s="660"/>
      <c r="H15" s="660"/>
      <c r="I15" s="672"/>
      <c r="J15" s="30"/>
    </row>
    <row r="16" spans="2:10" x14ac:dyDescent="0.25">
      <c r="B16" s="26"/>
      <c r="C16" s="28" t="s">
        <v>40</v>
      </c>
      <c r="D16" s="29"/>
      <c r="E16" s="14"/>
      <c r="F16" s="543" t="s">
        <v>367</v>
      </c>
      <c r="G16" s="661"/>
      <c r="H16" s="661"/>
      <c r="I16" s="662"/>
      <c r="J16" s="30"/>
    </row>
    <row r="17" spans="2:11" x14ac:dyDescent="0.25">
      <c r="B17" s="26"/>
      <c r="C17" s="31" t="s">
        <v>41</v>
      </c>
      <c r="E17" s="777"/>
      <c r="F17" s="777"/>
      <c r="G17" s="777"/>
      <c r="H17" s="172" t="s">
        <v>113</v>
      </c>
      <c r="I17" s="170"/>
      <c r="J17" s="30"/>
      <c r="K17" s="32"/>
    </row>
    <row r="18" spans="2:11" x14ac:dyDescent="0.25">
      <c r="B18" s="26"/>
      <c r="C18" s="28" t="s">
        <v>42</v>
      </c>
      <c r="D18" s="29"/>
      <c r="E18" s="661"/>
      <c r="F18" s="661"/>
      <c r="G18" s="661"/>
      <c r="H18" s="661"/>
      <c r="I18" s="662"/>
      <c r="J18" s="30"/>
    </row>
    <row r="19" spans="2:11" x14ac:dyDescent="0.25">
      <c r="B19" s="26"/>
      <c r="C19" s="28" t="s">
        <v>43</v>
      </c>
      <c r="D19" s="29"/>
      <c r="E19" s="660"/>
      <c r="F19" s="660"/>
      <c r="G19" s="660"/>
      <c r="H19" s="660"/>
      <c r="I19" s="672"/>
      <c r="J19" s="30"/>
    </row>
    <row r="20" spans="2:11" x14ac:dyDescent="0.25">
      <c r="B20" s="26"/>
      <c r="E20" s="54"/>
      <c r="F20" s="54"/>
      <c r="G20" s="54"/>
      <c r="H20" s="54"/>
      <c r="I20" s="54"/>
      <c r="J20" s="27"/>
    </row>
    <row r="21" spans="2:11" ht="16.5" thickBot="1" x14ac:dyDescent="0.3">
      <c r="B21" s="33"/>
      <c r="C21" s="17"/>
      <c r="D21" s="17"/>
      <c r="E21" s="58"/>
      <c r="F21" s="58"/>
      <c r="G21" s="58"/>
      <c r="H21" s="58"/>
      <c r="I21" s="58"/>
      <c r="J21" s="34"/>
    </row>
    <row r="22" spans="2:11" ht="16.5" thickBot="1" x14ac:dyDescent="0.3">
      <c r="E22" s="54"/>
      <c r="F22" s="54"/>
      <c r="G22" s="54"/>
      <c r="H22" s="54"/>
      <c r="I22" s="54"/>
    </row>
    <row r="23" spans="2:11" x14ac:dyDescent="0.25">
      <c r="B23" s="20"/>
      <c r="C23" s="21"/>
      <c r="D23" s="21"/>
      <c r="E23" s="59"/>
      <c r="F23" s="59"/>
      <c r="G23" s="59"/>
      <c r="H23" s="59"/>
      <c r="I23" s="59"/>
      <c r="J23" s="25"/>
    </row>
    <row r="24" spans="2:11" x14ac:dyDescent="0.25">
      <c r="B24" s="26"/>
      <c r="C24" s="28" t="s">
        <v>10</v>
      </c>
      <c r="D24" s="29"/>
      <c r="E24" s="123" t="str">
        <f>IF('INPUT FOLHA '!K7&lt;&gt;"",'INPUT FOLHA '!K7,"")</f>
        <v/>
      </c>
      <c r="F24" s="123" t="str">
        <f>IF('INPUT FOLHA '!K8&lt;&gt;"",'INPUT FOLHA '!K8,"")</f>
        <v/>
      </c>
      <c r="G24" s="123" t="str">
        <f>IF('INPUT FOLHA '!K9&lt;&gt;"",'INPUT FOLHA '!K9,"")</f>
        <v/>
      </c>
      <c r="H24" s="123" t="str">
        <f>IF('INPUT FOLHA '!K10&lt;&gt;"",'INPUT FOLHA '!K10,"")</f>
        <v/>
      </c>
      <c r="I24" s="123" t="str">
        <f>IF('INPUT FOLHA '!K11&lt;&gt;"",'INPUT FOLHA '!K11,"")</f>
        <v/>
      </c>
      <c r="J24" s="27"/>
    </row>
    <row r="25" spans="2:11" x14ac:dyDescent="0.25">
      <c r="B25" s="26"/>
      <c r="C25" s="28" t="s">
        <v>52</v>
      </c>
      <c r="D25" s="35"/>
      <c r="E25" s="122" t="str">
        <f>IF('INPUT FOLHA '!H7&lt;&gt;"",'INPUT FOLHA '!H7,"")</f>
        <v/>
      </c>
      <c r="F25" s="122" t="str">
        <f>IF('INPUT FOLHA '!H8&lt;&gt;"",'INPUT FOLHA '!H8,"")</f>
        <v/>
      </c>
      <c r="G25" s="122" t="str">
        <f>IF('INPUT FOLHA '!H9&lt;&gt;"",'INPUT FOLHA '!H9,"")</f>
        <v/>
      </c>
      <c r="H25" s="122" t="str">
        <f>IF('INPUT FOLHA '!H10&lt;&gt;"",'INPUT FOLHA '!H10,"")</f>
        <v/>
      </c>
      <c r="I25" s="122" t="str">
        <f>IF('INPUT FOLHA '!H11&lt;&gt;"",'INPUT FOLHA '!H11,"")</f>
        <v/>
      </c>
      <c r="J25" s="27"/>
    </row>
    <row r="26" spans="2:11" x14ac:dyDescent="0.25">
      <c r="B26" s="26"/>
      <c r="C26" s="28" t="s">
        <v>53</v>
      </c>
      <c r="D26" s="35"/>
      <c r="E26" s="121" t="str">
        <f>IF('INPUT FOLHA '!J7&lt;&gt;"",'INPUT FOLHA '!J7,"")</f>
        <v/>
      </c>
      <c r="F26" s="121" t="str">
        <f>IF('INPUT FOLHA '!J8&lt;&gt;"",'INPUT FOLHA '!J8,"")</f>
        <v/>
      </c>
      <c r="G26" s="121" t="str">
        <f>IF('INPUT FOLHA '!J9&lt;&gt;"",'INPUT FOLHA '!J9,"")</f>
        <v/>
      </c>
      <c r="H26" s="121" t="str">
        <f>IF('INPUT FOLHA '!J10&lt;&gt;"",'INPUT FOLHA '!J10,"")</f>
        <v/>
      </c>
      <c r="I26" s="121" t="str">
        <f>IF('INPUT FOLHA '!J11&lt;&gt;"",'INPUT FOLHA '!J11,"")</f>
        <v/>
      </c>
      <c r="J26" s="27"/>
    </row>
    <row r="27" spans="2:11" x14ac:dyDescent="0.25">
      <c r="B27" s="26"/>
      <c r="C27" s="28" t="s">
        <v>14</v>
      </c>
      <c r="D27" s="35"/>
      <c r="E27" s="673" t="s">
        <v>222</v>
      </c>
      <c r="F27" s="673"/>
      <c r="G27" s="673"/>
      <c r="H27" s="673"/>
      <c r="I27" s="674"/>
      <c r="J27" s="27"/>
    </row>
    <row r="28" spans="2:11" ht="16.5" thickBot="1" x14ac:dyDescent="0.3">
      <c r="B28" s="33"/>
      <c r="C28" s="17"/>
      <c r="D28" s="17"/>
      <c r="E28" s="17"/>
      <c r="F28" s="17"/>
      <c r="G28" s="17"/>
      <c r="H28" s="17"/>
      <c r="I28" s="17"/>
      <c r="J28" s="34"/>
    </row>
    <row r="29" spans="2:11" ht="16.5" thickBot="1" x14ac:dyDescent="0.3"/>
    <row r="30" spans="2:11" x14ac:dyDescent="0.25">
      <c r="B30" s="20"/>
      <c r="C30" s="21"/>
      <c r="D30" s="36"/>
      <c r="E30" s="21"/>
      <c r="F30" s="21"/>
      <c r="G30" s="21"/>
      <c r="H30" s="21"/>
      <c r="I30" s="21"/>
      <c r="J30" s="25"/>
    </row>
    <row r="31" spans="2:11" x14ac:dyDescent="0.25">
      <c r="B31" s="37" t="s">
        <v>15</v>
      </c>
      <c r="D31" s="38" t="str">
        <f>IF('INPUT FOLHA '!E2&lt;&gt;"",'INPUT FOLHA '!E2,"")</f>
        <v/>
      </c>
      <c r="E31" s="32"/>
      <c r="G31" s="39" t="s">
        <v>16</v>
      </c>
      <c r="H31" s="10"/>
      <c r="J31" s="27"/>
    </row>
    <row r="32" spans="2:11" x14ac:dyDescent="0.25">
      <c r="B32" s="37" t="s">
        <v>17</v>
      </c>
      <c r="D32" s="76"/>
      <c r="G32" s="39" t="s">
        <v>18</v>
      </c>
      <c r="H32" s="10"/>
      <c r="J32" s="27"/>
    </row>
    <row r="33" spans="2:10" x14ac:dyDescent="0.25">
      <c r="B33" s="37" t="s">
        <v>19</v>
      </c>
      <c r="D33" s="11"/>
      <c r="E33" s="41" t="s">
        <v>20</v>
      </c>
      <c r="G33" s="39" t="s">
        <v>21</v>
      </c>
      <c r="H33" s="12"/>
      <c r="J33" s="27"/>
    </row>
    <row r="34" spans="2:10" x14ac:dyDescent="0.25">
      <c r="B34" s="37" t="s">
        <v>23</v>
      </c>
      <c r="D34" s="77"/>
      <c r="E34" s="42"/>
      <c r="G34" s="43" t="str">
        <f>IF('INPUT FOLHA '!E4="N","(**)", "")</f>
        <v/>
      </c>
      <c r="H34" s="44"/>
      <c r="J34" s="27"/>
    </row>
    <row r="35" spans="2:10" x14ac:dyDescent="0.25">
      <c r="B35" s="37" t="s">
        <v>24</v>
      </c>
      <c r="D35" s="174" t="str">
        <f>'PEDIDO VIA CLIENTE'!D36</f>
        <v>VICTOR</v>
      </c>
      <c r="E35" s="42"/>
      <c r="G35" s="39"/>
      <c r="H35" s="44"/>
      <c r="J35" s="27"/>
    </row>
    <row r="36" spans="2:10" ht="16.5" thickBot="1" x14ac:dyDescent="0.3">
      <c r="B36" s="33"/>
      <c r="C36" s="17"/>
      <c r="D36" s="17"/>
      <c r="E36" s="17"/>
      <c r="F36" s="17"/>
      <c r="G36" s="17"/>
      <c r="H36" s="17"/>
      <c r="I36" s="17"/>
      <c r="J36" s="34"/>
    </row>
    <row r="37" spans="2:10" ht="16.5" thickBot="1" x14ac:dyDescent="0.3"/>
    <row r="38" spans="2:10" x14ac:dyDescent="0.25">
      <c r="B38" s="668" t="s">
        <v>25</v>
      </c>
      <c r="C38" s="669"/>
      <c r="D38" s="45" t="s">
        <v>26</v>
      </c>
      <c r="E38" s="669" t="s">
        <v>27</v>
      </c>
      <c r="F38" s="669"/>
      <c r="G38" s="669"/>
      <c r="H38" s="669"/>
      <c r="I38" s="45" t="s">
        <v>28</v>
      </c>
      <c r="J38" s="46" t="s">
        <v>46</v>
      </c>
    </row>
    <row r="39" spans="2:10" x14ac:dyDescent="0.25">
      <c r="B39" s="772">
        <f>'INPUT FOLHA '!$B$27</f>
        <v>0</v>
      </c>
      <c r="C39" s="773"/>
      <c r="D39" s="47" t="s">
        <v>30</v>
      </c>
      <c r="E39" s="774" t="s">
        <v>49</v>
      </c>
      <c r="F39" s="691"/>
      <c r="G39" s="691"/>
      <c r="H39" s="701"/>
      <c r="I39" s="48" t="e">
        <f>J39/B39</f>
        <v>#DIV/0!</v>
      </c>
      <c r="J39" s="49">
        <f>'INPUT FOLHA '!E28</f>
        <v>0</v>
      </c>
    </row>
    <row r="40" spans="2:10" x14ac:dyDescent="0.25">
      <c r="B40" s="775">
        <f>'INPUT FOLHA '!C27</f>
        <v>0</v>
      </c>
      <c r="C40" s="776"/>
      <c r="D40" s="47" t="s">
        <v>35</v>
      </c>
      <c r="E40" s="774" t="s">
        <v>51</v>
      </c>
      <c r="F40" s="691"/>
      <c r="G40" s="691"/>
      <c r="H40" s="701"/>
      <c r="I40" s="50"/>
      <c r="J40" s="49">
        <f t="shared" ref="J40:J46" si="0">I40*B40</f>
        <v>0</v>
      </c>
    </row>
    <row r="41" spans="2:10" x14ac:dyDescent="0.25">
      <c r="B41" s="722"/>
      <c r="C41" s="723"/>
      <c r="D41" s="12"/>
      <c r="E41" s="727"/>
      <c r="F41" s="728"/>
      <c r="G41" s="728"/>
      <c r="H41" s="729"/>
      <c r="I41" s="70"/>
      <c r="J41" s="49">
        <f t="shared" si="0"/>
        <v>0</v>
      </c>
    </row>
    <row r="42" spans="2:10" x14ac:dyDescent="0.25">
      <c r="B42" s="732"/>
      <c r="C42" s="733"/>
      <c r="D42" s="12"/>
      <c r="E42" s="727"/>
      <c r="F42" s="728"/>
      <c r="G42" s="728"/>
      <c r="H42" s="729"/>
      <c r="I42" s="70"/>
      <c r="J42" s="49">
        <f t="shared" si="0"/>
        <v>0</v>
      </c>
    </row>
    <row r="43" spans="2:10" x14ac:dyDescent="0.25">
      <c r="B43" s="722"/>
      <c r="C43" s="723"/>
      <c r="D43" s="12"/>
      <c r="E43" s="727"/>
      <c r="F43" s="728"/>
      <c r="G43" s="728"/>
      <c r="H43" s="729"/>
      <c r="I43" s="70"/>
      <c r="J43" s="49">
        <f t="shared" si="0"/>
        <v>0</v>
      </c>
    </row>
    <row r="44" spans="2:10" x14ac:dyDescent="0.25">
      <c r="B44" s="722"/>
      <c r="C44" s="723"/>
      <c r="D44" s="12"/>
      <c r="E44" s="99"/>
      <c r="F44" s="100"/>
      <c r="G44" s="100"/>
      <c r="H44" s="101"/>
      <c r="I44" s="71"/>
      <c r="J44" s="49">
        <f t="shared" si="0"/>
        <v>0</v>
      </c>
    </row>
    <row r="45" spans="2:10" x14ac:dyDescent="0.25">
      <c r="B45" s="722"/>
      <c r="C45" s="723"/>
      <c r="D45" s="12"/>
      <c r="E45" s="99"/>
      <c r="F45" s="100"/>
      <c r="G45" s="100"/>
      <c r="H45" s="101"/>
      <c r="I45" s="71"/>
      <c r="J45" s="49">
        <f t="shared" si="0"/>
        <v>0</v>
      </c>
    </row>
    <row r="46" spans="2:10" ht="16.5" thickBot="1" x14ac:dyDescent="0.3">
      <c r="B46" s="722"/>
      <c r="C46" s="723"/>
      <c r="D46" s="12"/>
      <c r="E46" s="727"/>
      <c r="F46" s="728"/>
      <c r="G46" s="728"/>
      <c r="H46" s="729"/>
      <c r="I46" s="71"/>
      <c r="J46" s="49">
        <f t="shared" si="0"/>
        <v>0</v>
      </c>
    </row>
    <row r="47" spans="2:10" ht="16.5" thickBot="1" x14ac:dyDescent="0.3">
      <c r="B47" s="645" t="e">
        <f>I47/B39</f>
        <v>#DIV/0!</v>
      </c>
      <c r="C47" s="646"/>
      <c r="E47" s="647" t="s">
        <v>31</v>
      </c>
      <c r="F47" s="647"/>
      <c r="G47" s="647"/>
      <c r="H47" s="647"/>
      <c r="I47" s="648">
        <f>SUM(J39:J46)</f>
        <v>0</v>
      </c>
      <c r="J47" s="649"/>
    </row>
    <row r="48" spans="2:10" x14ac:dyDescent="0.25">
      <c r="B48" s="629"/>
      <c r="C48" s="629"/>
      <c r="D48" s="32"/>
      <c r="E48" s="630"/>
      <c r="F48" s="630"/>
      <c r="G48" s="630"/>
      <c r="H48" s="630"/>
    </row>
    <row r="49" spans="2:10" x14ac:dyDescent="0.25">
      <c r="B49" s="51"/>
      <c r="C49" s="51"/>
      <c r="E49" s="52"/>
      <c r="F49" s="52"/>
      <c r="G49" s="52"/>
      <c r="H49" s="52"/>
    </row>
    <row r="50" spans="2:10" x14ac:dyDescent="0.25">
      <c r="B50" s="623"/>
      <c r="C50" s="624"/>
      <c r="D50" s="624"/>
      <c r="E50" s="624"/>
      <c r="F50" s="624"/>
      <c r="G50" s="624"/>
      <c r="H50" s="624"/>
      <c r="I50" s="624"/>
      <c r="J50" s="625"/>
    </row>
    <row r="51" spans="2:10" x14ac:dyDescent="0.25">
      <c r="B51" s="623"/>
      <c r="C51" s="624"/>
      <c r="D51" s="624"/>
      <c r="E51" s="624"/>
      <c r="F51" s="624"/>
      <c r="G51" s="624"/>
      <c r="H51" s="624"/>
      <c r="I51" s="624"/>
      <c r="J51" s="625"/>
    </row>
    <row r="52" spans="2:10" x14ac:dyDescent="0.25">
      <c r="B52" s="623"/>
      <c r="C52" s="624"/>
      <c r="D52" s="624"/>
      <c r="E52" s="624"/>
      <c r="F52" s="624"/>
      <c r="G52" s="624"/>
      <c r="H52" s="624"/>
      <c r="I52" s="624"/>
      <c r="J52" s="625"/>
    </row>
    <row r="53" spans="2:10" x14ac:dyDescent="0.25">
      <c r="B53" s="623"/>
      <c r="C53" s="624"/>
      <c r="D53" s="624"/>
      <c r="E53" s="624"/>
      <c r="F53" s="624"/>
      <c r="G53" s="624"/>
      <c r="H53" s="624"/>
      <c r="I53" s="624"/>
      <c r="J53" s="625"/>
    </row>
    <row r="54" spans="2:10" x14ac:dyDescent="0.25">
      <c r="B54" s="344" t="s">
        <v>196</v>
      </c>
      <c r="C54" s="54"/>
      <c r="D54" s="54"/>
      <c r="E54" s="54"/>
      <c r="F54" s="54"/>
      <c r="G54" s="54"/>
      <c r="H54" s="54"/>
      <c r="I54" s="54"/>
      <c r="J54" s="54"/>
    </row>
    <row r="56" spans="2:10" x14ac:dyDescent="0.25">
      <c r="B56" s="55" t="s">
        <v>32</v>
      </c>
      <c r="G56" s="55" t="s">
        <v>33</v>
      </c>
    </row>
    <row r="57" spans="2:10" x14ac:dyDescent="0.25">
      <c r="B57" s="55" t="s">
        <v>34</v>
      </c>
      <c r="G57" s="16">
        <f>E13</f>
        <v>0</v>
      </c>
    </row>
  </sheetData>
  <sheetProtection selectLockedCells="1"/>
  <mergeCells count="39">
    <mergeCell ref="E42:H42"/>
    <mergeCell ref="B43:C43"/>
    <mergeCell ref="E43:H43"/>
    <mergeCell ref="I47:J47"/>
    <mergeCell ref="B48:C48"/>
    <mergeCell ref="E48:H48"/>
    <mergeCell ref="B44:C44"/>
    <mergeCell ref="B45:C45"/>
    <mergeCell ref="B46:C46"/>
    <mergeCell ref="E46:H46"/>
    <mergeCell ref="B47:C47"/>
    <mergeCell ref="E47:H47"/>
    <mergeCell ref="B7:J7"/>
    <mergeCell ref="B8:D8"/>
    <mergeCell ref="E8:G8"/>
    <mergeCell ref="H8:J8"/>
    <mergeCell ref="B9:E9"/>
    <mergeCell ref="G9:J9"/>
    <mergeCell ref="E13:I13"/>
    <mergeCell ref="E14:I14"/>
    <mergeCell ref="E15:I15"/>
    <mergeCell ref="E17:G17"/>
    <mergeCell ref="G16:I16"/>
    <mergeCell ref="B50:J50"/>
    <mergeCell ref="B51:J51"/>
    <mergeCell ref="B52:J52"/>
    <mergeCell ref="B53:J53"/>
    <mergeCell ref="E18:I18"/>
    <mergeCell ref="E19:I19"/>
    <mergeCell ref="E27:I27"/>
    <mergeCell ref="B38:C38"/>
    <mergeCell ref="E38:H38"/>
    <mergeCell ref="B39:C39"/>
    <mergeCell ref="E39:H39"/>
    <mergeCell ref="B40:C40"/>
    <mergeCell ref="E40:H40"/>
    <mergeCell ref="B41:C41"/>
    <mergeCell ref="E41:H41"/>
    <mergeCell ref="B42:C42"/>
  </mergeCells>
  <pageMargins left="0.511811024" right="0.511811024" top="0.78740157499999996" bottom="0.78740157499999996" header="0.31496062000000002" footer="0.31496062000000002"/>
  <pageSetup paperSize="9" scale="7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9"/>
  <dimension ref="B6:K57"/>
  <sheetViews>
    <sheetView showGridLines="0" topLeftCell="A4" zoomScale="90" zoomScaleNormal="90" workbookViewId="0">
      <selection activeCell="B53" sqref="B53:J53"/>
    </sheetView>
  </sheetViews>
  <sheetFormatPr defaultColWidth="9.140625" defaultRowHeight="15.75" x14ac:dyDescent="0.25"/>
  <cols>
    <col min="1" max="1" width="9.140625" style="16"/>
    <col min="2" max="2" width="8" style="16" customWidth="1"/>
    <col min="3" max="3" width="6.85546875" style="16" customWidth="1"/>
    <col min="4" max="4" width="11.7109375" style="16" customWidth="1"/>
    <col min="5" max="5" width="14.5703125" style="16" customWidth="1"/>
    <col min="6" max="6" width="9.140625" style="16"/>
    <col min="7" max="7" width="10.28515625" style="16" customWidth="1"/>
    <col min="8" max="8" width="13" style="16" customWidth="1"/>
    <col min="9" max="9" width="14.5703125" style="16" bestFit="1" customWidth="1"/>
    <col min="10" max="10" width="15.7109375" style="16" bestFit="1" customWidth="1"/>
    <col min="11" max="257" width="9.140625" style="16"/>
    <col min="258" max="258" width="8" style="16" customWidth="1"/>
    <col min="259" max="259" width="6.85546875" style="16" customWidth="1"/>
    <col min="260" max="260" width="14" style="16" bestFit="1" customWidth="1"/>
    <col min="261" max="262" width="9.140625" style="16"/>
    <col min="263" max="263" width="10.28515625" style="16" customWidth="1"/>
    <col min="264" max="264" width="13" style="16" customWidth="1"/>
    <col min="265" max="265" width="14.42578125" style="16" bestFit="1" customWidth="1"/>
    <col min="266" max="266" width="15.7109375" style="16" bestFit="1" customWidth="1"/>
    <col min="267" max="513" width="9.140625" style="16"/>
    <col min="514" max="514" width="8" style="16" customWidth="1"/>
    <col min="515" max="515" width="6.85546875" style="16" customWidth="1"/>
    <col min="516" max="516" width="14" style="16" bestFit="1" customWidth="1"/>
    <col min="517" max="518" width="9.140625" style="16"/>
    <col min="519" max="519" width="10.28515625" style="16" customWidth="1"/>
    <col min="520" max="520" width="13" style="16" customWidth="1"/>
    <col min="521" max="521" width="14.42578125" style="16" bestFit="1" customWidth="1"/>
    <col min="522" max="522" width="15.7109375" style="16" bestFit="1" customWidth="1"/>
    <col min="523" max="769" width="9.140625" style="16"/>
    <col min="770" max="770" width="8" style="16" customWidth="1"/>
    <col min="771" max="771" width="6.85546875" style="16" customWidth="1"/>
    <col min="772" max="772" width="14" style="16" bestFit="1" customWidth="1"/>
    <col min="773" max="774" width="9.140625" style="16"/>
    <col min="775" max="775" width="10.28515625" style="16" customWidth="1"/>
    <col min="776" max="776" width="13" style="16" customWidth="1"/>
    <col min="777" max="777" width="14.42578125" style="16" bestFit="1" customWidth="1"/>
    <col min="778" max="778" width="15.7109375" style="16" bestFit="1" customWidth="1"/>
    <col min="779" max="1025" width="9.140625" style="16"/>
    <col min="1026" max="1026" width="8" style="16" customWidth="1"/>
    <col min="1027" max="1027" width="6.85546875" style="16" customWidth="1"/>
    <col min="1028" max="1028" width="14" style="16" bestFit="1" customWidth="1"/>
    <col min="1029" max="1030" width="9.140625" style="16"/>
    <col min="1031" max="1031" width="10.28515625" style="16" customWidth="1"/>
    <col min="1032" max="1032" width="13" style="16" customWidth="1"/>
    <col min="1033" max="1033" width="14.42578125" style="16" bestFit="1" customWidth="1"/>
    <col min="1034" max="1034" width="15.7109375" style="16" bestFit="1" customWidth="1"/>
    <col min="1035" max="1281" width="9.140625" style="16"/>
    <col min="1282" max="1282" width="8" style="16" customWidth="1"/>
    <col min="1283" max="1283" width="6.85546875" style="16" customWidth="1"/>
    <col min="1284" max="1284" width="14" style="16" bestFit="1" customWidth="1"/>
    <col min="1285" max="1286" width="9.140625" style="16"/>
    <col min="1287" max="1287" width="10.28515625" style="16" customWidth="1"/>
    <col min="1288" max="1288" width="13" style="16" customWidth="1"/>
    <col min="1289" max="1289" width="14.42578125" style="16" bestFit="1" customWidth="1"/>
    <col min="1290" max="1290" width="15.7109375" style="16" bestFit="1" customWidth="1"/>
    <col min="1291" max="1537" width="9.140625" style="16"/>
    <col min="1538" max="1538" width="8" style="16" customWidth="1"/>
    <col min="1539" max="1539" width="6.85546875" style="16" customWidth="1"/>
    <col min="1540" max="1540" width="14" style="16" bestFit="1" customWidth="1"/>
    <col min="1541" max="1542" width="9.140625" style="16"/>
    <col min="1543" max="1543" width="10.28515625" style="16" customWidth="1"/>
    <col min="1544" max="1544" width="13" style="16" customWidth="1"/>
    <col min="1545" max="1545" width="14.42578125" style="16" bestFit="1" customWidth="1"/>
    <col min="1546" max="1546" width="15.7109375" style="16" bestFit="1" customWidth="1"/>
    <col min="1547" max="1793" width="9.140625" style="16"/>
    <col min="1794" max="1794" width="8" style="16" customWidth="1"/>
    <col min="1795" max="1795" width="6.85546875" style="16" customWidth="1"/>
    <col min="1796" max="1796" width="14" style="16" bestFit="1" customWidth="1"/>
    <col min="1797" max="1798" width="9.140625" style="16"/>
    <col min="1799" max="1799" width="10.28515625" style="16" customWidth="1"/>
    <col min="1800" max="1800" width="13" style="16" customWidth="1"/>
    <col min="1801" max="1801" width="14.42578125" style="16" bestFit="1" customWidth="1"/>
    <col min="1802" max="1802" width="15.7109375" style="16" bestFit="1" customWidth="1"/>
    <col min="1803" max="2049" width="9.140625" style="16"/>
    <col min="2050" max="2050" width="8" style="16" customWidth="1"/>
    <col min="2051" max="2051" width="6.85546875" style="16" customWidth="1"/>
    <col min="2052" max="2052" width="14" style="16" bestFit="1" customWidth="1"/>
    <col min="2053" max="2054" width="9.140625" style="16"/>
    <col min="2055" max="2055" width="10.28515625" style="16" customWidth="1"/>
    <col min="2056" max="2056" width="13" style="16" customWidth="1"/>
    <col min="2057" max="2057" width="14.42578125" style="16" bestFit="1" customWidth="1"/>
    <col min="2058" max="2058" width="15.7109375" style="16" bestFit="1" customWidth="1"/>
    <col min="2059" max="2305" width="9.140625" style="16"/>
    <col min="2306" max="2306" width="8" style="16" customWidth="1"/>
    <col min="2307" max="2307" width="6.85546875" style="16" customWidth="1"/>
    <col min="2308" max="2308" width="14" style="16" bestFit="1" customWidth="1"/>
    <col min="2309" max="2310" width="9.140625" style="16"/>
    <col min="2311" max="2311" width="10.28515625" style="16" customWidth="1"/>
    <col min="2312" max="2312" width="13" style="16" customWidth="1"/>
    <col min="2313" max="2313" width="14.42578125" style="16" bestFit="1" customWidth="1"/>
    <col min="2314" max="2314" width="15.7109375" style="16" bestFit="1" customWidth="1"/>
    <col min="2315" max="2561" width="9.140625" style="16"/>
    <col min="2562" max="2562" width="8" style="16" customWidth="1"/>
    <col min="2563" max="2563" width="6.85546875" style="16" customWidth="1"/>
    <col min="2564" max="2564" width="14" style="16" bestFit="1" customWidth="1"/>
    <col min="2565" max="2566" width="9.140625" style="16"/>
    <col min="2567" max="2567" width="10.28515625" style="16" customWidth="1"/>
    <col min="2568" max="2568" width="13" style="16" customWidth="1"/>
    <col min="2569" max="2569" width="14.42578125" style="16" bestFit="1" customWidth="1"/>
    <col min="2570" max="2570" width="15.7109375" style="16" bestFit="1" customWidth="1"/>
    <col min="2571" max="2817" width="9.140625" style="16"/>
    <col min="2818" max="2818" width="8" style="16" customWidth="1"/>
    <col min="2819" max="2819" width="6.85546875" style="16" customWidth="1"/>
    <col min="2820" max="2820" width="14" style="16" bestFit="1" customWidth="1"/>
    <col min="2821" max="2822" width="9.140625" style="16"/>
    <col min="2823" max="2823" width="10.28515625" style="16" customWidth="1"/>
    <col min="2824" max="2824" width="13" style="16" customWidth="1"/>
    <col min="2825" max="2825" width="14.42578125" style="16" bestFit="1" customWidth="1"/>
    <col min="2826" max="2826" width="15.7109375" style="16" bestFit="1" customWidth="1"/>
    <col min="2827" max="3073" width="9.140625" style="16"/>
    <col min="3074" max="3074" width="8" style="16" customWidth="1"/>
    <col min="3075" max="3075" width="6.85546875" style="16" customWidth="1"/>
    <col min="3076" max="3076" width="14" style="16" bestFit="1" customWidth="1"/>
    <col min="3077" max="3078" width="9.140625" style="16"/>
    <col min="3079" max="3079" width="10.28515625" style="16" customWidth="1"/>
    <col min="3080" max="3080" width="13" style="16" customWidth="1"/>
    <col min="3081" max="3081" width="14.42578125" style="16" bestFit="1" customWidth="1"/>
    <col min="3082" max="3082" width="15.7109375" style="16" bestFit="1" customWidth="1"/>
    <col min="3083" max="3329" width="9.140625" style="16"/>
    <col min="3330" max="3330" width="8" style="16" customWidth="1"/>
    <col min="3331" max="3331" width="6.85546875" style="16" customWidth="1"/>
    <col min="3332" max="3332" width="14" style="16" bestFit="1" customWidth="1"/>
    <col min="3333" max="3334" width="9.140625" style="16"/>
    <col min="3335" max="3335" width="10.28515625" style="16" customWidth="1"/>
    <col min="3336" max="3336" width="13" style="16" customWidth="1"/>
    <col min="3337" max="3337" width="14.42578125" style="16" bestFit="1" customWidth="1"/>
    <col min="3338" max="3338" width="15.7109375" style="16" bestFit="1" customWidth="1"/>
    <col min="3339" max="3585" width="9.140625" style="16"/>
    <col min="3586" max="3586" width="8" style="16" customWidth="1"/>
    <col min="3587" max="3587" width="6.85546875" style="16" customWidth="1"/>
    <col min="3588" max="3588" width="14" style="16" bestFit="1" customWidth="1"/>
    <col min="3589" max="3590" width="9.140625" style="16"/>
    <col min="3591" max="3591" width="10.28515625" style="16" customWidth="1"/>
    <col min="3592" max="3592" width="13" style="16" customWidth="1"/>
    <col min="3593" max="3593" width="14.42578125" style="16" bestFit="1" customWidth="1"/>
    <col min="3594" max="3594" width="15.7109375" style="16" bestFit="1" customWidth="1"/>
    <col min="3595" max="3841" width="9.140625" style="16"/>
    <col min="3842" max="3842" width="8" style="16" customWidth="1"/>
    <col min="3843" max="3843" width="6.85546875" style="16" customWidth="1"/>
    <col min="3844" max="3844" width="14" style="16" bestFit="1" customWidth="1"/>
    <col min="3845" max="3846" width="9.140625" style="16"/>
    <col min="3847" max="3847" width="10.28515625" style="16" customWidth="1"/>
    <col min="3848" max="3848" width="13" style="16" customWidth="1"/>
    <col min="3849" max="3849" width="14.42578125" style="16" bestFit="1" customWidth="1"/>
    <col min="3850" max="3850" width="15.7109375" style="16" bestFit="1" customWidth="1"/>
    <col min="3851" max="4097" width="9.140625" style="16"/>
    <col min="4098" max="4098" width="8" style="16" customWidth="1"/>
    <col min="4099" max="4099" width="6.85546875" style="16" customWidth="1"/>
    <col min="4100" max="4100" width="14" style="16" bestFit="1" customWidth="1"/>
    <col min="4101" max="4102" width="9.140625" style="16"/>
    <col min="4103" max="4103" width="10.28515625" style="16" customWidth="1"/>
    <col min="4104" max="4104" width="13" style="16" customWidth="1"/>
    <col min="4105" max="4105" width="14.42578125" style="16" bestFit="1" customWidth="1"/>
    <col min="4106" max="4106" width="15.7109375" style="16" bestFit="1" customWidth="1"/>
    <col min="4107" max="4353" width="9.140625" style="16"/>
    <col min="4354" max="4354" width="8" style="16" customWidth="1"/>
    <col min="4355" max="4355" width="6.85546875" style="16" customWidth="1"/>
    <col min="4356" max="4356" width="14" style="16" bestFit="1" customWidth="1"/>
    <col min="4357" max="4358" width="9.140625" style="16"/>
    <col min="4359" max="4359" width="10.28515625" style="16" customWidth="1"/>
    <col min="4360" max="4360" width="13" style="16" customWidth="1"/>
    <col min="4361" max="4361" width="14.42578125" style="16" bestFit="1" customWidth="1"/>
    <col min="4362" max="4362" width="15.7109375" style="16" bestFit="1" customWidth="1"/>
    <col min="4363" max="4609" width="9.140625" style="16"/>
    <col min="4610" max="4610" width="8" style="16" customWidth="1"/>
    <col min="4611" max="4611" width="6.85546875" style="16" customWidth="1"/>
    <col min="4612" max="4612" width="14" style="16" bestFit="1" customWidth="1"/>
    <col min="4613" max="4614" width="9.140625" style="16"/>
    <col min="4615" max="4615" width="10.28515625" style="16" customWidth="1"/>
    <col min="4616" max="4616" width="13" style="16" customWidth="1"/>
    <col min="4617" max="4617" width="14.42578125" style="16" bestFit="1" customWidth="1"/>
    <col min="4618" max="4618" width="15.7109375" style="16" bestFit="1" customWidth="1"/>
    <col min="4619" max="4865" width="9.140625" style="16"/>
    <col min="4866" max="4866" width="8" style="16" customWidth="1"/>
    <col min="4867" max="4867" width="6.85546875" style="16" customWidth="1"/>
    <col min="4868" max="4868" width="14" style="16" bestFit="1" customWidth="1"/>
    <col min="4869" max="4870" width="9.140625" style="16"/>
    <col min="4871" max="4871" width="10.28515625" style="16" customWidth="1"/>
    <col min="4872" max="4872" width="13" style="16" customWidth="1"/>
    <col min="4873" max="4873" width="14.42578125" style="16" bestFit="1" customWidth="1"/>
    <col min="4874" max="4874" width="15.7109375" style="16" bestFit="1" customWidth="1"/>
    <col min="4875" max="5121" width="9.140625" style="16"/>
    <col min="5122" max="5122" width="8" style="16" customWidth="1"/>
    <col min="5123" max="5123" width="6.85546875" style="16" customWidth="1"/>
    <col min="5124" max="5124" width="14" style="16" bestFit="1" customWidth="1"/>
    <col min="5125" max="5126" width="9.140625" style="16"/>
    <col min="5127" max="5127" width="10.28515625" style="16" customWidth="1"/>
    <col min="5128" max="5128" width="13" style="16" customWidth="1"/>
    <col min="5129" max="5129" width="14.42578125" style="16" bestFit="1" customWidth="1"/>
    <col min="5130" max="5130" width="15.7109375" style="16" bestFit="1" customWidth="1"/>
    <col min="5131" max="5377" width="9.140625" style="16"/>
    <col min="5378" max="5378" width="8" style="16" customWidth="1"/>
    <col min="5379" max="5379" width="6.85546875" style="16" customWidth="1"/>
    <col min="5380" max="5380" width="14" style="16" bestFit="1" customWidth="1"/>
    <col min="5381" max="5382" width="9.140625" style="16"/>
    <col min="5383" max="5383" width="10.28515625" style="16" customWidth="1"/>
    <col min="5384" max="5384" width="13" style="16" customWidth="1"/>
    <col min="5385" max="5385" width="14.42578125" style="16" bestFit="1" customWidth="1"/>
    <col min="5386" max="5386" width="15.7109375" style="16" bestFit="1" customWidth="1"/>
    <col min="5387" max="5633" width="9.140625" style="16"/>
    <col min="5634" max="5634" width="8" style="16" customWidth="1"/>
    <col min="5635" max="5635" width="6.85546875" style="16" customWidth="1"/>
    <col min="5636" max="5636" width="14" style="16" bestFit="1" customWidth="1"/>
    <col min="5637" max="5638" width="9.140625" style="16"/>
    <col min="5639" max="5639" width="10.28515625" style="16" customWidth="1"/>
    <col min="5640" max="5640" width="13" style="16" customWidth="1"/>
    <col min="5641" max="5641" width="14.42578125" style="16" bestFit="1" customWidth="1"/>
    <col min="5642" max="5642" width="15.7109375" style="16" bestFit="1" customWidth="1"/>
    <col min="5643" max="5889" width="9.140625" style="16"/>
    <col min="5890" max="5890" width="8" style="16" customWidth="1"/>
    <col min="5891" max="5891" width="6.85546875" style="16" customWidth="1"/>
    <col min="5892" max="5892" width="14" style="16" bestFit="1" customWidth="1"/>
    <col min="5893" max="5894" width="9.140625" style="16"/>
    <col min="5895" max="5895" width="10.28515625" style="16" customWidth="1"/>
    <col min="5896" max="5896" width="13" style="16" customWidth="1"/>
    <col min="5897" max="5897" width="14.42578125" style="16" bestFit="1" customWidth="1"/>
    <col min="5898" max="5898" width="15.7109375" style="16" bestFit="1" customWidth="1"/>
    <col min="5899" max="6145" width="9.140625" style="16"/>
    <col min="6146" max="6146" width="8" style="16" customWidth="1"/>
    <col min="6147" max="6147" width="6.85546875" style="16" customWidth="1"/>
    <col min="6148" max="6148" width="14" style="16" bestFit="1" customWidth="1"/>
    <col min="6149" max="6150" width="9.140625" style="16"/>
    <col min="6151" max="6151" width="10.28515625" style="16" customWidth="1"/>
    <col min="6152" max="6152" width="13" style="16" customWidth="1"/>
    <col min="6153" max="6153" width="14.42578125" style="16" bestFit="1" customWidth="1"/>
    <col min="6154" max="6154" width="15.7109375" style="16" bestFit="1" customWidth="1"/>
    <col min="6155" max="6401" width="9.140625" style="16"/>
    <col min="6402" max="6402" width="8" style="16" customWidth="1"/>
    <col min="6403" max="6403" width="6.85546875" style="16" customWidth="1"/>
    <col min="6404" max="6404" width="14" style="16" bestFit="1" customWidth="1"/>
    <col min="6405" max="6406" width="9.140625" style="16"/>
    <col min="6407" max="6407" width="10.28515625" style="16" customWidth="1"/>
    <col min="6408" max="6408" width="13" style="16" customWidth="1"/>
    <col min="6409" max="6409" width="14.42578125" style="16" bestFit="1" customWidth="1"/>
    <col min="6410" max="6410" width="15.7109375" style="16" bestFit="1" customWidth="1"/>
    <col min="6411" max="6657" width="9.140625" style="16"/>
    <col min="6658" max="6658" width="8" style="16" customWidth="1"/>
    <col min="6659" max="6659" width="6.85546875" style="16" customWidth="1"/>
    <col min="6660" max="6660" width="14" style="16" bestFit="1" customWidth="1"/>
    <col min="6661" max="6662" width="9.140625" style="16"/>
    <col min="6663" max="6663" width="10.28515625" style="16" customWidth="1"/>
    <col min="6664" max="6664" width="13" style="16" customWidth="1"/>
    <col min="6665" max="6665" width="14.42578125" style="16" bestFit="1" customWidth="1"/>
    <col min="6666" max="6666" width="15.7109375" style="16" bestFit="1" customWidth="1"/>
    <col min="6667" max="6913" width="9.140625" style="16"/>
    <col min="6914" max="6914" width="8" style="16" customWidth="1"/>
    <col min="6915" max="6915" width="6.85546875" style="16" customWidth="1"/>
    <col min="6916" max="6916" width="14" style="16" bestFit="1" customWidth="1"/>
    <col min="6917" max="6918" width="9.140625" style="16"/>
    <col min="6919" max="6919" width="10.28515625" style="16" customWidth="1"/>
    <col min="6920" max="6920" width="13" style="16" customWidth="1"/>
    <col min="6921" max="6921" width="14.42578125" style="16" bestFit="1" customWidth="1"/>
    <col min="6922" max="6922" width="15.7109375" style="16" bestFit="1" customWidth="1"/>
    <col min="6923" max="7169" width="9.140625" style="16"/>
    <col min="7170" max="7170" width="8" style="16" customWidth="1"/>
    <col min="7171" max="7171" width="6.85546875" style="16" customWidth="1"/>
    <col min="7172" max="7172" width="14" style="16" bestFit="1" customWidth="1"/>
    <col min="7173" max="7174" width="9.140625" style="16"/>
    <col min="7175" max="7175" width="10.28515625" style="16" customWidth="1"/>
    <col min="7176" max="7176" width="13" style="16" customWidth="1"/>
    <col min="7177" max="7177" width="14.42578125" style="16" bestFit="1" customWidth="1"/>
    <col min="7178" max="7178" width="15.7109375" style="16" bestFit="1" customWidth="1"/>
    <col min="7179" max="7425" width="9.140625" style="16"/>
    <col min="7426" max="7426" width="8" style="16" customWidth="1"/>
    <col min="7427" max="7427" width="6.85546875" style="16" customWidth="1"/>
    <col min="7428" max="7428" width="14" style="16" bestFit="1" customWidth="1"/>
    <col min="7429" max="7430" width="9.140625" style="16"/>
    <col min="7431" max="7431" width="10.28515625" style="16" customWidth="1"/>
    <col min="7432" max="7432" width="13" style="16" customWidth="1"/>
    <col min="7433" max="7433" width="14.42578125" style="16" bestFit="1" customWidth="1"/>
    <col min="7434" max="7434" width="15.7109375" style="16" bestFit="1" customWidth="1"/>
    <col min="7435" max="7681" width="9.140625" style="16"/>
    <col min="7682" max="7682" width="8" style="16" customWidth="1"/>
    <col min="7683" max="7683" width="6.85546875" style="16" customWidth="1"/>
    <col min="7684" max="7684" width="14" style="16" bestFit="1" customWidth="1"/>
    <col min="7685" max="7686" width="9.140625" style="16"/>
    <col min="7687" max="7687" width="10.28515625" style="16" customWidth="1"/>
    <col min="7688" max="7688" width="13" style="16" customWidth="1"/>
    <col min="7689" max="7689" width="14.42578125" style="16" bestFit="1" customWidth="1"/>
    <col min="7690" max="7690" width="15.7109375" style="16" bestFit="1" customWidth="1"/>
    <col min="7691" max="7937" width="9.140625" style="16"/>
    <col min="7938" max="7938" width="8" style="16" customWidth="1"/>
    <col min="7939" max="7939" width="6.85546875" style="16" customWidth="1"/>
    <col min="7940" max="7940" width="14" style="16" bestFit="1" customWidth="1"/>
    <col min="7941" max="7942" width="9.140625" style="16"/>
    <col min="7943" max="7943" width="10.28515625" style="16" customWidth="1"/>
    <col min="7944" max="7944" width="13" style="16" customWidth="1"/>
    <col min="7945" max="7945" width="14.42578125" style="16" bestFit="1" customWidth="1"/>
    <col min="7946" max="7946" width="15.7109375" style="16" bestFit="1" customWidth="1"/>
    <col min="7947" max="8193" width="9.140625" style="16"/>
    <col min="8194" max="8194" width="8" style="16" customWidth="1"/>
    <col min="8195" max="8195" width="6.85546875" style="16" customWidth="1"/>
    <col min="8196" max="8196" width="14" style="16" bestFit="1" customWidth="1"/>
    <col min="8197" max="8198" width="9.140625" style="16"/>
    <col min="8199" max="8199" width="10.28515625" style="16" customWidth="1"/>
    <col min="8200" max="8200" width="13" style="16" customWidth="1"/>
    <col min="8201" max="8201" width="14.42578125" style="16" bestFit="1" customWidth="1"/>
    <col min="8202" max="8202" width="15.7109375" style="16" bestFit="1" customWidth="1"/>
    <col min="8203" max="8449" width="9.140625" style="16"/>
    <col min="8450" max="8450" width="8" style="16" customWidth="1"/>
    <col min="8451" max="8451" width="6.85546875" style="16" customWidth="1"/>
    <col min="8452" max="8452" width="14" style="16" bestFit="1" customWidth="1"/>
    <col min="8453" max="8454" width="9.140625" style="16"/>
    <col min="8455" max="8455" width="10.28515625" style="16" customWidth="1"/>
    <col min="8456" max="8456" width="13" style="16" customWidth="1"/>
    <col min="8457" max="8457" width="14.42578125" style="16" bestFit="1" customWidth="1"/>
    <col min="8458" max="8458" width="15.7109375" style="16" bestFit="1" customWidth="1"/>
    <col min="8459" max="8705" width="9.140625" style="16"/>
    <col min="8706" max="8706" width="8" style="16" customWidth="1"/>
    <col min="8707" max="8707" width="6.85546875" style="16" customWidth="1"/>
    <col min="8708" max="8708" width="14" style="16" bestFit="1" customWidth="1"/>
    <col min="8709" max="8710" width="9.140625" style="16"/>
    <col min="8711" max="8711" width="10.28515625" style="16" customWidth="1"/>
    <col min="8712" max="8712" width="13" style="16" customWidth="1"/>
    <col min="8713" max="8713" width="14.42578125" style="16" bestFit="1" customWidth="1"/>
    <col min="8714" max="8714" width="15.7109375" style="16" bestFit="1" customWidth="1"/>
    <col min="8715" max="8961" width="9.140625" style="16"/>
    <col min="8962" max="8962" width="8" style="16" customWidth="1"/>
    <col min="8963" max="8963" width="6.85546875" style="16" customWidth="1"/>
    <col min="8964" max="8964" width="14" style="16" bestFit="1" customWidth="1"/>
    <col min="8965" max="8966" width="9.140625" style="16"/>
    <col min="8967" max="8967" width="10.28515625" style="16" customWidth="1"/>
    <col min="8968" max="8968" width="13" style="16" customWidth="1"/>
    <col min="8969" max="8969" width="14.42578125" style="16" bestFit="1" customWidth="1"/>
    <col min="8970" max="8970" width="15.7109375" style="16" bestFit="1" customWidth="1"/>
    <col min="8971" max="9217" width="9.140625" style="16"/>
    <col min="9218" max="9218" width="8" style="16" customWidth="1"/>
    <col min="9219" max="9219" width="6.85546875" style="16" customWidth="1"/>
    <col min="9220" max="9220" width="14" style="16" bestFit="1" customWidth="1"/>
    <col min="9221" max="9222" width="9.140625" style="16"/>
    <col min="9223" max="9223" width="10.28515625" style="16" customWidth="1"/>
    <col min="9224" max="9224" width="13" style="16" customWidth="1"/>
    <col min="9225" max="9225" width="14.42578125" style="16" bestFit="1" customWidth="1"/>
    <col min="9226" max="9226" width="15.7109375" style="16" bestFit="1" customWidth="1"/>
    <col min="9227" max="9473" width="9.140625" style="16"/>
    <col min="9474" max="9474" width="8" style="16" customWidth="1"/>
    <col min="9475" max="9475" width="6.85546875" style="16" customWidth="1"/>
    <col min="9476" max="9476" width="14" style="16" bestFit="1" customWidth="1"/>
    <col min="9477" max="9478" width="9.140625" style="16"/>
    <col min="9479" max="9479" width="10.28515625" style="16" customWidth="1"/>
    <col min="9480" max="9480" width="13" style="16" customWidth="1"/>
    <col min="9481" max="9481" width="14.42578125" style="16" bestFit="1" customWidth="1"/>
    <col min="9482" max="9482" width="15.7109375" style="16" bestFit="1" customWidth="1"/>
    <col min="9483" max="9729" width="9.140625" style="16"/>
    <col min="9730" max="9730" width="8" style="16" customWidth="1"/>
    <col min="9731" max="9731" width="6.85546875" style="16" customWidth="1"/>
    <col min="9732" max="9732" width="14" style="16" bestFit="1" customWidth="1"/>
    <col min="9733" max="9734" width="9.140625" style="16"/>
    <col min="9735" max="9735" width="10.28515625" style="16" customWidth="1"/>
    <col min="9736" max="9736" width="13" style="16" customWidth="1"/>
    <col min="9737" max="9737" width="14.42578125" style="16" bestFit="1" customWidth="1"/>
    <col min="9738" max="9738" width="15.7109375" style="16" bestFit="1" customWidth="1"/>
    <col min="9739" max="9985" width="9.140625" style="16"/>
    <col min="9986" max="9986" width="8" style="16" customWidth="1"/>
    <col min="9987" max="9987" width="6.85546875" style="16" customWidth="1"/>
    <col min="9988" max="9988" width="14" style="16" bestFit="1" customWidth="1"/>
    <col min="9989" max="9990" width="9.140625" style="16"/>
    <col min="9991" max="9991" width="10.28515625" style="16" customWidth="1"/>
    <col min="9992" max="9992" width="13" style="16" customWidth="1"/>
    <col min="9993" max="9993" width="14.42578125" style="16" bestFit="1" customWidth="1"/>
    <col min="9994" max="9994" width="15.7109375" style="16" bestFit="1" customWidth="1"/>
    <col min="9995" max="10241" width="9.140625" style="16"/>
    <col min="10242" max="10242" width="8" style="16" customWidth="1"/>
    <col min="10243" max="10243" width="6.85546875" style="16" customWidth="1"/>
    <col min="10244" max="10244" width="14" style="16" bestFit="1" customWidth="1"/>
    <col min="10245" max="10246" width="9.140625" style="16"/>
    <col min="10247" max="10247" width="10.28515625" style="16" customWidth="1"/>
    <col min="10248" max="10248" width="13" style="16" customWidth="1"/>
    <col min="10249" max="10249" width="14.42578125" style="16" bestFit="1" customWidth="1"/>
    <col min="10250" max="10250" width="15.7109375" style="16" bestFit="1" customWidth="1"/>
    <col min="10251" max="10497" width="9.140625" style="16"/>
    <col min="10498" max="10498" width="8" style="16" customWidth="1"/>
    <col min="10499" max="10499" width="6.85546875" style="16" customWidth="1"/>
    <col min="10500" max="10500" width="14" style="16" bestFit="1" customWidth="1"/>
    <col min="10501" max="10502" width="9.140625" style="16"/>
    <col min="10503" max="10503" width="10.28515625" style="16" customWidth="1"/>
    <col min="10504" max="10504" width="13" style="16" customWidth="1"/>
    <col min="10505" max="10505" width="14.42578125" style="16" bestFit="1" customWidth="1"/>
    <col min="10506" max="10506" width="15.7109375" style="16" bestFit="1" customWidth="1"/>
    <col min="10507" max="10753" width="9.140625" style="16"/>
    <col min="10754" max="10754" width="8" style="16" customWidth="1"/>
    <col min="10755" max="10755" width="6.85546875" style="16" customWidth="1"/>
    <col min="10756" max="10756" width="14" style="16" bestFit="1" customWidth="1"/>
    <col min="10757" max="10758" width="9.140625" style="16"/>
    <col min="10759" max="10759" width="10.28515625" style="16" customWidth="1"/>
    <col min="10760" max="10760" width="13" style="16" customWidth="1"/>
    <col min="10761" max="10761" width="14.42578125" style="16" bestFit="1" customWidth="1"/>
    <col min="10762" max="10762" width="15.7109375" style="16" bestFit="1" customWidth="1"/>
    <col min="10763" max="11009" width="9.140625" style="16"/>
    <col min="11010" max="11010" width="8" style="16" customWidth="1"/>
    <col min="11011" max="11011" width="6.85546875" style="16" customWidth="1"/>
    <col min="11012" max="11012" width="14" style="16" bestFit="1" customWidth="1"/>
    <col min="11013" max="11014" width="9.140625" style="16"/>
    <col min="11015" max="11015" width="10.28515625" style="16" customWidth="1"/>
    <col min="11016" max="11016" width="13" style="16" customWidth="1"/>
    <col min="11017" max="11017" width="14.42578125" style="16" bestFit="1" customWidth="1"/>
    <col min="11018" max="11018" width="15.7109375" style="16" bestFit="1" customWidth="1"/>
    <col min="11019" max="11265" width="9.140625" style="16"/>
    <col min="11266" max="11266" width="8" style="16" customWidth="1"/>
    <col min="11267" max="11267" width="6.85546875" style="16" customWidth="1"/>
    <col min="11268" max="11268" width="14" style="16" bestFit="1" customWidth="1"/>
    <col min="11269" max="11270" width="9.140625" style="16"/>
    <col min="11271" max="11271" width="10.28515625" style="16" customWidth="1"/>
    <col min="11272" max="11272" width="13" style="16" customWidth="1"/>
    <col min="11273" max="11273" width="14.42578125" style="16" bestFit="1" customWidth="1"/>
    <col min="11274" max="11274" width="15.7109375" style="16" bestFit="1" customWidth="1"/>
    <col min="11275" max="11521" width="9.140625" style="16"/>
    <col min="11522" max="11522" width="8" style="16" customWidth="1"/>
    <col min="11523" max="11523" width="6.85546875" style="16" customWidth="1"/>
    <col min="11524" max="11524" width="14" style="16" bestFit="1" customWidth="1"/>
    <col min="11525" max="11526" width="9.140625" style="16"/>
    <col min="11527" max="11527" width="10.28515625" style="16" customWidth="1"/>
    <col min="11528" max="11528" width="13" style="16" customWidth="1"/>
    <col min="11529" max="11529" width="14.42578125" style="16" bestFit="1" customWidth="1"/>
    <col min="11530" max="11530" width="15.7109375" style="16" bestFit="1" customWidth="1"/>
    <col min="11531" max="11777" width="9.140625" style="16"/>
    <col min="11778" max="11778" width="8" style="16" customWidth="1"/>
    <col min="11779" max="11779" width="6.85546875" style="16" customWidth="1"/>
    <col min="11780" max="11780" width="14" style="16" bestFit="1" customWidth="1"/>
    <col min="11781" max="11782" width="9.140625" style="16"/>
    <col min="11783" max="11783" width="10.28515625" style="16" customWidth="1"/>
    <col min="11784" max="11784" width="13" style="16" customWidth="1"/>
    <col min="11785" max="11785" width="14.42578125" style="16" bestFit="1" customWidth="1"/>
    <col min="11786" max="11786" width="15.7109375" style="16" bestFit="1" customWidth="1"/>
    <col min="11787" max="12033" width="9.140625" style="16"/>
    <col min="12034" max="12034" width="8" style="16" customWidth="1"/>
    <col min="12035" max="12035" width="6.85546875" style="16" customWidth="1"/>
    <col min="12036" max="12036" width="14" style="16" bestFit="1" customWidth="1"/>
    <col min="12037" max="12038" width="9.140625" style="16"/>
    <col min="12039" max="12039" width="10.28515625" style="16" customWidth="1"/>
    <col min="12040" max="12040" width="13" style="16" customWidth="1"/>
    <col min="12041" max="12041" width="14.42578125" style="16" bestFit="1" customWidth="1"/>
    <col min="12042" max="12042" width="15.7109375" style="16" bestFit="1" customWidth="1"/>
    <col min="12043" max="12289" width="9.140625" style="16"/>
    <col min="12290" max="12290" width="8" style="16" customWidth="1"/>
    <col min="12291" max="12291" width="6.85546875" style="16" customWidth="1"/>
    <col min="12292" max="12292" width="14" style="16" bestFit="1" customWidth="1"/>
    <col min="12293" max="12294" width="9.140625" style="16"/>
    <col min="12295" max="12295" width="10.28515625" style="16" customWidth="1"/>
    <col min="12296" max="12296" width="13" style="16" customWidth="1"/>
    <col min="12297" max="12297" width="14.42578125" style="16" bestFit="1" customWidth="1"/>
    <col min="12298" max="12298" width="15.7109375" style="16" bestFit="1" customWidth="1"/>
    <col min="12299" max="12545" width="9.140625" style="16"/>
    <col min="12546" max="12546" width="8" style="16" customWidth="1"/>
    <col min="12547" max="12547" width="6.85546875" style="16" customWidth="1"/>
    <col min="12548" max="12548" width="14" style="16" bestFit="1" customWidth="1"/>
    <col min="12549" max="12550" width="9.140625" style="16"/>
    <col min="12551" max="12551" width="10.28515625" style="16" customWidth="1"/>
    <col min="12552" max="12552" width="13" style="16" customWidth="1"/>
    <col min="12553" max="12553" width="14.42578125" style="16" bestFit="1" customWidth="1"/>
    <col min="12554" max="12554" width="15.7109375" style="16" bestFit="1" customWidth="1"/>
    <col min="12555" max="12801" width="9.140625" style="16"/>
    <col min="12802" max="12802" width="8" style="16" customWidth="1"/>
    <col min="12803" max="12803" width="6.85546875" style="16" customWidth="1"/>
    <col min="12804" max="12804" width="14" style="16" bestFit="1" customWidth="1"/>
    <col min="12805" max="12806" width="9.140625" style="16"/>
    <col min="12807" max="12807" width="10.28515625" style="16" customWidth="1"/>
    <col min="12808" max="12808" width="13" style="16" customWidth="1"/>
    <col min="12809" max="12809" width="14.42578125" style="16" bestFit="1" customWidth="1"/>
    <col min="12810" max="12810" width="15.7109375" style="16" bestFit="1" customWidth="1"/>
    <col min="12811" max="13057" width="9.140625" style="16"/>
    <col min="13058" max="13058" width="8" style="16" customWidth="1"/>
    <col min="13059" max="13059" width="6.85546875" style="16" customWidth="1"/>
    <col min="13060" max="13060" width="14" style="16" bestFit="1" customWidth="1"/>
    <col min="13061" max="13062" width="9.140625" style="16"/>
    <col min="13063" max="13063" width="10.28515625" style="16" customWidth="1"/>
    <col min="13064" max="13064" width="13" style="16" customWidth="1"/>
    <col min="13065" max="13065" width="14.42578125" style="16" bestFit="1" customWidth="1"/>
    <col min="13066" max="13066" width="15.7109375" style="16" bestFit="1" customWidth="1"/>
    <col min="13067" max="13313" width="9.140625" style="16"/>
    <col min="13314" max="13314" width="8" style="16" customWidth="1"/>
    <col min="13315" max="13315" width="6.85546875" style="16" customWidth="1"/>
    <col min="13316" max="13316" width="14" style="16" bestFit="1" customWidth="1"/>
    <col min="13317" max="13318" width="9.140625" style="16"/>
    <col min="13319" max="13319" width="10.28515625" style="16" customWidth="1"/>
    <col min="13320" max="13320" width="13" style="16" customWidth="1"/>
    <col min="13321" max="13321" width="14.42578125" style="16" bestFit="1" customWidth="1"/>
    <col min="13322" max="13322" width="15.7109375" style="16" bestFit="1" customWidth="1"/>
    <col min="13323" max="13569" width="9.140625" style="16"/>
    <col min="13570" max="13570" width="8" style="16" customWidth="1"/>
    <col min="13571" max="13571" width="6.85546875" style="16" customWidth="1"/>
    <col min="13572" max="13572" width="14" style="16" bestFit="1" customWidth="1"/>
    <col min="13573" max="13574" width="9.140625" style="16"/>
    <col min="13575" max="13575" width="10.28515625" style="16" customWidth="1"/>
    <col min="13576" max="13576" width="13" style="16" customWidth="1"/>
    <col min="13577" max="13577" width="14.42578125" style="16" bestFit="1" customWidth="1"/>
    <col min="13578" max="13578" width="15.7109375" style="16" bestFit="1" customWidth="1"/>
    <col min="13579" max="13825" width="9.140625" style="16"/>
    <col min="13826" max="13826" width="8" style="16" customWidth="1"/>
    <col min="13827" max="13827" width="6.85546875" style="16" customWidth="1"/>
    <col min="13828" max="13828" width="14" style="16" bestFit="1" customWidth="1"/>
    <col min="13829" max="13830" width="9.140625" style="16"/>
    <col min="13831" max="13831" width="10.28515625" style="16" customWidth="1"/>
    <col min="13832" max="13832" width="13" style="16" customWidth="1"/>
    <col min="13833" max="13833" width="14.42578125" style="16" bestFit="1" customWidth="1"/>
    <col min="13834" max="13834" width="15.7109375" style="16" bestFit="1" customWidth="1"/>
    <col min="13835" max="14081" width="9.140625" style="16"/>
    <col min="14082" max="14082" width="8" style="16" customWidth="1"/>
    <col min="14083" max="14083" width="6.85546875" style="16" customWidth="1"/>
    <col min="14084" max="14084" width="14" style="16" bestFit="1" customWidth="1"/>
    <col min="14085" max="14086" width="9.140625" style="16"/>
    <col min="14087" max="14087" width="10.28515625" style="16" customWidth="1"/>
    <col min="14088" max="14088" width="13" style="16" customWidth="1"/>
    <col min="14089" max="14089" width="14.42578125" style="16" bestFit="1" customWidth="1"/>
    <col min="14090" max="14090" width="15.7109375" style="16" bestFit="1" customWidth="1"/>
    <col min="14091" max="14337" width="9.140625" style="16"/>
    <col min="14338" max="14338" width="8" style="16" customWidth="1"/>
    <col min="14339" max="14339" width="6.85546875" style="16" customWidth="1"/>
    <col min="14340" max="14340" width="14" style="16" bestFit="1" customWidth="1"/>
    <col min="14341" max="14342" width="9.140625" style="16"/>
    <col min="14343" max="14343" width="10.28515625" style="16" customWidth="1"/>
    <col min="14344" max="14344" width="13" style="16" customWidth="1"/>
    <col min="14345" max="14345" width="14.42578125" style="16" bestFit="1" customWidth="1"/>
    <col min="14346" max="14346" width="15.7109375" style="16" bestFit="1" customWidth="1"/>
    <col min="14347" max="14593" width="9.140625" style="16"/>
    <col min="14594" max="14594" width="8" style="16" customWidth="1"/>
    <col min="14595" max="14595" width="6.85546875" style="16" customWidth="1"/>
    <col min="14596" max="14596" width="14" style="16" bestFit="1" customWidth="1"/>
    <col min="14597" max="14598" width="9.140625" style="16"/>
    <col min="14599" max="14599" width="10.28515625" style="16" customWidth="1"/>
    <col min="14600" max="14600" width="13" style="16" customWidth="1"/>
    <col min="14601" max="14601" width="14.42578125" style="16" bestFit="1" customWidth="1"/>
    <col min="14602" max="14602" width="15.7109375" style="16" bestFit="1" customWidth="1"/>
    <col min="14603" max="14849" width="9.140625" style="16"/>
    <col min="14850" max="14850" width="8" style="16" customWidth="1"/>
    <col min="14851" max="14851" width="6.85546875" style="16" customWidth="1"/>
    <col min="14852" max="14852" width="14" style="16" bestFit="1" customWidth="1"/>
    <col min="14853" max="14854" width="9.140625" style="16"/>
    <col min="14855" max="14855" width="10.28515625" style="16" customWidth="1"/>
    <col min="14856" max="14856" width="13" style="16" customWidth="1"/>
    <col min="14857" max="14857" width="14.42578125" style="16" bestFit="1" customWidth="1"/>
    <col min="14858" max="14858" width="15.7109375" style="16" bestFit="1" customWidth="1"/>
    <col min="14859" max="15105" width="9.140625" style="16"/>
    <col min="15106" max="15106" width="8" style="16" customWidth="1"/>
    <col min="15107" max="15107" width="6.85546875" style="16" customWidth="1"/>
    <col min="15108" max="15108" width="14" style="16" bestFit="1" customWidth="1"/>
    <col min="15109" max="15110" width="9.140625" style="16"/>
    <col min="15111" max="15111" width="10.28515625" style="16" customWidth="1"/>
    <col min="15112" max="15112" width="13" style="16" customWidth="1"/>
    <col min="15113" max="15113" width="14.42578125" style="16" bestFit="1" customWidth="1"/>
    <col min="15114" max="15114" width="15.7109375" style="16" bestFit="1" customWidth="1"/>
    <col min="15115" max="15361" width="9.140625" style="16"/>
    <col min="15362" max="15362" width="8" style="16" customWidth="1"/>
    <col min="15363" max="15363" width="6.85546875" style="16" customWidth="1"/>
    <col min="15364" max="15364" width="14" style="16" bestFit="1" customWidth="1"/>
    <col min="15365" max="15366" width="9.140625" style="16"/>
    <col min="15367" max="15367" width="10.28515625" style="16" customWidth="1"/>
    <col min="15368" max="15368" width="13" style="16" customWidth="1"/>
    <col min="15369" max="15369" width="14.42578125" style="16" bestFit="1" customWidth="1"/>
    <col min="15370" max="15370" width="15.7109375" style="16" bestFit="1" customWidth="1"/>
    <col min="15371" max="15617" width="9.140625" style="16"/>
    <col min="15618" max="15618" width="8" style="16" customWidth="1"/>
    <col min="15619" max="15619" width="6.85546875" style="16" customWidth="1"/>
    <col min="15620" max="15620" width="14" style="16" bestFit="1" customWidth="1"/>
    <col min="15621" max="15622" width="9.140625" style="16"/>
    <col min="15623" max="15623" width="10.28515625" style="16" customWidth="1"/>
    <col min="15624" max="15624" width="13" style="16" customWidth="1"/>
    <col min="15625" max="15625" width="14.42578125" style="16" bestFit="1" customWidth="1"/>
    <col min="15626" max="15626" width="15.7109375" style="16" bestFit="1" customWidth="1"/>
    <col min="15627" max="15873" width="9.140625" style="16"/>
    <col min="15874" max="15874" width="8" style="16" customWidth="1"/>
    <col min="15875" max="15875" width="6.85546875" style="16" customWidth="1"/>
    <col min="15876" max="15876" width="14" style="16" bestFit="1" customWidth="1"/>
    <col min="15877" max="15878" width="9.140625" style="16"/>
    <col min="15879" max="15879" width="10.28515625" style="16" customWidth="1"/>
    <col min="15880" max="15880" width="13" style="16" customWidth="1"/>
    <col min="15881" max="15881" width="14.42578125" style="16" bestFit="1" customWidth="1"/>
    <col min="15882" max="15882" width="15.7109375" style="16" bestFit="1" customWidth="1"/>
    <col min="15883" max="16129" width="9.140625" style="16"/>
    <col min="16130" max="16130" width="8" style="16" customWidth="1"/>
    <col min="16131" max="16131" width="6.85546875" style="16" customWidth="1"/>
    <col min="16132" max="16132" width="14" style="16" bestFit="1" customWidth="1"/>
    <col min="16133" max="16134" width="9.140625" style="16"/>
    <col min="16135" max="16135" width="10.28515625" style="16" customWidth="1"/>
    <col min="16136" max="16136" width="13" style="16" customWidth="1"/>
    <col min="16137" max="16137" width="14.42578125" style="16" bestFit="1" customWidth="1"/>
    <col min="16138" max="16138" width="15.7109375" style="16" bestFit="1" customWidth="1"/>
    <col min="16139" max="16384" width="9.140625" style="16"/>
  </cols>
  <sheetData>
    <row r="6" spans="2:10" ht="16.5" thickBot="1" x14ac:dyDescent="0.3"/>
    <row r="7" spans="2:10" x14ac:dyDescent="0.25">
      <c r="B7" s="676" t="s">
        <v>4</v>
      </c>
      <c r="C7" s="677"/>
      <c r="D7" s="677"/>
      <c r="E7" s="677"/>
      <c r="F7" s="677"/>
      <c r="G7" s="677"/>
      <c r="H7" s="677"/>
      <c r="I7" s="677"/>
      <c r="J7" s="678"/>
    </row>
    <row r="8" spans="2:10" x14ac:dyDescent="0.25">
      <c r="B8" s="679" t="s">
        <v>5</v>
      </c>
      <c r="C8" s="630"/>
      <c r="D8" s="630"/>
      <c r="E8" s="680" t="s">
        <v>6</v>
      </c>
      <c r="F8" s="630"/>
      <c r="G8" s="630"/>
      <c r="H8" s="680" t="s">
        <v>7</v>
      </c>
      <c r="I8" s="630"/>
      <c r="J8" s="681"/>
    </row>
    <row r="9" spans="2:10" ht="16.5" thickBot="1" x14ac:dyDescent="0.3">
      <c r="B9" s="682" t="s">
        <v>8</v>
      </c>
      <c r="C9" s="683"/>
      <c r="D9" s="683"/>
      <c r="E9" s="683"/>
      <c r="F9" s="17"/>
      <c r="G9" s="684" t="str">
        <f>"FONE: (45)3242-2210         V.:"&amp;GERAL!C26</f>
        <v>FONE: (45)3242-2210         V.:Versão: 45791</v>
      </c>
      <c r="H9" s="684"/>
      <c r="I9" s="684"/>
      <c r="J9" s="685"/>
    </row>
    <row r="10" spans="2:10" ht="16.5" thickBot="1" x14ac:dyDescent="0.3">
      <c r="E10" s="18"/>
      <c r="F10" s="18"/>
      <c r="G10" s="18"/>
      <c r="H10" s="19"/>
    </row>
    <row r="11" spans="2:10" x14ac:dyDescent="0.25">
      <c r="B11" s="20"/>
      <c r="C11" s="103" t="s">
        <v>69</v>
      </c>
      <c r="D11" s="21"/>
      <c r="E11" s="22"/>
      <c r="F11" s="22"/>
      <c r="G11" s="22"/>
      <c r="H11" s="23" t="s">
        <v>9</v>
      </c>
      <c r="I11" s="24">
        <f ca="1">TODAY()</f>
        <v>45828</v>
      </c>
      <c r="J11" s="25"/>
    </row>
    <row r="12" spans="2:10" x14ac:dyDescent="0.25">
      <c r="B12" s="26"/>
      <c r="J12" s="27"/>
    </row>
    <row r="13" spans="2:10" x14ac:dyDescent="0.25">
      <c r="B13" s="26"/>
      <c r="C13" s="28" t="s">
        <v>37</v>
      </c>
      <c r="D13" s="29"/>
      <c r="E13" s="78" t="str">
        <f>IF('PEDIDO FOLHA CLIENTE'!E13=0," ",'PEDIDO FOLHA CLIENTE'!E13)</f>
        <v xml:space="preserve"> </v>
      </c>
      <c r="F13" s="63"/>
      <c r="G13" s="63"/>
      <c r="H13" s="63"/>
      <c r="I13" s="64"/>
      <c r="J13" s="30"/>
    </row>
    <row r="14" spans="2:10" x14ac:dyDescent="0.25">
      <c r="B14" s="26"/>
      <c r="C14" s="28" t="s">
        <v>38</v>
      </c>
      <c r="D14" s="29"/>
      <c r="E14" s="78" t="str">
        <f>IF('PEDIDO FOLHA CLIENTE'!E14=0," ",'PEDIDO FOLHA CLIENTE'!E14)</f>
        <v xml:space="preserve"> </v>
      </c>
      <c r="F14" s="63"/>
      <c r="G14" s="63"/>
      <c r="H14" s="63"/>
      <c r="I14" s="64"/>
      <c r="J14" s="30"/>
    </row>
    <row r="15" spans="2:10" x14ac:dyDescent="0.25">
      <c r="B15" s="26"/>
      <c r="C15" s="31" t="s">
        <v>39</v>
      </c>
      <c r="E15" s="78" t="str">
        <f>IF('PEDIDO FOLHA CLIENTE'!E15=0," ",'PEDIDO FOLHA CLIENTE'!E15)</f>
        <v xml:space="preserve"> </v>
      </c>
      <c r="F15" s="63"/>
      <c r="G15" s="63"/>
      <c r="H15" s="63"/>
      <c r="I15" s="64"/>
      <c r="J15" s="30"/>
    </row>
    <row r="16" spans="2:10" x14ac:dyDescent="0.25">
      <c r="B16" s="26"/>
      <c r="C16" s="28" t="s">
        <v>40</v>
      </c>
      <c r="D16" s="29"/>
      <c r="E16" s="78" t="str">
        <f>IF('PEDIDO FOLHA CLIENTE'!E16=0," ",'PEDIDO FOLHA CLIENTE'!E16)</f>
        <v xml:space="preserve"> </v>
      </c>
      <c r="F16" s="543" t="s">
        <v>367</v>
      </c>
      <c r="G16" s="689" t="str">
        <f>IF('PEDIDO FOLHA CLIENTE'!G16=0," ",'PEDIDO FOLHA CLIENTE'!G16)</f>
        <v xml:space="preserve"> </v>
      </c>
      <c r="H16" s="689"/>
      <c r="I16" s="690"/>
      <c r="J16" s="30"/>
    </row>
    <row r="17" spans="2:11" x14ac:dyDescent="0.25">
      <c r="B17" s="26"/>
      <c r="C17" s="31" t="s">
        <v>41</v>
      </c>
      <c r="E17" s="78" t="str">
        <f>IF('PEDIDO FOLHA CLIENTE'!E17=0," ",'PEDIDO FOLHA CLIENTE'!E17)</f>
        <v xml:space="preserve"> </v>
      </c>
      <c r="F17" s="63"/>
      <c r="G17" s="63"/>
      <c r="H17" s="172" t="str">
        <f>'PEDIDO FOLHA CLIENTE'!H17</f>
        <v>Nascimento:</v>
      </c>
      <c r="I17" s="171" t="str">
        <f>IF('PEDIDO FOLHA CLIENTE'!I17&lt;&gt;0,'PEDIDO FOLHA CLIENTE'!I17,"")</f>
        <v/>
      </c>
      <c r="J17" s="30"/>
      <c r="K17" s="32"/>
    </row>
    <row r="18" spans="2:11" x14ac:dyDescent="0.25">
      <c r="B18" s="26"/>
      <c r="C18" s="28" t="s">
        <v>42</v>
      </c>
      <c r="D18" s="29"/>
      <c r="E18" s="78" t="str">
        <f>IF('PEDIDO FOLHA CLIENTE'!E18=0," ",'PEDIDO FOLHA CLIENTE'!E18)</f>
        <v xml:space="preserve"> </v>
      </c>
      <c r="F18" s="63"/>
      <c r="G18" s="63"/>
      <c r="H18" s="63"/>
      <c r="I18" s="64"/>
      <c r="J18" s="30"/>
    </row>
    <row r="19" spans="2:11" x14ac:dyDescent="0.25">
      <c r="B19" s="26"/>
      <c r="C19" s="28" t="s">
        <v>43</v>
      </c>
      <c r="D19" s="29"/>
      <c r="E19" s="78" t="str">
        <f>IF('PEDIDO FOLHA CLIENTE'!E19=0," ",'PEDIDO FOLHA CLIENTE'!E19)</f>
        <v xml:space="preserve"> </v>
      </c>
      <c r="F19" s="63"/>
      <c r="G19" s="63"/>
      <c r="H19" s="63"/>
      <c r="I19" s="64"/>
      <c r="J19" s="30"/>
    </row>
    <row r="20" spans="2:11" x14ac:dyDescent="0.25">
      <c r="B20" s="26"/>
      <c r="E20" s="54"/>
      <c r="F20" s="54"/>
      <c r="G20" s="54"/>
      <c r="H20" s="54"/>
      <c r="I20" s="54"/>
      <c r="J20" s="27"/>
    </row>
    <row r="21" spans="2:11" ht="16.5" thickBot="1" x14ac:dyDescent="0.3">
      <c r="B21" s="33"/>
      <c r="C21" s="17"/>
      <c r="D21" s="17"/>
      <c r="E21" s="58"/>
      <c r="F21" s="58"/>
      <c r="G21" s="58"/>
      <c r="H21" s="58"/>
      <c r="I21" s="58"/>
      <c r="J21" s="34"/>
    </row>
    <row r="22" spans="2:11" ht="16.5" thickBot="1" x14ac:dyDescent="0.3">
      <c r="E22" s="54"/>
      <c r="F22" s="54"/>
      <c r="G22" s="54"/>
      <c r="H22" s="54"/>
      <c r="I22" s="54"/>
    </row>
    <row r="23" spans="2:11" x14ac:dyDescent="0.25">
      <c r="B23" s="20"/>
      <c r="C23" s="21"/>
      <c r="D23" s="21"/>
      <c r="E23" s="59"/>
      <c r="F23" s="59"/>
      <c r="G23" s="59"/>
      <c r="H23" s="59"/>
      <c r="I23" s="59"/>
      <c r="J23" s="25"/>
    </row>
    <row r="24" spans="2:11" x14ac:dyDescent="0.25">
      <c r="B24" s="26"/>
      <c r="C24" s="28" t="s">
        <v>10</v>
      </c>
      <c r="D24" s="29"/>
      <c r="E24" s="123" t="str">
        <f>IF('INPUT FOLHA '!K7&lt;&gt;"",'INPUT FOLHA '!K7," ")</f>
        <v xml:space="preserve"> </v>
      </c>
      <c r="F24" s="123" t="str">
        <f>IF('INPUT FOLHA '!K8&lt;&gt;"",'INPUT FOLHA '!K8," ")</f>
        <v xml:space="preserve"> </v>
      </c>
      <c r="G24" s="123" t="str">
        <f>IF('INPUT FOLHA '!K9&lt;&gt;"",'INPUT FOLHA '!K9," ")</f>
        <v xml:space="preserve"> </v>
      </c>
      <c r="H24" s="123" t="str">
        <f>IF('INPUT FOLHA '!K10&lt;&gt;"",'INPUT FOLHA '!K10," ")</f>
        <v xml:space="preserve"> </v>
      </c>
      <c r="I24" s="123" t="str">
        <f>IF('INPUT FOLHA '!K11&lt;&gt;"",'INPUT FOLHA '!K11," ")</f>
        <v xml:space="preserve"> </v>
      </c>
      <c r="J24" s="27"/>
    </row>
    <row r="25" spans="2:11" x14ac:dyDescent="0.25">
      <c r="B25" s="26"/>
      <c r="C25" s="28" t="s">
        <v>52</v>
      </c>
      <c r="D25" s="35"/>
      <c r="E25" s="122" t="str">
        <f>IF('INPUT FOLHA '!H7&lt;&gt;"",'INPUT FOLHA '!H7,"")</f>
        <v/>
      </c>
      <c r="F25" s="122" t="str">
        <f>IF('INPUT FOLHA '!H8&lt;&gt;"",'INPUT FOLHA '!H8,"")</f>
        <v/>
      </c>
      <c r="G25" s="122" t="str">
        <f>IF('INPUT FOLHA '!H9&lt;&gt;"",'INPUT FOLHA '!H9,"")</f>
        <v/>
      </c>
      <c r="H25" s="122" t="str">
        <f>IF('INPUT FOLHA '!H10&lt;&gt;"",'INPUT FOLHA '!H10,"")</f>
        <v/>
      </c>
      <c r="I25" s="122" t="str">
        <f>IF('INPUT FOLHA '!H11&lt;&gt;"",'INPUT FOLHA '!H11,"")</f>
        <v/>
      </c>
      <c r="J25" s="27"/>
    </row>
    <row r="26" spans="2:11" x14ac:dyDescent="0.25">
      <c r="B26" s="26"/>
      <c r="C26" s="28" t="s">
        <v>53</v>
      </c>
      <c r="D26" s="35"/>
      <c r="E26" s="121" t="str">
        <f>IF('INPUT FOLHA '!J7&lt;&gt;"",'INPUT FOLHA '!J7,"")</f>
        <v/>
      </c>
      <c r="F26" s="121" t="str">
        <f>IF('INPUT FOLHA '!J8&lt;&gt;"",'INPUT FOLHA '!J8,"")</f>
        <v/>
      </c>
      <c r="G26" s="121" t="str">
        <f>IF('INPUT FOLHA '!J9=0," ",'INPUT FOLHA '!J9)</f>
        <v/>
      </c>
      <c r="H26" s="121" t="str">
        <f>IF('INPUT FOLHA '!J10=0," ",'INPUT FOLHA '!J10)</f>
        <v/>
      </c>
      <c r="I26" s="121" t="str">
        <f>IF('INPUT FOLHA '!J11=0," ",'INPUT FOLHA '!J11)</f>
        <v/>
      </c>
      <c r="J26" s="27"/>
    </row>
    <row r="27" spans="2:11" x14ac:dyDescent="0.25">
      <c r="B27" s="26"/>
      <c r="C27" s="28" t="s">
        <v>14</v>
      </c>
      <c r="D27" s="35"/>
      <c r="E27" s="78" t="str">
        <f>IF('PEDIDO FOLHA CLIENTE'!E27:I27=0," ",'PEDIDO FOLHA CLIENTE'!E27:I27)</f>
        <v>CORBELIA</v>
      </c>
      <c r="F27" s="79"/>
      <c r="G27" s="79"/>
      <c r="H27" s="79"/>
      <c r="I27" s="80"/>
      <c r="J27" s="27"/>
    </row>
    <row r="28" spans="2:11" ht="16.5" thickBot="1" x14ac:dyDescent="0.3">
      <c r="B28" s="33"/>
      <c r="C28" s="17"/>
      <c r="D28" s="17"/>
      <c r="E28" s="17"/>
      <c r="F28" s="17"/>
      <c r="G28" s="17"/>
      <c r="H28" s="17"/>
      <c r="I28" s="17"/>
      <c r="J28" s="34"/>
    </row>
    <row r="29" spans="2:11" ht="16.5" thickBot="1" x14ac:dyDescent="0.3"/>
    <row r="30" spans="2:11" x14ac:dyDescent="0.25">
      <c r="B30" s="20"/>
      <c r="C30" s="21"/>
      <c r="D30" s="36"/>
      <c r="E30" s="21"/>
      <c r="F30" s="21"/>
      <c r="G30" s="21"/>
      <c r="H30" s="21"/>
      <c r="I30" s="21"/>
      <c r="J30" s="25"/>
    </row>
    <row r="31" spans="2:11" x14ac:dyDescent="0.25">
      <c r="B31" s="37" t="s">
        <v>15</v>
      </c>
      <c r="D31" s="38" t="str">
        <f>'PEDIDO FOLHA CLIENTE'!D31</f>
        <v/>
      </c>
      <c r="E31" s="32"/>
      <c r="G31" s="39" t="s">
        <v>16</v>
      </c>
      <c r="H31" s="40" t="str">
        <f>IF('PEDIDO FOLHA CLIENTE'!H31=0," ",'PEDIDO FOLHA CLIENTE'!H31)</f>
        <v xml:space="preserve"> </v>
      </c>
      <c r="J31" s="27"/>
    </row>
    <row r="32" spans="2:11" x14ac:dyDescent="0.25">
      <c r="B32" s="37" t="s">
        <v>17</v>
      </c>
      <c r="D32" s="81" t="str">
        <f>IF('PEDIDO FOLHA CLIENTE'!D32=0," ",'PEDIDO FOLHA CLIENTE'!D32)</f>
        <v xml:space="preserve"> </v>
      </c>
      <c r="G32" s="39" t="s">
        <v>18</v>
      </c>
      <c r="H32" s="40" t="str">
        <f>IF('PEDIDO FOLHA CLIENTE'!H32=0," ",'PEDIDO FOLHA CLIENTE'!H32)</f>
        <v xml:space="preserve"> </v>
      </c>
      <c r="J32" s="27"/>
    </row>
    <row r="33" spans="2:10" x14ac:dyDescent="0.25">
      <c r="B33" s="37" t="s">
        <v>19</v>
      </c>
      <c r="D33" s="81" t="str">
        <f>IF('PEDIDO FOLHA CLIENTE'!D33=0," ",'PEDIDO FOLHA CLIENTE'!D33)</f>
        <v xml:space="preserve"> </v>
      </c>
      <c r="E33" s="41" t="s">
        <v>20</v>
      </c>
      <c r="G33" s="39" t="s">
        <v>21</v>
      </c>
      <c r="H33" s="40" t="str">
        <f>IF('PEDIDO FOLHA CLIENTE'!H33=0," ",'PEDIDO FOLHA CLIENTE'!H33)</f>
        <v xml:space="preserve"> </v>
      </c>
      <c r="J33" s="27"/>
    </row>
    <row r="34" spans="2:10" x14ac:dyDescent="0.25">
      <c r="B34" s="37" t="s">
        <v>23</v>
      </c>
      <c r="D34" s="32" t="str">
        <f>IF('PEDIDO FOLHA CLIENTE'!D34=0," ",'PEDIDO FOLHA CLIENTE'!D34)</f>
        <v xml:space="preserve"> </v>
      </c>
      <c r="E34" s="42"/>
      <c r="G34" s="43" t="str">
        <f>IF('INPUT FOLHA '!E4="N","(**)", "")</f>
        <v/>
      </c>
      <c r="H34" s="44"/>
      <c r="J34" s="27"/>
    </row>
    <row r="35" spans="2:10" x14ac:dyDescent="0.25">
      <c r="B35" s="37" t="s">
        <v>24</v>
      </c>
      <c r="D35" s="32" t="str">
        <f>IF('PEDIDO FOLHA CLIENTE'!D35=0," ",'PEDIDO FOLHA CLIENTE'!D35)</f>
        <v>VICTOR</v>
      </c>
      <c r="E35" s="42"/>
      <c r="G35" s="39"/>
      <c r="H35" s="44"/>
      <c r="J35" s="27"/>
    </row>
    <row r="36" spans="2:10" ht="16.5" thickBot="1" x14ac:dyDescent="0.3">
      <c r="B36" s="33"/>
      <c r="C36" s="17"/>
      <c r="D36" s="17"/>
      <c r="E36" s="17"/>
      <c r="F36" s="17"/>
      <c r="G36" s="17"/>
      <c r="H36" s="17"/>
      <c r="I36" s="17"/>
      <c r="J36" s="34"/>
    </row>
    <row r="37" spans="2:10" ht="16.5" thickBot="1" x14ac:dyDescent="0.3"/>
    <row r="38" spans="2:10" x14ac:dyDescent="0.25">
      <c r="B38" s="668" t="s">
        <v>25</v>
      </c>
      <c r="C38" s="669"/>
      <c r="D38" s="45" t="s">
        <v>26</v>
      </c>
      <c r="E38" s="669" t="s">
        <v>27</v>
      </c>
      <c r="F38" s="669"/>
      <c r="G38" s="669"/>
      <c r="H38" s="669"/>
      <c r="I38" s="45" t="s">
        <v>28</v>
      </c>
      <c r="J38" s="46" t="s">
        <v>46</v>
      </c>
    </row>
    <row r="39" spans="2:10" x14ac:dyDescent="0.25">
      <c r="B39" s="772">
        <f>'INPUT FOLHA '!B27</f>
        <v>0</v>
      </c>
      <c r="C39" s="773"/>
      <c r="D39" s="47" t="s">
        <v>30</v>
      </c>
      <c r="E39" s="774" t="s">
        <v>49</v>
      </c>
      <c r="F39" s="691"/>
      <c r="G39" s="691"/>
      <c r="H39" s="701"/>
      <c r="I39" s="48" t="e">
        <f>J39/B39</f>
        <v>#DIV/0!</v>
      </c>
      <c r="J39" s="49">
        <f>'PEDIDO FOLHA CLIENTE'!J39-J40</f>
        <v>0</v>
      </c>
    </row>
    <row r="40" spans="2:10" x14ac:dyDescent="0.25">
      <c r="B40" s="775">
        <f>'INPUT FOLHA '!C27</f>
        <v>0</v>
      </c>
      <c r="C40" s="776"/>
      <c r="D40" s="47" t="s">
        <v>35</v>
      </c>
      <c r="E40" s="774" t="s">
        <v>50</v>
      </c>
      <c r="F40" s="691"/>
      <c r="G40" s="691"/>
      <c r="H40" s="701"/>
      <c r="I40" s="50">
        <f>'BANCO DE DADOS'!B11</f>
        <v>70</v>
      </c>
      <c r="J40" s="49">
        <f t="shared" ref="J40:J46" si="0">I40*B40</f>
        <v>0</v>
      </c>
    </row>
    <row r="41" spans="2:10" x14ac:dyDescent="0.25">
      <c r="B41" s="781">
        <f>'PEDIDO FOLHA CLIENTE'!B41:C41</f>
        <v>0</v>
      </c>
      <c r="C41" s="782"/>
      <c r="D41" s="47" t="str">
        <f>IF('PEDIDO FOLHA CLIENTE'!D41=0," ",'PEDIDO FOLHA CLIENTE'!D41)</f>
        <v xml:space="preserve"> </v>
      </c>
      <c r="E41" s="774" t="str">
        <f>IF('PEDIDO FOLHA CLIENTE'!E41:H41=0," ",'PEDIDO FOLHA CLIENTE'!E41:H41)</f>
        <v xml:space="preserve"> </v>
      </c>
      <c r="F41" s="691"/>
      <c r="G41" s="691"/>
      <c r="H41" s="701"/>
      <c r="I41" s="48">
        <f>'PEDIDO FOLHA CLIENTE'!I41</f>
        <v>0</v>
      </c>
      <c r="J41" s="49">
        <f t="shared" si="0"/>
        <v>0</v>
      </c>
    </row>
    <row r="42" spans="2:10" x14ac:dyDescent="0.25">
      <c r="B42" s="781">
        <f>'PEDIDO FOLHA CLIENTE'!B42:C42</f>
        <v>0</v>
      </c>
      <c r="C42" s="782"/>
      <c r="D42" s="47" t="str">
        <f>IF('PEDIDO FOLHA CLIENTE'!D42=0," ",'PEDIDO FOLHA CLIENTE'!D42)</f>
        <v xml:space="preserve"> </v>
      </c>
      <c r="E42" s="774" t="str">
        <f>IF('PEDIDO FOLHA CLIENTE'!E42:H42=0," ",'PEDIDO FOLHA CLIENTE'!E42:H42)</f>
        <v xml:space="preserve"> </v>
      </c>
      <c r="F42" s="691"/>
      <c r="G42" s="691"/>
      <c r="H42" s="701"/>
      <c r="I42" s="48">
        <f>'PEDIDO FOLHA CLIENTE'!I42</f>
        <v>0</v>
      </c>
      <c r="J42" s="49">
        <f t="shared" si="0"/>
        <v>0</v>
      </c>
    </row>
    <row r="43" spans="2:10" x14ac:dyDescent="0.25">
      <c r="B43" s="781">
        <f>'PEDIDO FOLHA CLIENTE'!B43:C43</f>
        <v>0</v>
      </c>
      <c r="C43" s="782"/>
      <c r="D43" s="47" t="str">
        <f>IF('PEDIDO FOLHA CLIENTE'!D43=0," ",'PEDIDO FOLHA CLIENTE'!D43)</f>
        <v xml:space="preserve"> </v>
      </c>
      <c r="E43" s="774" t="str">
        <f>IF('PEDIDO FOLHA CLIENTE'!E43:H43=0," ",'PEDIDO FOLHA CLIENTE'!E43:H43)</f>
        <v xml:space="preserve"> </v>
      </c>
      <c r="F43" s="691"/>
      <c r="G43" s="691"/>
      <c r="H43" s="701"/>
      <c r="I43" s="48">
        <f>'PEDIDO FOLHA CLIENTE'!I43</f>
        <v>0</v>
      </c>
      <c r="J43" s="49">
        <f t="shared" si="0"/>
        <v>0</v>
      </c>
    </row>
    <row r="44" spans="2:10" x14ac:dyDescent="0.25">
      <c r="B44" s="781">
        <f>'PEDIDO FOLHA CLIENTE'!B44:C44</f>
        <v>0</v>
      </c>
      <c r="C44" s="782"/>
      <c r="D44" s="47" t="str">
        <f>IF('PEDIDO FOLHA CLIENTE'!D44=0," ",'PEDIDO FOLHA CLIENTE'!D44)</f>
        <v xml:space="preserve"> </v>
      </c>
      <c r="E44" s="774" t="str">
        <f>IF('PEDIDO FOLHA CLIENTE'!E44:H44=0," ",'PEDIDO FOLHA CLIENTE'!E44:H44)</f>
        <v xml:space="preserve"> </v>
      </c>
      <c r="F44" s="691"/>
      <c r="G44" s="691"/>
      <c r="H44" s="701"/>
      <c r="I44" s="48">
        <f>'PEDIDO FOLHA CLIENTE'!I44</f>
        <v>0</v>
      </c>
      <c r="J44" s="49">
        <f t="shared" si="0"/>
        <v>0</v>
      </c>
    </row>
    <row r="45" spans="2:10" x14ac:dyDescent="0.25">
      <c r="B45" s="781">
        <f>'PEDIDO FOLHA CLIENTE'!B45:C45</f>
        <v>0</v>
      </c>
      <c r="C45" s="782"/>
      <c r="D45" s="47" t="str">
        <f>IF('PEDIDO FOLHA CLIENTE'!D45=0," ",'PEDIDO FOLHA CLIENTE'!D45)</f>
        <v xml:space="preserve"> </v>
      </c>
      <c r="E45" s="774" t="str">
        <f>IF('PEDIDO FOLHA CLIENTE'!E45:H45=0," ",'PEDIDO FOLHA CLIENTE'!E45:H45)</f>
        <v xml:space="preserve"> </v>
      </c>
      <c r="F45" s="691"/>
      <c r="G45" s="691"/>
      <c r="H45" s="701"/>
      <c r="I45" s="48">
        <f>'PEDIDO FOLHA CLIENTE'!I45</f>
        <v>0</v>
      </c>
      <c r="J45" s="49">
        <f t="shared" si="0"/>
        <v>0</v>
      </c>
    </row>
    <row r="46" spans="2:10" ht="16.5" thickBot="1" x14ac:dyDescent="0.3">
      <c r="B46" s="781">
        <f>'PEDIDO FOLHA CLIENTE'!B46:C46</f>
        <v>0</v>
      </c>
      <c r="C46" s="782"/>
      <c r="D46" s="47" t="str">
        <f>IF('PEDIDO FOLHA CLIENTE'!D46=0," ",'PEDIDO FOLHA CLIENTE'!D46)</f>
        <v xml:space="preserve"> </v>
      </c>
      <c r="E46" s="774" t="str">
        <f>IF('PEDIDO FOLHA CLIENTE'!E46:H46=0," ",'PEDIDO FOLHA CLIENTE'!E46:H46)</f>
        <v xml:space="preserve"> </v>
      </c>
      <c r="F46" s="691"/>
      <c r="G46" s="691"/>
      <c r="H46" s="701"/>
      <c r="I46" s="48">
        <f>'PEDIDO FOLHA CLIENTE'!I46</f>
        <v>0</v>
      </c>
      <c r="J46" s="49">
        <f t="shared" si="0"/>
        <v>0</v>
      </c>
    </row>
    <row r="47" spans="2:10" ht="16.5" thickBot="1" x14ac:dyDescent="0.3">
      <c r="B47" s="645" t="e">
        <f>I47/B39</f>
        <v>#DIV/0!</v>
      </c>
      <c r="C47" s="646"/>
      <c r="E47" s="647" t="s">
        <v>31</v>
      </c>
      <c r="F47" s="647"/>
      <c r="G47" s="647"/>
      <c r="H47" s="647"/>
      <c r="I47" s="648">
        <f>SUM(J39:J46)</f>
        <v>0</v>
      </c>
      <c r="J47" s="649"/>
    </row>
    <row r="48" spans="2:10" x14ac:dyDescent="0.25">
      <c r="B48" s="629"/>
      <c r="C48" s="629"/>
      <c r="D48" s="32"/>
      <c r="E48" s="630"/>
      <c r="F48" s="630"/>
      <c r="G48" s="630"/>
      <c r="H48" s="630"/>
    </row>
    <row r="49" spans="2:10" x14ac:dyDescent="0.25">
      <c r="B49" s="51"/>
      <c r="C49" s="51"/>
      <c r="E49" s="52"/>
      <c r="F49" s="52"/>
      <c r="G49" s="52"/>
      <c r="H49" s="52"/>
    </row>
    <row r="50" spans="2:10" x14ac:dyDescent="0.25">
      <c r="B50" s="68" t="str">
        <f>IF('PEDIDO FOLHA CLIENTE'!B50=0," ",'PEDIDO FOLHA CLIENTE'!B50)</f>
        <v xml:space="preserve"> </v>
      </c>
      <c r="C50" s="60"/>
      <c r="D50" s="61"/>
      <c r="E50" s="62"/>
      <c r="F50" s="62"/>
      <c r="G50" s="62"/>
      <c r="H50" s="62"/>
      <c r="I50" s="63"/>
      <c r="J50" s="64"/>
    </row>
    <row r="51" spans="2:10" x14ac:dyDescent="0.25">
      <c r="B51" s="68" t="str">
        <f>IF('PEDIDO FOLHA CLIENTE'!B51=0," ",'PEDIDO FOLHA CLIENTE'!B51)</f>
        <v xml:space="preserve"> </v>
      </c>
      <c r="C51" s="65"/>
      <c r="D51" s="66"/>
      <c r="E51" s="65"/>
      <c r="F51" s="65"/>
      <c r="G51" s="65"/>
      <c r="H51" s="65"/>
      <c r="I51" s="66"/>
      <c r="J51" s="67"/>
    </row>
    <row r="52" spans="2:10" x14ac:dyDescent="0.25">
      <c r="B52" s="68" t="str">
        <f>IF('PEDIDO FOLHA CLIENTE'!B52=0," ",'PEDIDO FOLHA CLIENTE'!B52)</f>
        <v xml:space="preserve"> </v>
      </c>
      <c r="C52" s="63"/>
      <c r="D52" s="63"/>
      <c r="E52" s="63"/>
      <c r="F52" s="63"/>
      <c r="G52" s="63"/>
      <c r="H52" s="63"/>
      <c r="I52" s="63"/>
      <c r="J52" s="64"/>
    </row>
    <row r="53" spans="2:10" x14ac:dyDescent="0.25">
      <c r="B53" s="778"/>
      <c r="C53" s="779"/>
      <c r="D53" s="779"/>
      <c r="E53" s="779"/>
      <c r="F53" s="779"/>
      <c r="G53" s="779"/>
      <c r="H53" s="779"/>
      <c r="I53" s="779"/>
      <c r="J53" s="780"/>
    </row>
    <row r="54" spans="2:10" x14ac:dyDescent="0.25">
      <c r="B54" s="344" t="s">
        <v>196</v>
      </c>
      <c r="C54" s="54"/>
      <c r="D54" s="54"/>
      <c r="E54" s="54"/>
      <c r="F54" s="54"/>
      <c r="G54" s="54"/>
      <c r="H54" s="54"/>
      <c r="I54" s="54"/>
      <c r="J54" s="54"/>
    </row>
    <row r="56" spans="2:10" x14ac:dyDescent="0.25">
      <c r="B56" s="55" t="s">
        <v>32</v>
      </c>
      <c r="G56" s="55" t="s">
        <v>33</v>
      </c>
    </row>
    <row r="57" spans="2:10" x14ac:dyDescent="0.25">
      <c r="B57" s="55" t="s">
        <v>34</v>
      </c>
      <c r="G57" s="16" t="str">
        <f>E13</f>
        <v xml:space="preserve"> </v>
      </c>
    </row>
  </sheetData>
  <sheetProtection selectLockedCells="1"/>
  <mergeCells count="31">
    <mergeCell ref="B38:C38"/>
    <mergeCell ref="E38:H38"/>
    <mergeCell ref="B7:J7"/>
    <mergeCell ref="B8:D8"/>
    <mergeCell ref="E8:G8"/>
    <mergeCell ref="H8:J8"/>
    <mergeCell ref="B9:E9"/>
    <mergeCell ref="G9:J9"/>
    <mergeCell ref="G16:I16"/>
    <mergeCell ref="B39:C39"/>
    <mergeCell ref="E39:H39"/>
    <mergeCell ref="B40:C40"/>
    <mergeCell ref="E40:H40"/>
    <mergeCell ref="B41:C41"/>
    <mergeCell ref="E41:H41"/>
    <mergeCell ref="B53:J53"/>
    <mergeCell ref="I47:J47"/>
    <mergeCell ref="B48:C48"/>
    <mergeCell ref="E48:H48"/>
    <mergeCell ref="B42:C42"/>
    <mergeCell ref="E42:H42"/>
    <mergeCell ref="B43:C43"/>
    <mergeCell ref="E43:H43"/>
    <mergeCell ref="B44:C44"/>
    <mergeCell ref="B45:C45"/>
    <mergeCell ref="E44:H44"/>
    <mergeCell ref="E45:H45"/>
    <mergeCell ref="B46:C46"/>
    <mergeCell ref="E46:H46"/>
    <mergeCell ref="B47:C47"/>
    <mergeCell ref="E47:H47"/>
  </mergeCells>
  <pageMargins left="0.51181102362204722" right="0.51181102362204722" top="0.78740157480314965" bottom="0.78740157480314965" header="0.31496062992125984" footer="0.31496062992125984"/>
  <pageSetup paperSize="9" scale="7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10">
    <pageSetUpPr fitToPage="1"/>
  </sheetPr>
  <dimension ref="A1:R28"/>
  <sheetViews>
    <sheetView showGridLines="0" zoomScale="82" zoomScaleNormal="82" workbookViewId="0">
      <selection activeCell="C2" sqref="C2"/>
    </sheetView>
  </sheetViews>
  <sheetFormatPr defaultColWidth="0" defaultRowHeight="17.25" x14ac:dyDescent="0.3"/>
  <cols>
    <col min="1" max="1" width="23.140625" style="357" customWidth="1"/>
    <col min="2" max="2" width="16.5703125" style="357" customWidth="1"/>
    <col min="3" max="3" width="19" style="357" bestFit="1" customWidth="1"/>
    <col min="4" max="4" width="21" style="357" bestFit="1" customWidth="1"/>
    <col min="5" max="5" width="26.7109375" style="357" bestFit="1" customWidth="1"/>
    <col min="6" max="6" width="19.42578125" style="357" bestFit="1" customWidth="1"/>
    <col min="7" max="7" width="12.42578125" style="357" bestFit="1" customWidth="1"/>
    <col min="8" max="8" width="9.7109375" style="357" bestFit="1" customWidth="1"/>
    <col min="9" max="9" width="8.28515625" style="357" bestFit="1" customWidth="1"/>
    <col min="10" max="10" width="16" style="357" bestFit="1" customWidth="1"/>
    <col min="11" max="11" width="11.7109375" style="357" bestFit="1" customWidth="1"/>
    <col min="12" max="12" width="19.28515625" style="357" bestFit="1" customWidth="1"/>
    <col min="13" max="13" width="17.28515625" style="357" bestFit="1" customWidth="1"/>
    <col min="14" max="14" width="32.28515625" style="357" bestFit="1" customWidth="1"/>
    <col min="15" max="15" width="25" style="357" bestFit="1" customWidth="1"/>
    <col min="16" max="16" width="23.5703125" style="357" bestFit="1" customWidth="1"/>
    <col min="17" max="17" width="22.5703125" style="357" bestFit="1" customWidth="1"/>
    <col min="18" max="16384" width="8.85546875" style="357" hidden="1"/>
  </cols>
  <sheetData>
    <row r="1" spans="1:18" ht="41.25" customHeight="1" thickBot="1" x14ac:dyDescent="0.35">
      <c r="A1" s="356" t="s">
        <v>386</v>
      </c>
      <c r="G1" s="560"/>
    </row>
    <row r="2" spans="1:18" ht="19.5" thickBot="1" x14ac:dyDescent="0.35">
      <c r="B2" s="378" t="s">
        <v>214</v>
      </c>
      <c r="C2" s="268" t="s">
        <v>397</v>
      </c>
      <c r="D2" s="360"/>
      <c r="E2" s="408" t="s">
        <v>234</v>
      </c>
      <c r="F2" s="409">
        <v>45899</v>
      </c>
      <c r="G2" s="560">
        <f>ROUND(IF(_xlfn.DAYS(F2,F3)&gt;0,POWER(1.015,(F2-F3)/30),1),3)</f>
        <v>1.1279999999999999</v>
      </c>
    </row>
    <row r="3" spans="1:18" ht="19.5" thickBot="1" x14ac:dyDescent="0.35">
      <c r="B3" s="379" t="s">
        <v>166</v>
      </c>
      <c r="C3" s="269">
        <v>40</v>
      </c>
      <c r="D3" s="380"/>
      <c r="E3" s="410" t="s">
        <v>235</v>
      </c>
      <c r="F3" s="411">
        <f>'BANCO DE DADOS'!B27</f>
        <v>45657</v>
      </c>
      <c r="J3" s="450"/>
    </row>
    <row r="4" spans="1:18" ht="19.5" thickBot="1" x14ac:dyDescent="0.35">
      <c r="B4" s="379" t="s">
        <v>73</v>
      </c>
      <c r="C4" s="268">
        <v>3</v>
      </c>
      <c r="D4" s="359"/>
      <c r="E4" s="359"/>
      <c r="F4" s="359" t="str">
        <f>IF(AND(C2&lt;&gt;"",C3&lt;&gt;"",C4&lt;&gt;"",C5&lt;&gt;"",C6&lt;&gt;"",C7&lt;&gt;"",C8&lt;&gt;"",F2=""),"Digite o vencimento do pedido","")</f>
        <v/>
      </c>
      <c r="J4" s="451"/>
    </row>
    <row r="5" spans="1:18" ht="19.5" thickBot="1" x14ac:dyDescent="0.35">
      <c r="B5" s="379" t="s">
        <v>80</v>
      </c>
      <c r="C5" s="269">
        <f>72.8+9.1</f>
        <v>81.899999999999991</v>
      </c>
      <c r="D5" s="359"/>
      <c r="E5" s="378" t="s">
        <v>385</v>
      </c>
      <c r="F5" s="269" t="s">
        <v>398</v>
      </c>
      <c r="J5" s="451"/>
      <c r="K5" s="449"/>
    </row>
    <row r="6" spans="1:18" ht="19.5" thickBot="1" x14ac:dyDescent="0.35">
      <c r="B6" s="379" t="s">
        <v>176</v>
      </c>
      <c r="C6" s="269" t="s">
        <v>396</v>
      </c>
      <c r="D6" s="360" t="str">
        <f>IF(AND(C6="S",OR(G10="S",G11="S",G12="S",G13="S",G14="S",G15="S",G16="S")),"SE FOR COBRADO FRETE, NÃO É NECESSÁRIO SERVIÇO DE PÁ CARREGADEIRA","")</f>
        <v/>
      </c>
      <c r="E6" s="378" t="s">
        <v>359</v>
      </c>
      <c r="F6" s="269" t="s">
        <v>149</v>
      </c>
    </row>
    <row r="7" spans="1:18" ht="19.5" thickBot="1" x14ac:dyDescent="0.35">
      <c r="B7" s="379" t="s">
        <v>179</v>
      </c>
      <c r="C7" s="269">
        <v>2</v>
      </c>
      <c r="D7" s="360"/>
      <c r="E7" s="358">
        <f>IF(OR(C2="",C4=0,C5=0,C6="",C7=0,C8="",F2=""),1,0)</f>
        <v>0</v>
      </c>
      <c r="F7" s="359"/>
    </row>
    <row r="8" spans="1:18" ht="19.5" thickBot="1" x14ac:dyDescent="0.35">
      <c r="B8" s="379" t="s">
        <v>107</v>
      </c>
      <c r="C8" s="568" t="s">
        <v>396</v>
      </c>
      <c r="D8" s="361" t="str">
        <f>IF(C8="n","NÃO SERÁ EMITIDA NOTA FISCAL","")</f>
        <v/>
      </c>
      <c r="E8" s="359"/>
      <c r="F8" s="360"/>
    </row>
    <row r="9" spans="1:18" s="362" customFormat="1" x14ac:dyDescent="0.3">
      <c r="A9" s="570" t="s">
        <v>213</v>
      </c>
      <c r="B9" s="571" t="s">
        <v>219</v>
      </c>
      <c r="C9" s="571" t="str">
        <f>"Area a Alicar (ha)"</f>
        <v>Area a Alicar (ha)</v>
      </c>
      <c r="D9" s="571" t="s">
        <v>84</v>
      </c>
      <c r="E9" s="571" t="s">
        <v>81</v>
      </c>
      <c r="F9" s="571" t="s">
        <v>74</v>
      </c>
      <c r="G9" s="571" t="s">
        <v>75</v>
      </c>
      <c r="H9" s="571" t="s">
        <v>76</v>
      </c>
      <c r="I9" s="571" t="s">
        <v>94</v>
      </c>
      <c r="J9" s="571" t="s">
        <v>79</v>
      </c>
      <c r="K9" s="571" t="s">
        <v>170</v>
      </c>
      <c r="L9" s="571" t="s">
        <v>77</v>
      </c>
      <c r="M9" s="571" t="s">
        <v>78</v>
      </c>
      <c r="N9" s="571" t="s">
        <v>83</v>
      </c>
      <c r="O9" s="571" t="s">
        <v>85</v>
      </c>
      <c r="P9" s="571" t="s">
        <v>86</v>
      </c>
      <c r="Q9" s="572" t="s">
        <v>82</v>
      </c>
      <c r="R9" s="566" t="s">
        <v>372</v>
      </c>
    </row>
    <row r="10" spans="1:18" x14ac:dyDescent="0.3">
      <c r="A10" s="573" t="s">
        <v>206</v>
      </c>
      <c r="B10" s="564" t="s">
        <v>399</v>
      </c>
      <c r="C10" s="368">
        <v>72.819999999999993</v>
      </c>
      <c r="D10" s="363">
        <f>ROUND(C10/2.42,2)</f>
        <v>30.09</v>
      </c>
      <c r="E10" s="364">
        <f t="shared" ref="E10:E16" si="0">C10/C$5</f>
        <v>0.88913308913308919</v>
      </c>
      <c r="F10" s="365">
        <f>IF(C10&gt;0,IF(OR(A10="Cama de Frango", A10="Pó de Rocha"),'BANCO DE DADOS'!B$24,IF(H10/(C10+M10)&gt;=5.5,'BANCO DE DADOS'!B$24*0.75,IF($C$4=1,'BANCO DE DADOS'!$B$16,IF($C$4&gt;=3,'BANCO DE DADOS'!$B$18,'BANCO DE DADOS'!$B$17)))))*$G$2</f>
        <v>293.27999999999997</v>
      </c>
      <c r="G10" s="536" t="s">
        <v>392</v>
      </c>
      <c r="H10" s="615">
        <f>11.5+163</f>
        <v>174.5</v>
      </c>
      <c r="I10" s="366">
        <f>IF(A10="Cama de Frango",IF(H10/8.5&gt;INT(H10/8.5),INT(H10/8.5)+1,H10/8.5),IF(H10/13&gt;INT(H10/13),INT(H10/13)+1,H10/13))</f>
        <v>14</v>
      </c>
      <c r="J10" s="367"/>
      <c r="K10" s="366">
        <f>J10*I10*2</f>
        <v>0</v>
      </c>
      <c r="L10" s="536"/>
      <c r="M10" s="367"/>
      <c r="N10" s="363">
        <f>IF(L10="S",IF(E10&lt;80%,M10/2.42,M10*(1-E10)/2.42),0)</f>
        <v>0</v>
      </c>
      <c r="O10" s="365">
        <f>(IF(G10="s",IF(I10*'BANCO DE DADOS'!$B$19&gt;I10*J10*2*'BANCO DE DADOS'!$B$21,I10*'BANCO DE DADOS'!$B$19,I10*J10*2*'BANCO DE DADOS'!$B$21)))*$G$2</f>
        <v>0</v>
      </c>
      <c r="P10" s="365">
        <f>IF(C10&gt;0,IF(OR(A10="Cama de Frango",A10="Pó de Rocha"),IF(H10*F10&lt;'BANCO DE DADOS'!B$18*'INPUT ATV'!D10*G2,'BANCO DE DADOS'!B$18*'INPUT ATV'!D10*G2,H10*F10),IF(H10/(C10+M10)&gt;=5.5,F10*H10,F10*D10)),0)</f>
        <v>8824.7951999999987</v>
      </c>
      <c r="Q10" s="574">
        <f t="shared" ref="Q10:Q16" si="1">P10+O10</f>
        <v>8824.7951999999987</v>
      </c>
      <c r="R10" s="567">
        <f>IF(OR(A10="Cama de Frango",A10="Pó de Rocha"),H10/(200*$C$7),D10/(28*$C$7))</f>
        <v>0.53732142857142862</v>
      </c>
    </row>
    <row r="11" spans="1:18" x14ac:dyDescent="0.3">
      <c r="A11" s="575" t="s">
        <v>206</v>
      </c>
      <c r="B11" s="564" t="s">
        <v>400</v>
      </c>
      <c r="C11" s="196">
        <v>9.1</v>
      </c>
      <c r="D11" s="363">
        <f t="shared" ref="D11:D16" si="2">ROUND(C11/2.42,2)</f>
        <v>3.76</v>
      </c>
      <c r="E11" s="364">
        <f t="shared" si="0"/>
        <v>0.11111111111111112</v>
      </c>
      <c r="F11" s="365">
        <f>IF(C11&gt;0,IF(OR(A11="Cama de Frango", A11="Pó de Rocha"),'BANCO DE DADOS'!B$24,IF(H11/(C11+M11)&gt;=5.5,'BANCO DE DADOS'!B$24*0.75,IF($C$4=1,'BANCO DE DADOS'!$B$16,IF($C$4&gt;=3,'BANCO DE DADOS'!$B$18,'BANCO DE DADOS'!$B$17)))))*$G$2</f>
        <v>293.27999999999997</v>
      </c>
      <c r="G11" s="536" t="s">
        <v>392</v>
      </c>
      <c r="H11" s="367">
        <v>12.5</v>
      </c>
      <c r="I11" s="366">
        <f>IF(A11="Cama de Frango",IF(H11/8.5&gt;INT(H11/8.5),INT(H11/8.5)+1,H11/8.5),IF(H11/13&gt;INT(H11/13),INT(H11/13)+1,H11/13))</f>
        <v>1</v>
      </c>
      <c r="J11" s="155"/>
      <c r="K11" s="366">
        <f t="shared" ref="K11:K16" si="3">J11*I11*2</f>
        <v>0</v>
      </c>
      <c r="L11" s="536"/>
      <c r="M11" s="367"/>
      <c r="N11" s="363">
        <f t="shared" ref="N11:N16" si="4">IF(L11="S",IF(E11&lt;80%,M11/2.42,M11*(1-E11)/2.42),0)</f>
        <v>0</v>
      </c>
      <c r="O11" s="365">
        <f>(IF(G11="s",IF(I11*'BANCO DE DADOS'!$B$19&gt;I11*J11*2*'BANCO DE DADOS'!$B$21,I11*'BANCO DE DADOS'!$B$19,I11*J11*2*'BANCO DE DADOS'!$B$21)))*$G$2</f>
        <v>0</v>
      </c>
      <c r="P11" s="365">
        <f>IF(C11&gt;0,IF(OR(A11="Cama de Frango",A11="Pó de Rocha"),IF(H11*F11&lt;'BANCO DE DADOS'!B$18*'INPUT ATV'!D11*G3,'BANCO DE DADOS'!B$18*'INPUT ATV'!D11*G3,H11*F11),IF(H11/(C11+M11)&gt;=5.5,F11*H11,F11*D11)),0)</f>
        <v>1102.7327999999998</v>
      </c>
      <c r="Q11" s="574">
        <f t="shared" si="1"/>
        <v>1102.7327999999998</v>
      </c>
      <c r="R11" s="567">
        <f t="shared" ref="R11:R16" si="5">IF(OR(A11="Cama de Frango",A11="Pó de Rocha"),H11/(200*$C$7),D11/(28*$C$7))</f>
        <v>6.7142857142857143E-2</v>
      </c>
    </row>
    <row r="12" spans="1:18" x14ac:dyDescent="0.3">
      <c r="A12" s="573"/>
      <c r="B12" s="533"/>
      <c r="C12" s="368"/>
      <c r="D12" s="363">
        <f t="shared" si="2"/>
        <v>0</v>
      </c>
      <c r="E12" s="364">
        <f t="shared" si="0"/>
        <v>0</v>
      </c>
      <c r="F12" s="365">
        <f>IF(C12&gt;0,IF(OR(A12="Cama de Frango", A12="Pó de Rocha"),'BANCO DE DADOS'!B$24,IF(H12/(C12+M12)&gt;=5.5,'BANCO DE DADOS'!B$24*0.75,IF($C$4=1,'BANCO DE DADOS'!$B$16,IF($C$4&gt;=3,'BANCO DE DADOS'!$B$18,'BANCO DE DADOS'!$B$17)))))*$G$2</f>
        <v>0</v>
      </c>
      <c r="G12" s="536"/>
      <c r="H12" s="155"/>
      <c r="I12" s="366">
        <f t="shared" ref="I12:I16" si="6">IF(A12="Cama de Frango",IF(H12/8.5&gt;INT(H12/8.5),INT(H12/8.5)+1,H12/8.5),IF(H12/13&gt;INT(H12/13),INT(H12/13)+1,H12/13))</f>
        <v>0</v>
      </c>
      <c r="J12" s="155"/>
      <c r="K12" s="366">
        <f t="shared" si="3"/>
        <v>0</v>
      </c>
      <c r="L12" s="196"/>
      <c r="M12" s="367"/>
      <c r="N12" s="363">
        <f t="shared" si="4"/>
        <v>0</v>
      </c>
      <c r="O12" s="365">
        <f>(IF(G12="s",IF(I12*'BANCO DE DADOS'!$B$19&gt;I12*J12*2*'BANCO DE DADOS'!$B$21,I12*'BANCO DE DADOS'!$B$19,I12*J12*2*'BANCO DE DADOS'!$B$21)))*$G$2</f>
        <v>0</v>
      </c>
      <c r="P12" s="365">
        <f>IF(C12&gt;0,IF(OR(A12="Cama de Frango",A12="Pó de Rocha"),IF(H12*F12&lt;'BANCO DE DADOS'!B$18*'INPUT ATV'!D12*G4,'BANCO DE DADOS'!B$18*'INPUT ATV'!D12*G4,H12*F12),IF(H12/(C12+M12)&gt;=5.5,F12*H12,F12*D12)),0)</f>
        <v>0</v>
      </c>
      <c r="Q12" s="574">
        <f t="shared" si="1"/>
        <v>0</v>
      </c>
      <c r="R12" s="567">
        <f t="shared" si="5"/>
        <v>0</v>
      </c>
    </row>
    <row r="13" spans="1:18" x14ac:dyDescent="0.3">
      <c r="A13" s="573"/>
      <c r="B13" s="533"/>
      <c r="C13" s="368"/>
      <c r="D13" s="363">
        <f t="shared" si="2"/>
        <v>0</v>
      </c>
      <c r="E13" s="364">
        <f t="shared" si="0"/>
        <v>0</v>
      </c>
      <c r="F13" s="365">
        <f>IF(C13&gt;0,IF(OR(A13="Cama de Frango", A13="Pó de Rocha"),'BANCO DE DADOS'!B$24,IF(H13/(C13+M13)&gt;=5.5,'BANCO DE DADOS'!B$24*0.75,IF($C$4=1,'BANCO DE DADOS'!$B$16,IF($C$4&gt;=3,'BANCO DE DADOS'!$B$18,'BANCO DE DADOS'!$B$17)))))*$G$2</f>
        <v>0</v>
      </c>
      <c r="G13" s="536"/>
      <c r="H13" s="155"/>
      <c r="I13" s="366">
        <f t="shared" si="6"/>
        <v>0</v>
      </c>
      <c r="J13" s="155"/>
      <c r="K13" s="366">
        <f t="shared" si="3"/>
        <v>0</v>
      </c>
      <c r="L13" s="196"/>
      <c r="M13" s="367"/>
      <c r="N13" s="363">
        <f t="shared" si="4"/>
        <v>0</v>
      </c>
      <c r="O13" s="365">
        <f>(IF(G13="s",IF(I13*'BANCO DE DADOS'!$B$19&gt;I13*J13*2*'BANCO DE DADOS'!$B$21,I13*'BANCO DE DADOS'!$B$19,I13*J13*2*'BANCO DE DADOS'!$B$21)))*$G$2</f>
        <v>0</v>
      </c>
      <c r="P13" s="365">
        <f>IF(C13&gt;0,IF(OR(A13="Cama de Frango",A13="Pó de Rocha"),IF(H13*F13&lt;'BANCO DE DADOS'!B$18*'INPUT ATV'!D13*G5,'BANCO DE DADOS'!B$18*'INPUT ATV'!D13*G5,H13*F13),IF(H13/(C13+M13)&gt;=5.5,F13*H13,F13*D13)),0)</f>
        <v>0</v>
      </c>
      <c r="Q13" s="574">
        <f t="shared" si="1"/>
        <v>0</v>
      </c>
      <c r="R13" s="567">
        <f t="shared" si="5"/>
        <v>0</v>
      </c>
    </row>
    <row r="14" spans="1:18" x14ac:dyDescent="0.3">
      <c r="A14" s="573"/>
      <c r="B14" s="529"/>
      <c r="C14" s="368"/>
      <c r="D14" s="363">
        <f t="shared" si="2"/>
        <v>0</v>
      </c>
      <c r="E14" s="364">
        <f t="shared" si="0"/>
        <v>0</v>
      </c>
      <c r="F14" s="365">
        <f>IF(C14&gt;0,IF(OR(A14="Cama de Frango", A14="Pó de Rocha"),'BANCO DE DADOS'!B$24,IF(H14/(C14+M14)&gt;=5.5,'BANCO DE DADOS'!B$24*0.75,IF($C$4=1,'BANCO DE DADOS'!$B$16,IF($C$4&gt;=3,'BANCO DE DADOS'!$B$18,'BANCO DE DADOS'!$B$17)))))*$G$2</f>
        <v>0</v>
      </c>
      <c r="G14" s="528"/>
      <c r="H14" s="367"/>
      <c r="I14" s="366">
        <f t="shared" si="6"/>
        <v>0</v>
      </c>
      <c r="J14" s="155"/>
      <c r="K14" s="366">
        <f t="shared" si="3"/>
        <v>0</v>
      </c>
      <c r="L14" s="196"/>
      <c r="M14" s="367"/>
      <c r="N14" s="363">
        <f t="shared" si="4"/>
        <v>0</v>
      </c>
      <c r="O14" s="365">
        <f>(IF(G14="s",IF(I14*'BANCO DE DADOS'!$B$19&gt;I14*J14*2*'BANCO DE DADOS'!$B$21,I14*'BANCO DE DADOS'!$B$19,I14*J14*2*'BANCO DE DADOS'!$B$21)))*$G$2</f>
        <v>0</v>
      </c>
      <c r="P14" s="365">
        <f>IF(C14&gt;0,IF(OR(A14="Cama de Frango",A14="Pó de Rocha"),IF(H14*F14&lt;'BANCO DE DADOS'!B$18*'INPUT ATV'!D14*G6,'BANCO DE DADOS'!B$18*'INPUT ATV'!D14*G6,H14*F14),IF(H14/(C14+M14)&gt;=5.5,F14*H14,F14*D14)),0)</f>
        <v>0</v>
      </c>
      <c r="Q14" s="574">
        <f t="shared" si="1"/>
        <v>0</v>
      </c>
      <c r="R14" s="567">
        <f t="shared" si="5"/>
        <v>0</v>
      </c>
    </row>
    <row r="15" spans="1:18" x14ac:dyDescent="0.3">
      <c r="A15" s="573"/>
      <c r="B15" s="529"/>
      <c r="C15" s="368"/>
      <c r="D15" s="363">
        <f t="shared" si="2"/>
        <v>0</v>
      </c>
      <c r="E15" s="364">
        <f t="shared" si="0"/>
        <v>0</v>
      </c>
      <c r="F15" s="365">
        <f>IF(C15&gt;0,IF(OR(A15="Cama de Frango", A15="Pó de Rocha"),'BANCO DE DADOS'!B$24,IF(H15/(C15+M15)&gt;=5.5,'BANCO DE DADOS'!B$24*0.75,IF($C$4=1,'BANCO DE DADOS'!$B$16,IF($C$4&gt;=3,'BANCO DE DADOS'!$B$18,'BANCO DE DADOS'!$B$17)))))*$G$2</f>
        <v>0</v>
      </c>
      <c r="G15" s="528"/>
      <c r="H15" s="155"/>
      <c r="I15" s="366">
        <f t="shared" si="6"/>
        <v>0</v>
      </c>
      <c r="J15" s="155"/>
      <c r="K15" s="366">
        <f t="shared" si="3"/>
        <v>0</v>
      </c>
      <c r="L15" s="196"/>
      <c r="M15" s="155"/>
      <c r="N15" s="363">
        <f t="shared" si="4"/>
        <v>0</v>
      </c>
      <c r="O15" s="365">
        <f>(IF(G15="s",IF(I15*'BANCO DE DADOS'!$B$19&gt;I15*J15*2*'BANCO DE DADOS'!$B$21,I15*'BANCO DE DADOS'!$B$19,I15*J15*2*'BANCO DE DADOS'!$B$21)))*$G$2</f>
        <v>0</v>
      </c>
      <c r="P15" s="365">
        <f>IF(C15&gt;0,IF(OR(A15="Cama de Frango",A15="Pó de Rocha"),IF(H15*F15&lt;'BANCO DE DADOS'!B$18*'INPUT ATV'!D15*G7,'BANCO DE DADOS'!B$18*'INPUT ATV'!D15*G7,H15*F15),IF(H15/(C15+M15)&gt;=5.5,F15*H15,F15*D15)),0)</f>
        <v>0</v>
      </c>
      <c r="Q15" s="574">
        <f t="shared" si="1"/>
        <v>0</v>
      </c>
      <c r="R15" s="567">
        <f t="shared" si="5"/>
        <v>0</v>
      </c>
    </row>
    <row r="16" spans="1:18" ht="18" thickBot="1" x14ac:dyDescent="0.35">
      <c r="A16" s="576"/>
      <c r="B16" s="577"/>
      <c r="C16" s="578"/>
      <c r="D16" s="579">
        <f t="shared" si="2"/>
        <v>0</v>
      </c>
      <c r="E16" s="580">
        <f t="shared" si="0"/>
        <v>0</v>
      </c>
      <c r="F16" s="581">
        <f>IF(C16&gt;0,IF(OR(A16="Cama de Frango", A16="Pó de Rocha"),'BANCO DE DADOS'!B$24,IF(H16/(C16+M16)&gt;=5.5,'BANCO DE DADOS'!B$24*0.75,IF($C$4=1,'BANCO DE DADOS'!$B$16,IF($C$4&gt;=3,'BANCO DE DADOS'!$B$18,'BANCO DE DADOS'!$B$17)))))*$G$2</f>
        <v>0</v>
      </c>
      <c r="G16" s="582"/>
      <c r="H16" s="583"/>
      <c r="I16" s="584">
        <f t="shared" si="6"/>
        <v>0</v>
      </c>
      <c r="J16" s="583"/>
      <c r="K16" s="584">
        <f t="shared" si="3"/>
        <v>0</v>
      </c>
      <c r="L16" s="578"/>
      <c r="M16" s="583"/>
      <c r="N16" s="579">
        <f t="shared" si="4"/>
        <v>0</v>
      </c>
      <c r="O16" s="581">
        <f>(IF(G16="s",IF(I16*'BANCO DE DADOS'!$B$19&gt;I16*J16*2*'BANCO DE DADOS'!$B$21,I16*'BANCO DE DADOS'!$B$19,I16*J16*2*'BANCO DE DADOS'!$B$21)))*$G$2</f>
        <v>0</v>
      </c>
      <c r="P16" s="581">
        <f>IF(C16&gt;0,IF(OR(A16="Cama de Frango",A16="Pó de Rocha"),IF(H16*F16&lt;'BANCO DE DADOS'!B$18*'INPUT ATV'!D16*G8,'BANCO DE DADOS'!B$18*'INPUT ATV'!D16*G8,H16*F16),IF(H16/(C16+M16)&gt;=5.5,F16*H16,F16*D16)),0)</f>
        <v>0</v>
      </c>
      <c r="Q16" s="585">
        <f t="shared" si="1"/>
        <v>0</v>
      </c>
      <c r="R16" s="567">
        <f t="shared" si="5"/>
        <v>0</v>
      </c>
    </row>
    <row r="17" spans="1:18" ht="18" thickBot="1" x14ac:dyDescent="0.35">
      <c r="B17" s="369" t="s">
        <v>58</v>
      </c>
      <c r="C17" s="370">
        <f>SUM(C10:C16)</f>
        <v>81.919999999999987</v>
      </c>
      <c r="D17" s="371">
        <f>SUM(D10:D16)</f>
        <v>33.85</v>
      </c>
      <c r="E17" s="617">
        <f>SUM(E10:E16)</f>
        <v>1.0002442002442002</v>
      </c>
      <c r="H17" s="370">
        <f>SUM(H10:H16)</f>
        <v>187</v>
      </c>
      <c r="I17" s="370">
        <f>SUM(I10:I16)</f>
        <v>15</v>
      </c>
      <c r="J17" s="370"/>
      <c r="K17" s="370">
        <f>SUMIF(G10:G16,"s",K10:K16)</f>
        <v>0</v>
      </c>
      <c r="N17" s="371">
        <f>SUM(N10:N16)</f>
        <v>0</v>
      </c>
      <c r="O17" s="372">
        <f>SUM(O10:O16)</f>
        <v>0</v>
      </c>
      <c r="P17" s="372">
        <f>SUM(P10:P16)</f>
        <v>9927.5279999999984</v>
      </c>
      <c r="Q17" s="569">
        <f>SUM(Q10:Q16)</f>
        <v>9927.5279999999984</v>
      </c>
      <c r="R17" s="565">
        <f>SUM(R10:R16)</f>
        <v>0.60446428571428579</v>
      </c>
    </row>
    <row r="18" spans="1:18" ht="18" thickBot="1" x14ac:dyDescent="0.35">
      <c r="A18" s="374" t="str">
        <f>"Fator de frete: "&amp;('BANCO DE DADOS'!C21)</f>
        <v>Fator de frete: 2,13 Lt Diesel/Km</v>
      </c>
      <c r="C18" s="369" t="s">
        <v>178</v>
      </c>
      <c r="D18" s="616">
        <f>IF(R17&gt;INT(R17),INT(R17)+1,INT(R17))</f>
        <v>1</v>
      </c>
    </row>
    <row r="19" spans="1:18" ht="18" thickBot="1" x14ac:dyDescent="0.35">
      <c r="P19" s="369" t="s">
        <v>167</v>
      </c>
      <c r="Q19" s="375">
        <f>IF(C8="N",Q17*4%,0)</f>
        <v>0</v>
      </c>
    </row>
    <row r="20" spans="1:18" ht="18" thickBot="1" x14ac:dyDescent="0.35">
      <c r="P20" s="369" t="s">
        <v>168</v>
      </c>
      <c r="Q20" s="375">
        <f>IF(C3&gt;0,IF((C3*2*C7*'BANCO DE DADOS'!B22/Q17&gt;0.2),(C3*2*C7*'BANCO DE DADOS'!B22),0),0)</f>
        <v>0</v>
      </c>
    </row>
    <row r="21" spans="1:18" ht="18" thickBot="1" x14ac:dyDescent="0.35">
      <c r="P21" s="369" t="s">
        <v>362</v>
      </c>
      <c r="Q21" s="375">
        <f>IF(C6="s",IF(AND(C8="N",F6="s"),0.96*0.96,IF(AND(C8="s",F6="n"),1,0.96))*'BANCO DE DADOS'!B20*D18+AVERAGE('BANCO DE DADOS'!B28)*C3*4,0)</f>
        <v>4096</v>
      </c>
    </row>
    <row r="22" spans="1:18" ht="18" thickBot="1" x14ac:dyDescent="0.35">
      <c r="P22" s="376" t="s">
        <v>31</v>
      </c>
      <c r="Q22" s="377">
        <f>Q17-Q19+Q20+Q21</f>
        <v>14023.527999999998</v>
      </c>
    </row>
    <row r="23" spans="1:18" ht="18" thickBot="1" x14ac:dyDescent="0.35">
      <c r="P23" s="369" t="s">
        <v>136</v>
      </c>
      <c r="Q23" s="373">
        <f>ROUND(Q22/D17,2)</f>
        <v>414.28</v>
      </c>
    </row>
    <row r="24" spans="1:18" ht="18" thickBot="1" x14ac:dyDescent="0.35">
      <c r="P24" s="369" t="s">
        <v>137</v>
      </c>
      <c r="Q24" s="373">
        <f>ROUND(Q22/H17,2)</f>
        <v>74.989999999999995</v>
      </c>
    </row>
    <row r="25" spans="1:18" ht="18" thickBot="1" x14ac:dyDescent="0.35">
      <c r="P25" s="369" t="s">
        <v>140</v>
      </c>
      <c r="Q25" s="373">
        <f>ROUND(Q22/I17,2)</f>
        <v>934.9</v>
      </c>
    </row>
    <row r="26" spans="1:18" ht="18" thickBot="1" x14ac:dyDescent="0.35">
      <c r="P26" s="369" t="s">
        <v>203</v>
      </c>
      <c r="Q26" s="373">
        <f>IF(O17&gt;0,O17/(SUMIF(G10:G16,"S",H10:H16)*SUMIF(G10:G16,"S",(K10:K16))/2/SUMIF(G10:G16,"s",I10:I16)),0)</f>
        <v>0</v>
      </c>
    </row>
    <row r="27" spans="1:18" ht="18" thickBot="1" x14ac:dyDescent="0.35">
      <c r="P27" s="369" t="s">
        <v>348</v>
      </c>
      <c r="Q27" s="373">
        <f>IFERROR(IF(Q17&gt;0,Q17/(SUMIF(G10:G16,"S",H10:H16)*SUMIF(G10:G16,"S",J10:J16)),0),0)</f>
        <v>0</v>
      </c>
    </row>
    <row r="28" spans="1:18" ht="18" thickBot="1" x14ac:dyDescent="0.35">
      <c r="P28" s="369" t="s">
        <v>379</v>
      </c>
      <c r="Q28" s="373">
        <f>Q21/H17</f>
        <v>21.90374331550802</v>
      </c>
    </row>
  </sheetData>
  <sheetProtection selectLockedCells="1"/>
  <conditionalFormatting sqref="G10:G14">
    <cfRule type="cellIs" dxfId="16" priority="17" operator="equal">
      <formula>"""S"""</formula>
    </cfRule>
  </conditionalFormatting>
  <conditionalFormatting sqref="G15:G16">
    <cfRule type="cellIs" dxfId="15" priority="16" operator="equal">
      <formula>"""S"""</formula>
    </cfRule>
  </conditionalFormatting>
  <conditionalFormatting sqref="O10:P17 Q10:Q28">
    <cfRule type="expression" dxfId="14" priority="9">
      <formula>$E$7=1</formula>
    </cfRule>
  </conditionalFormatting>
  <conditionalFormatting sqref="C7">
    <cfRule type="expression" dxfId="13" priority="2">
      <formula>AND(D17&lt;&gt;0,D17&lt;30,C7&gt;1)</formula>
    </cfRule>
  </conditionalFormatting>
  <conditionalFormatting sqref="F2">
    <cfRule type="cellIs" dxfId="12" priority="1" operator="lessThan">
      <formula>TODAY()</formula>
    </cfRule>
  </conditionalFormatting>
  <dataValidations count="12">
    <dataValidation type="list" allowBlank="1" showInputMessage="1" showErrorMessage="1" errorTitle="Erro" error="Complete com:_x000a_O -&gt; Orçamento;_x000a_P -&gt; Pedido._x000a_" prompt="(P) - Pedido já aprovado pelo cliente;_x000a_(O) - Orçamento, a aprovar." sqref="C2" xr:uid="{00000000-0002-0000-0C00-000000000000}">
      <formula1>"O,P,o,p"</formula1>
    </dataValidation>
    <dataValidation allowBlank="1" showInputMessage="1" showErrorMessage="1" promptTitle="Aviso:" prompt="Se dose média &gt;= 5,5 ton/Ha (calcário), será cobrado por Tonelada e não por Área." sqref="F10:F16" xr:uid="{00000000-0002-0000-0C00-000001000000}"/>
    <dataValidation allowBlank="1" showInputMessage="1" showErrorMessage="1" promptTitle="Aviso:" prompt="Distância somente de Ida (Km)." sqref="J10:J16" xr:uid="{00000000-0002-0000-0C00-000002000000}"/>
    <dataValidation allowBlank="1" showInputMessage="1" showErrorMessage="1" promptTitle="Aviso" prompt="Deslocamento com caminhão vazio, para chegar na área." sqref="C3" xr:uid="{00000000-0002-0000-0C00-000003000000}"/>
    <dataValidation type="textLength" errorStyle="warning" allowBlank="1" showErrorMessage="1" error="Preferível não exceder 15 caracteres" promptTitle="Atenção para Cama de Frango" prompt="Se o valor final por alqueire der menor que R$180,00 (7,8 ton/alq), será considerado esse valor minimo." sqref="B10:B16" xr:uid="{00000000-0002-0000-0C00-000004000000}">
      <formula1>0</formula1>
      <formula2>15</formula2>
    </dataValidation>
    <dataValidation type="list" errorStyle="warning" allowBlank="1" showDropDown="1" showInputMessage="1" showErrorMessage="1" error="Digite &quot;S&quot; ou &quot;N&quot;" sqref="L10:L16" xr:uid="{00000000-0002-0000-0C00-000005000000}">
      <formula1>"S,s,n,N"</formula1>
    </dataValidation>
    <dataValidation type="date" allowBlank="1" showInputMessage="1" showErrorMessage="1" promptTitle="Atenção!" prompt="Digite a data no formato (DD/MM/AA)" sqref="F2" xr:uid="{161E5B9B-0328-48D5-AD71-D5D6158AC1F5}">
      <formula1>44927</formula1>
      <formula2>46111</formula2>
    </dataValidation>
    <dataValidation type="whole" allowBlank="1" showInputMessage="1" showErrorMessage="1" sqref="C4" xr:uid="{5626792C-7BA1-4958-86BE-B68FA8751E3E}">
      <formula1>1</formula1>
      <formula2>5</formula2>
    </dataValidation>
    <dataValidation type="list" allowBlank="1" showInputMessage="1" showErrorMessage="1" sqref="C6 C8" xr:uid="{1077F57F-D18B-4460-9383-8F849EE5AFD5}">
      <formula1>"s,S,n,N"</formula1>
    </dataValidation>
    <dataValidation type="whole" allowBlank="1" showInputMessage="1" showErrorMessage="1" sqref="C7" xr:uid="{29311686-A32B-4177-BAD8-D32B61E727BF}">
      <formula1>1</formula1>
      <formula2>4</formula2>
    </dataValidation>
    <dataValidation type="list" allowBlank="1" showInputMessage="1" showErrorMessage="1" sqref="F5" xr:uid="{658CBDDC-ABD5-4A1F-8C6C-5F0EC4701130}">
      <formula1>"s,n,S,N"</formula1>
    </dataValidation>
    <dataValidation type="list" allowBlank="1" showInputMessage="1" showErrorMessage="1" sqref="F6" xr:uid="{F494C3AA-FA33-4226-9558-225E2E8F0203}">
      <formula1>"S,N,s,n"</formula1>
    </dataValidation>
  </dataValidations>
  <pageMargins left="0.51181102362204722" right="0.51181102362204722" top="0.78740157480314965" bottom="0.78740157480314965" header="0.31496062992125984" footer="0.31496062992125984"/>
  <pageSetup paperSize="9" scale="43" orientation="landscape" cellComments="asDisplayed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6000000}">
          <x14:formula1>
            <xm:f>'BANCO DE DADOS'!$I$32:$I$40</xm:f>
          </x14:formula1>
          <xm:sqref>A10:A16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11">
    <pageSetUpPr fitToPage="1"/>
  </sheetPr>
  <dimension ref="A6:WVR70"/>
  <sheetViews>
    <sheetView showGridLines="0" zoomScaleNormal="100" zoomScaleSheetLayoutView="80" workbookViewId="0"/>
  </sheetViews>
  <sheetFormatPr defaultColWidth="0" defaultRowHeight="15.75" x14ac:dyDescent="0.25"/>
  <cols>
    <col min="1" max="1" width="9.140625" style="16" customWidth="1"/>
    <col min="2" max="2" width="8" style="16" customWidth="1"/>
    <col min="3" max="3" width="9.28515625" style="16" customWidth="1"/>
    <col min="4" max="4" width="11.7109375" style="16" customWidth="1"/>
    <col min="5" max="6" width="9.140625" style="16" customWidth="1"/>
    <col min="7" max="7" width="10.28515625" style="16" customWidth="1"/>
    <col min="8" max="8" width="13" style="16" customWidth="1"/>
    <col min="9" max="9" width="14.85546875" style="16" bestFit="1" customWidth="1"/>
    <col min="10" max="10" width="15.7109375" style="16" bestFit="1" customWidth="1"/>
    <col min="11" max="17" width="9.140625" style="16" customWidth="1"/>
    <col min="18" max="257" width="9.140625" style="16" hidden="1"/>
    <col min="258" max="258" width="8" style="16" hidden="1"/>
    <col min="259" max="259" width="6.85546875" style="16" hidden="1"/>
    <col min="260" max="260" width="14" style="16" hidden="1"/>
    <col min="261" max="262" width="9.140625" style="16" hidden="1"/>
    <col min="263" max="263" width="10.28515625" style="16" hidden="1"/>
    <col min="264" max="264" width="13" style="16" hidden="1"/>
    <col min="265" max="265" width="14.42578125" style="16" hidden="1"/>
    <col min="266" max="266" width="15.7109375" style="16" hidden="1"/>
    <col min="267" max="513" width="9.140625" style="16" hidden="1"/>
    <col min="514" max="514" width="8" style="16" hidden="1"/>
    <col min="515" max="515" width="6.85546875" style="16" hidden="1"/>
    <col min="516" max="516" width="14" style="16" hidden="1"/>
    <col min="517" max="518" width="9.140625" style="16" hidden="1"/>
    <col min="519" max="519" width="10.28515625" style="16" hidden="1"/>
    <col min="520" max="520" width="13" style="16" hidden="1"/>
    <col min="521" max="521" width="14.42578125" style="16" hidden="1"/>
    <col min="522" max="522" width="15.7109375" style="16" hidden="1"/>
    <col min="523" max="769" width="9.140625" style="16" hidden="1"/>
    <col min="770" max="770" width="8" style="16" hidden="1"/>
    <col min="771" max="771" width="6.85546875" style="16" hidden="1"/>
    <col min="772" max="772" width="14" style="16" hidden="1"/>
    <col min="773" max="774" width="9.140625" style="16" hidden="1"/>
    <col min="775" max="775" width="10.28515625" style="16" hidden="1"/>
    <col min="776" max="776" width="13" style="16" hidden="1"/>
    <col min="777" max="777" width="14.42578125" style="16" hidden="1"/>
    <col min="778" max="778" width="15.7109375" style="16" hidden="1"/>
    <col min="779" max="1025" width="9.140625" style="16" hidden="1"/>
    <col min="1026" max="1026" width="8" style="16" hidden="1"/>
    <col min="1027" max="1027" width="6.85546875" style="16" hidden="1"/>
    <col min="1028" max="1028" width="14" style="16" hidden="1"/>
    <col min="1029" max="1030" width="9.140625" style="16" hidden="1"/>
    <col min="1031" max="1031" width="10.28515625" style="16" hidden="1"/>
    <col min="1032" max="1032" width="13" style="16" hidden="1"/>
    <col min="1033" max="1033" width="14.42578125" style="16" hidden="1"/>
    <col min="1034" max="1034" width="15.7109375" style="16" hidden="1"/>
    <col min="1035" max="1281" width="9.140625" style="16" hidden="1"/>
    <col min="1282" max="1282" width="8" style="16" hidden="1"/>
    <col min="1283" max="1283" width="6.85546875" style="16" hidden="1"/>
    <col min="1284" max="1284" width="14" style="16" hidden="1"/>
    <col min="1285" max="1286" width="9.140625" style="16" hidden="1"/>
    <col min="1287" max="1287" width="10.28515625" style="16" hidden="1"/>
    <col min="1288" max="1288" width="13" style="16" hidden="1"/>
    <col min="1289" max="1289" width="14.42578125" style="16" hidden="1"/>
    <col min="1290" max="1290" width="15.7109375" style="16" hidden="1"/>
    <col min="1291" max="1537" width="9.140625" style="16" hidden="1"/>
    <col min="1538" max="1538" width="8" style="16" hidden="1"/>
    <col min="1539" max="1539" width="6.85546875" style="16" hidden="1"/>
    <col min="1540" max="1540" width="14" style="16" hidden="1"/>
    <col min="1541" max="1542" width="9.140625" style="16" hidden="1"/>
    <col min="1543" max="1543" width="10.28515625" style="16" hidden="1"/>
    <col min="1544" max="1544" width="13" style="16" hidden="1"/>
    <col min="1545" max="1545" width="14.42578125" style="16" hidden="1"/>
    <col min="1546" max="1546" width="15.7109375" style="16" hidden="1"/>
    <col min="1547" max="1793" width="9.140625" style="16" hidden="1"/>
    <col min="1794" max="1794" width="8" style="16" hidden="1"/>
    <col min="1795" max="1795" width="6.85546875" style="16" hidden="1"/>
    <col min="1796" max="1796" width="14" style="16" hidden="1"/>
    <col min="1797" max="1798" width="9.140625" style="16" hidden="1"/>
    <col min="1799" max="1799" width="10.28515625" style="16" hidden="1"/>
    <col min="1800" max="1800" width="13" style="16" hidden="1"/>
    <col min="1801" max="1801" width="14.42578125" style="16" hidden="1"/>
    <col min="1802" max="1802" width="15.7109375" style="16" hidden="1"/>
    <col min="1803" max="2049" width="9.140625" style="16" hidden="1"/>
    <col min="2050" max="2050" width="8" style="16" hidden="1"/>
    <col min="2051" max="2051" width="6.85546875" style="16" hidden="1"/>
    <col min="2052" max="2052" width="14" style="16" hidden="1"/>
    <col min="2053" max="2054" width="9.140625" style="16" hidden="1"/>
    <col min="2055" max="2055" width="10.28515625" style="16" hidden="1"/>
    <col min="2056" max="2056" width="13" style="16" hidden="1"/>
    <col min="2057" max="2057" width="14.42578125" style="16" hidden="1"/>
    <col min="2058" max="2058" width="15.7109375" style="16" hidden="1"/>
    <col min="2059" max="2305" width="9.140625" style="16" hidden="1"/>
    <col min="2306" max="2306" width="8" style="16" hidden="1"/>
    <col min="2307" max="2307" width="6.85546875" style="16" hidden="1"/>
    <col min="2308" max="2308" width="14" style="16" hidden="1"/>
    <col min="2309" max="2310" width="9.140625" style="16" hidden="1"/>
    <col min="2311" max="2311" width="10.28515625" style="16" hidden="1"/>
    <col min="2312" max="2312" width="13" style="16" hidden="1"/>
    <col min="2313" max="2313" width="14.42578125" style="16" hidden="1"/>
    <col min="2314" max="2314" width="15.7109375" style="16" hidden="1"/>
    <col min="2315" max="2561" width="9.140625" style="16" hidden="1"/>
    <col min="2562" max="2562" width="8" style="16" hidden="1"/>
    <col min="2563" max="2563" width="6.85546875" style="16" hidden="1"/>
    <col min="2564" max="2564" width="14" style="16" hidden="1"/>
    <col min="2565" max="2566" width="9.140625" style="16" hidden="1"/>
    <col min="2567" max="2567" width="10.28515625" style="16" hidden="1"/>
    <col min="2568" max="2568" width="13" style="16" hidden="1"/>
    <col min="2569" max="2569" width="14.42578125" style="16" hidden="1"/>
    <col min="2570" max="2570" width="15.7109375" style="16" hidden="1"/>
    <col min="2571" max="2817" width="9.140625" style="16" hidden="1"/>
    <col min="2818" max="2818" width="8" style="16" hidden="1"/>
    <col min="2819" max="2819" width="6.85546875" style="16" hidden="1"/>
    <col min="2820" max="2820" width="14" style="16" hidden="1"/>
    <col min="2821" max="2822" width="9.140625" style="16" hidden="1"/>
    <col min="2823" max="2823" width="10.28515625" style="16" hidden="1"/>
    <col min="2824" max="2824" width="13" style="16" hidden="1"/>
    <col min="2825" max="2825" width="14.42578125" style="16" hidden="1"/>
    <col min="2826" max="2826" width="15.7109375" style="16" hidden="1"/>
    <col min="2827" max="3073" width="9.140625" style="16" hidden="1"/>
    <col min="3074" max="3074" width="8" style="16" hidden="1"/>
    <col min="3075" max="3075" width="6.85546875" style="16" hidden="1"/>
    <col min="3076" max="3076" width="14" style="16" hidden="1"/>
    <col min="3077" max="3078" width="9.140625" style="16" hidden="1"/>
    <col min="3079" max="3079" width="10.28515625" style="16" hidden="1"/>
    <col min="3080" max="3080" width="13" style="16" hidden="1"/>
    <col min="3081" max="3081" width="14.42578125" style="16" hidden="1"/>
    <col min="3082" max="3082" width="15.7109375" style="16" hidden="1"/>
    <col min="3083" max="3329" width="9.140625" style="16" hidden="1"/>
    <col min="3330" max="3330" width="8" style="16" hidden="1"/>
    <col min="3331" max="3331" width="6.85546875" style="16" hidden="1"/>
    <col min="3332" max="3332" width="14" style="16" hidden="1"/>
    <col min="3333" max="3334" width="9.140625" style="16" hidden="1"/>
    <col min="3335" max="3335" width="10.28515625" style="16" hidden="1"/>
    <col min="3336" max="3336" width="13" style="16" hidden="1"/>
    <col min="3337" max="3337" width="14.42578125" style="16" hidden="1"/>
    <col min="3338" max="3338" width="15.7109375" style="16" hidden="1"/>
    <col min="3339" max="3585" width="9.140625" style="16" hidden="1"/>
    <col min="3586" max="3586" width="8" style="16" hidden="1"/>
    <col min="3587" max="3587" width="6.85546875" style="16" hidden="1"/>
    <col min="3588" max="3588" width="14" style="16" hidden="1"/>
    <col min="3589" max="3590" width="9.140625" style="16" hidden="1"/>
    <col min="3591" max="3591" width="10.28515625" style="16" hidden="1"/>
    <col min="3592" max="3592" width="13" style="16" hidden="1"/>
    <col min="3593" max="3593" width="14.42578125" style="16" hidden="1"/>
    <col min="3594" max="3594" width="15.7109375" style="16" hidden="1"/>
    <col min="3595" max="3841" width="9.140625" style="16" hidden="1"/>
    <col min="3842" max="3842" width="8" style="16" hidden="1"/>
    <col min="3843" max="3843" width="6.85546875" style="16" hidden="1"/>
    <col min="3844" max="3844" width="14" style="16" hidden="1"/>
    <col min="3845" max="3846" width="9.140625" style="16" hidden="1"/>
    <col min="3847" max="3847" width="10.28515625" style="16" hidden="1"/>
    <col min="3848" max="3848" width="13" style="16" hidden="1"/>
    <col min="3849" max="3849" width="14.42578125" style="16" hidden="1"/>
    <col min="3850" max="3850" width="15.7109375" style="16" hidden="1"/>
    <col min="3851" max="4097" width="9.140625" style="16" hidden="1"/>
    <col min="4098" max="4098" width="8" style="16" hidden="1"/>
    <col min="4099" max="4099" width="6.85546875" style="16" hidden="1"/>
    <col min="4100" max="4100" width="14" style="16" hidden="1"/>
    <col min="4101" max="4102" width="9.140625" style="16" hidden="1"/>
    <col min="4103" max="4103" width="10.28515625" style="16" hidden="1"/>
    <col min="4104" max="4104" width="13" style="16" hidden="1"/>
    <col min="4105" max="4105" width="14.42578125" style="16" hidden="1"/>
    <col min="4106" max="4106" width="15.7109375" style="16" hidden="1"/>
    <col min="4107" max="4353" width="9.140625" style="16" hidden="1"/>
    <col min="4354" max="4354" width="8" style="16" hidden="1"/>
    <col min="4355" max="4355" width="6.85546875" style="16" hidden="1"/>
    <col min="4356" max="4356" width="14" style="16" hidden="1"/>
    <col min="4357" max="4358" width="9.140625" style="16" hidden="1"/>
    <col min="4359" max="4359" width="10.28515625" style="16" hidden="1"/>
    <col min="4360" max="4360" width="13" style="16" hidden="1"/>
    <col min="4361" max="4361" width="14.42578125" style="16" hidden="1"/>
    <col min="4362" max="4362" width="15.7109375" style="16" hidden="1"/>
    <col min="4363" max="4609" width="9.140625" style="16" hidden="1"/>
    <col min="4610" max="4610" width="8" style="16" hidden="1"/>
    <col min="4611" max="4611" width="6.85546875" style="16" hidden="1"/>
    <col min="4612" max="4612" width="14" style="16" hidden="1"/>
    <col min="4613" max="4614" width="9.140625" style="16" hidden="1"/>
    <col min="4615" max="4615" width="10.28515625" style="16" hidden="1"/>
    <col min="4616" max="4616" width="13" style="16" hidden="1"/>
    <col min="4617" max="4617" width="14.42578125" style="16" hidden="1"/>
    <col min="4618" max="4618" width="15.7109375" style="16" hidden="1"/>
    <col min="4619" max="4865" width="9.140625" style="16" hidden="1"/>
    <col min="4866" max="4866" width="8" style="16" hidden="1"/>
    <col min="4867" max="4867" width="6.85546875" style="16" hidden="1"/>
    <col min="4868" max="4868" width="14" style="16" hidden="1"/>
    <col min="4869" max="4870" width="9.140625" style="16" hidden="1"/>
    <col min="4871" max="4871" width="10.28515625" style="16" hidden="1"/>
    <col min="4872" max="4872" width="13" style="16" hidden="1"/>
    <col min="4873" max="4873" width="14.42578125" style="16" hidden="1"/>
    <col min="4874" max="4874" width="15.7109375" style="16" hidden="1"/>
    <col min="4875" max="5121" width="9.140625" style="16" hidden="1"/>
    <col min="5122" max="5122" width="8" style="16" hidden="1"/>
    <col min="5123" max="5123" width="6.85546875" style="16" hidden="1"/>
    <col min="5124" max="5124" width="14" style="16" hidden="1"/>
    <col min="5125" max="5126" width="9.140625" style="16" hidden="1"/>
    <col min="5127" max="5127" width="10.28515625" style="16" hidden="1"/>
    <col min="5128" max="5128" width="13" style="16" hidden="1"/>
    <col min="5129" max="5129" width="14.42578125" style="16" hidden="1"/>
    <col min="5130" max="5130" width="15.7109375" style="16" hidden="1"/>
    <col min="5131" max="5377" width="9.140625" style="16" hidden="1"/>
    <col min="5378" max="5378" width="8" style="16" hidden="1"/>
    <col min="5379" max="5379" width="6.85546875" style="16" hidden="1"/>
    <col min="5380" max="5380" width="14" style="16" hidden="1"/>
    <col min="5381" max="5382" width="9.140625" style="16" hidden="1"/>
    <col min="5383" max="5383" width="10.28515625" style="16" hidden="1"/>
    <col min="5384" max="5384" width="13" style="16" hidden="1"/>
    <col min="5385" max="5385" width="14.42578125" style="16" hidden="1"/>
    <col min="5386" max="5386" width="15.7109375" style="16" hidden="1"/>
    <col min="5387" max="5633" width="9.140625" style="16" hidden="1"/>
    <col min="5634" max="5634" width="8" style="16" hidden="1"/>
    <col min="5635" max="5635" width="6.85546875" style="16" hidden="1"/>
    <col min="5636" max="5636" width="14" style="16" hidden="1"/>
    <col min="5637" max="5638" width="9.140625" style="16" hidden="1"/>
    <col min="5639" max="5639" width="10.28515625" style="16" hidden="1"/>
    <col min="5640" max="5640" width="13" style="16" hidden="1"/>
    <col min="5641" max="5641" width="14.42578125" style="16" hidden="1"/>
    <col min="5642" max="5642" width="15.7109375" style="16" hidden="1"/>
    <col min="5643" max="5889" width="9.140625" style="16" hidden="1"/>
    <col min="5890" max="5890" width="8" style="16" hidden="1"/>
    <col min="5891" max="5891" width="6.85546875" style="16" hidden="1"/>
    <col min="5892" max="5892" width="14" style="16" hidden="1"/>
    <col min="5893" max="5894" width="9.140625" style="16" hidden="1"/>
    <col min="5895" max="5895" width="10.28515625" style="16" hidden="1"/>
    <col min="5896" max="5896" width="13" style="16" hidden="1"/>
    <col min="5897" max="5897" width="14.42578125" style="16" hidden="1"/>
    <col min="5898" max="5898" width="15.7109375" style="16" hidden="1"/>
    <col min="5899" max="6145" width="9.140625" style="16" hidden="1"/>
    <col min="6146" max="6146" width="8" style="16" hidden="1"/>
    <col min="6147" max="6147" width="6.85546875" style="16" hidden="1"/>
    <col min="6148" max="6148" width="14" style="16" hidden="1"/>
    <col min="6149" max="6150" width="9.140625" style="16" hidden="1"/>
    <col min="6151" max="6151" width="10.28515625" style="16" hidden="1"/>
    <col min="6152" max="6152" width="13" style="16" hidden="1"/>
    <col min="6153" max="6153" width="14.42578125" style="16" hidden="1"/>
    <col min="6154" max="6154" width="15.7109375" style="16" hidden="1"/>
    <col min="6155" max="6401" width="9.140625" style="16" hidden="1"/>
    <col min="6402" max="6402" width="8" style="16" hidden="1"/>
    <col min="6403" max="6403" width="6.85546875" style="16" hidden="1"/>
    <col min="6404" max="6404" width="14" style="16" hidden="1"/>
    <col min="6405" max="6406" width="9.140625" style="16" hidden="1"/>
    <col min="6407" max="6407" width="10.28515625" style="16" hidden="1"/>
    <col min="6408" max="6408" width="13" style="16" hidden="1"/>
    <col min="6409" max="6409" width="14.42578125" style="16" hidden="1"/>
    <col min="6410" max="6410" width="15.7109375" style="16" hidden="1"/>
    <col min="6411" max="6657" width="9.140625" style="16" hidden="1"/>
    <col min="6658" max="6658" width="8" style="16" hidden="1"/>
    <col min="6659" max="6659" width="6.85546875" style="16" hidden="1"/>
    <col min="6660" max="6660" width="14" style="16" hidden="1"/>
    <col min="6661" max="6662" width="9.140625" style="16" hidden="1"/>
    <col min="6663" max="6663" width="10.28515625" style="16" hidden="1"/>
    <col min="6664" max="6664" width="13" style="16" hidden="1"/>
    <col min="6665" max="6665" width="14.42578125" style="16" hidden="1"/>
    <col min="6666" max="6666" width="15.7109375" style="16" hidden="1"/>
    <col min="6667" max="6913" width="9.140625" style="16" hidden="1"/>
    <col min="6914" max="6914" width="8" style="16" hidden="1"/>
    <col min="6915" max="6915" width="6.85546875" style="16" hidden="1"/>
    <col min="6916" max="6916" width="14" style="16" hidden="1"/>
    <col min="6917" max="6918" width="9.140625" style="16" hidden="1"/>
    <col min="6919" max="6919" width="10.28515625" style="16" hidden="1"/>
    <col min="6920" max="6920" width="13" style="16" hidden="1"/>
    <col min="6921" max="6921" width="14.42578125" style="16" hidden="1"/>
    <col min="6922" max="6922" width="15.7109375" style="16" hidden="1"/>
    <col min="6923" max="7169" width="9.140625" style="16" hidden="1"/>
    <col min="7170" max="7170" width="8" style="16" hidden="1"/>
    <col min="7171" max="7171" width="6.85546875" style="16" hidden="1"/>
    <col min="7172" max="7172" width="14" style="16" hidden="1"/>
    <col min="7173" max="7174" width="9.140625" style="16" hidden="1"/>
    <col min="7175" max="7175" width="10.28515625" style="16" hidden="1"/>
    <col min="7176" max="7176" width="13" style="16" hidden="1"/>
    <col min="7177" max="7177" width="14.42578125" style="16" hidden="1"/>
    <col min="7178" max="7178" width="15.7109375" style="16" hidden="1"/>
    <col min="7179" max="7425" width="9.140625" style="16" hidden="1"/>
    <col min="7426" max="7426" width="8" style="16" hidden="1"/>
    <col min="7427" max="7427" width="6.85546875" style="16" hidden="1"/>
    <col min="7428" max="7428" width="14" style="16" hidden="1"/>
    <col min="7429" max="7430" width="9.140625" style="16" hidden="1"/>
    <col min="7431" max="7431" width="10.28515625" style="16" hidden="1"/>
    <col min="7432" max="7432" width="13" style="16" hidden="1"/>
    <col min="7433" max="7433" width="14.42578125" style="16" hidden="1"/>
    <col min="7434" max="7434" width="15.7109375" style="16" hidden="1"/>
    <col min="7435" max="7681" width="9.140625" style="16" hidden="1"/>
    <col min="7682" max="7682" width="8" style="16" hidden="1"/>
    <col min="7683" max="7683" width="6.85546875" style="16" hidden="1"/>
    <col min="7684" max="7684" width="14" style="16" hidden="1"/>
    <col min="7685" max="7686" width="9.140625" style="16" hidden="1"/>
    <col min="7687" max="7687" width="10.28515625" style="16" hidden="1"/>
    <col min="7688" max="7688" width="13" style="16" hidden="1"/>
    <col min="7689" max="7689" width="14.42578125" style="16" hidden="1"/>
    <col min="7690" max="7690" width="15.7109375" style="16" hidden="1"/>
    <col min="7691" max="7937" width="9.140625" style="16" hidden="1"/>
    <col min="7938" max="7938" width="8" style="16" hidden="1"/>
    <col min="7939" max="7939" width="6.85546875" style="16" hidden="1"/>
    <col min="7940" max="7940" width="14" style="16" hidden="1"/>
    <col min="7941" max="7942" width="9.140625" style="16" hidden="1"/>
    <col min="7943" max="7943" width="10.28515625" style="16" hidden="1"/>
    <col min="7944" max="7944" width="13" style="16" hidden="1"/>
    <col min="7945" max="7945" width="14.42578125" style="16" hidden="1"/>
    <col min="7946" max="7946" width="15.7109375" style="16" hidden="1"/>
    <col min="7947" max="8193" width="9.140625" style="16" hidden="1"/>
    <col min="8194" max="8194" width="8" style="16" hidden="1"/>
    <col min="8195" max="8195" width="6.85546875" style="16" hidden="1"/>
    <col min="8196" max="8196" width="14" style="16" hidden="1"/>
    <col min="8197" max="8198" width="9.140625" style="16" hidden="1"/>
    <col min="8199" max="8199" width="10.28515625" style="16" hidden="1"/>
    <col min="8200" max="8200" width="13" style="16" hidden="1"/>
    <col min="8201" max="8201" width="14.42578125" style="16" hidden="1"/>
    <col min="8202" max="8202" width="15.7109375" style="16" hidden="1"/>
    <col min="8203" max="8449" width="9.140625" style="16" hidden="1"/>
    <col min="8450" max="8450" width="8" style="16" hidden="1"/>
    <col min="8451" max="8451" width="6.85546875" style="16" hidden="1"/>
    <col min="8452" max="8452" width="14" style="16" hidden="1"/>
    <col min="8453" max="8454" width="9.140625" style="16" hidden="1"/>
    <col min="8455" max="8455" width="10.28515625" style="16" hidden="1"/>
    <col min="8456" max="8456" width="13" style="16" hidden="1"/>
    <col min="8457" max="8457" width="14.42578125" style="16" hidden="1"/>
    <col min="8458" max="8458" width="15.7109375" style="16" hidden="1"/>
    <col min="8459" max="8705" width="9.140625" style="16" hidden="1"/>
    <col min="8706" max="8706" width="8" style="16" hidden="1"/>
    <col min="8707" max="8707" width="6.85546875" style="16" hidden="1"/>
    <col min="8708" max="8708" width="14" style="16" hidden="1"/>
    <col min="8709" max="8710" width="9.140625" style="16" hidden="1"/>
    <col min="8711" max="8711" width="10.28515625" style="16" hidden="1"/>
    <col min="8712" max="8712" width="13" style="16" hidden="1"/>
    <col min="8713" max="8713" width="14.42578125" style="16" hidden="1"/>
    <col min="8714" max="8714" width="15.7109375" style="16" hidden="1"/>
    <col min="8715" max="8961" width="9.140625" style="16" hidden="1"/>
    <col min="8962" max="8962" width="8" style="16" hidden="1"/>
    <col min="8963" max="8963" width="6.85546875" style="16" hidden="1"/>
    <col min="8964" max="8964" width="14" style="16" hidden="1"/>
    <col min="8965" max="8966" width="9.140625" style="16" hidden="1"/>
    <col min="8967" max="8967" width="10.28515625" style="16" hidden="1"/>
    <col min="8968" max="8968" width="13" style="16" hidden="1"/>
    <col min="8969" max="8969" width="14.42578125" style="16" hidden="1"/>
    <col min="8970" max="8970" width="15.7109375" style="16" hidden="1"/>
    <col min="8971" max="9217" width="9.140625" style="16" hidden="1"/>
    <col min="9218" max="9218" width="8" style="16" hidden="1"/>
    <col min="9219" max="9219" width="6.85546875" style="16" hidden="1"/>
    <col min="9220" max="9220" width="14" style="16" hidden="1"/>
    <col min="9221" max="9222" width="9.140625" style="16" hidden="1"/>
    <col min="9223" max="9223" width="10.28515625" style="16" hidden="1"/>
    <col min="9224" max="9224" width="13" style="16" hidden="1"/>
    <col min="9225" max="9225" width="14.42578125" style="16" hidden="1"/>
    <col min="9226" max="9226" width="15.7109375" style="16" hidden="1"/>
    <col min="9227" max="9473" width="9.140625" style="16" hidden="1"/>
    <col min="9474" max="9474" width="8" style="16" hidden="1"/>
    <col min="9475" max="9475" width="6.85546875" style="16" hidden="1"/>
    <col min="9476" max="9476" width="14" style="16" hidden="1"/>
    <col min="9477" max="9478" width="9.140625" style="16" hidden="1"/>
    <col min="9479" max="9479" width="10.28515625" style="16" hidden="1"/>
    <col min="9480" max="9480" width="13" style="16" hidden="1"/>
    <col min="9481" max="9481" width="14.42578125" style="16" hidden="1"/>
    <col min="9482" max="9482" width="15.7109375" style="16" hidden="1"/>
    <col min="9483" max="9729" width="9.140625" style="16" hidden="1"/>
    <col min="9730" max="9730" width="8" style="16" hidden="1"/>
    <col min="9731" max="9731" width="6.85546875" style="16" hidden="1"/>
    <col min="9732" max="9732" width="14" style="16" hidden="1"/>
    <col min="9733" max="9734" width="9.140625" style="16" hidden="1"/>
    <col min="9735" max="9735" width="10.28515625" style="16" hidden="1"/>
    <col min="9736" max="9736" width="13" style="16" hidden="1"/>
    <col min="9737" max="9737" width="14.42578125" style="16" hidden="1"/>
    <col min="9738" max="9738" width="15.7109375" style="16" hidden="1"/>
    <col min="9739" max="9985" width="9.140625" style="16" hidden="1"/>
    <col min="9986" max="9986" width="8" style="16" hidden="1"/>
    <col min="9987" max="9987" width="6.85546875" style="16" hidden="1"/>
    <col min="9988" max="9988" width="14" style="16" hidden="1"/>
    <col min="9989" max="9990" width="9.140625" style="16" hidden="1"/>
    <col min="9991" max="9991" width="10.28515625" style="16" hidden="1"/>
    <col min="9992" max="9992" width="13" style="16" hidden="1"/>
    <col min="9993" max="9993" width="14.42578125" style="16" hidden="1"/>
    <col min="9994" max="9994" width="15.7109375" style="16" hidden="1"/>
    <col min="9995" max="10241" width="9.140625" style="16" hidden="1"/>
    <col min="10242" max="10242" width="8" style="16" hidden="1"/>
    <col min="10243" max="10243" width="6.85546875" style="16" hidden="1"/>
    <col min="10244" max="10244" width="14" style="16" hidden="1"/>
    <col min="10245" max="10246" width="9.140625" style="16" hidden="1"/>
    <col min="10247" max="10247" width="10.28515625" style="16" hidden="1"/>
    <col min="10248" max="10248" width="13" style="16" hidden="1"/>
    <col min="10249" max="10249" width="14.42578125" style="16" hidden="1"/>
    <col min="10250" max="10250" width="15.7109375" style="16" hidden="1"/>
    <col min="10251" max="10497" width="9.140625" style="16" hidden="1"/>
    <col min="10498" max="10498" width="8" style="16" hidden="1"/>
    <col min="10499" max="10499" width="6.85546875" style="16" hidden="1"/>
    <col min="10500" max="10500" width="14" style="16" hidden="1"/>
    <col min="10501" max="10502" width="9.140625" style="16" hidden="1"/>
    <col min="10503" max="10503" width="10.28515625" style="16" hidden="1"/>
    <col min="10504" max="10504" width="13" style="16" hidden="1"/>
    <col min="10505" max="10505" width="14.42578125" style="16" hidden="1"/>
    <col min="10506" max="10506" width="15.7109375" style="16" hidden="1"/>
    <col min="10507" max="10753" width="9.140625" style="16" hidden="1"/>
    <col min="10754" max="10754" width="8" style="16" hidden="1"/>
    <col min="10755" max="10755" width="6.85546875" style="16" hidden="1"/>
    <col min="10756" max="10756" width="14" style="16" hidden="1"/>
    <col min="10757" max="10758" width="9.140625" style="16" hidden="1"/>
    <col min="10759" max="10759" width="10.28515625" style="16" hidden="1"/>
    <col min="10760" max="10760" width="13" style="16" hidden="1"/>
    <col min="10761" max="10761" width="14.42578125" style="16" hidden="1"/>
    <col min="10762" max="10762" width="15.7109375" style="16" hidden="1"/>
    <col min="10763" max="11009" width="9.140625" style="16" hidden="1"/>
    <col min="11010" max="11010" width="8" style="16" hidden="1"/>
    <col min="11011" max="11011" width="6.85546875" style="16" hidden="1"/>
    <col min="11012" max="11012" width="14" style="16" hidden="1"/>
    <col min="11013" max="11014" width="9.140625" style="16" hidden="1"/>
    <col min="11015" max="11015" width="10.28515625" style="16" hidden="1"/>
    <col min="11016" max="11016" width="13" style="16" hidden="1"/>
    <col min="11017" max="11017" width="14.42578125" style="16" hidden="1"/>
    <col min="11018" max="11018" width="15.7109375" style="16" hidden="1"/>
    <col min="11019" max="11265" width="9.140625" style="16" hidden="1"/>
    <col min="11266" max="11266" width="8" style="16" hidden="1"/>
    <col min="11267" max="11267" width="6.85546875" style="16" hidden="1"/>
    <col min="11268" max="11268" width="14" style="16" hidden="1"/>
    <col min="11269" max="11270" width="9.140625" style="16" hidden="1"/>
    <col min="11271" max="11271" width="10.28515625" style="16" hidden="1"/>
    <col min="11272" max="11272" width="13" style="16" hidden="1"/>
    <col min="11273" max="11273" width="14.42578125" style="16" hidden="1"/>
    <col min="11274" max="11274" width="15.7109375" style="16" hidden="1"/>
    <col min="11275" max="11521" width="9.140625" style="16" hidden="1"/>
    <col min="11522" max="11522" width="8" style="16" hidden="1"/>
    <col min="11523" max="11523" width="6.85546875" style="16" hidden="1"/>
    <col min="11524" max="11524" width="14" style="16" hidden="1"/>
    <col min="11525" max="11526" width="9.140625" style="16" hidden="1"/>
    <col min="11527" max="11527" width="10.28515625" style="16" hidden="1"/>
    <col min="11528" max="11528" width="13" style="16" hidden="1"/>
    <col min="11529" max="11529" width="14.42578125" style="16" hidden="1"/>
    <col min="11530" max="11530" width="15.7109375" style="16" hidden="1"/>
    <col min="11531" max="11777" width="9.140625" style="16" hidden="1"/>
    <col min="11778" max="11778" width="8" style="16" hidden="1"/>
    <col min="11779" max="11779" width="6.85546875" style="16" hidden="1"/>
    <col min="11780" max="11780" width="14" style="16" hidden="1"/>
    <col min="11781" max="11782" width="9.140625" style="16" hidden="1"/>
    <col min="11783" max="11783" width="10.28515625" style="16" hidden="1"/>
    <col min="11784" max="11784" width="13" style="16" hidden="1"/>
    <col min="11785" max="11785" width="14.42578125" style="16" hidden="1"/>
    <col min="11786" max="11786" width="15.7109375" style="16" hidden="1"/>
    <col min="11787" max="12033" width="9.140625" style="16" hidden="1"/>
    <col min="12034" max="12034" width="8" style="16" hidden="1"/>
    <col min="12035" max="12035" width="6.85546875" style="16" hidden="1"/>
    <col min="12036" max="12036" width="14" style="16" hidden="1"/>
    <col min="12037" max="12038" width="9.140625" style="16" hidden="1"/>
    <col min="12039" max="12039" width="10.28515625" style="16" hidden="1"/>
    <col min="12040" max="12040" width="13" style="16" hidden="1"/>
    <col min="12041" max="12041" width="14.42578125" style="16" hidden="1"/>
    <col min="12042" max="12042" width="15.7109375" style="16" hidden="1"/>
    <col min="12043" max="12289" width="9.140625" style="16" hidden="1"/>
    <col min="12290" max="12290" width="8" style="16" hidden="1"/>
    <col min="12291" max="12291" width="6.85546875" style="16" hidden="1"/>
    <col min="12292" max="12292" width="14" style="16" hidden="1"/>
    <col min="12293" max="12294" width="9.140625" style="16" hidden="1"/>
    <col min="12295" max="12295" width="10.28515625" style="16" hidden="1"/>
    <col min="12296" max="12296" width="13" style="16" hidden="1"/>
    <col min="12297" max="12297" width="14.42578125" style="16" hidden="1"/>
    <col min="12298" max="12298" width="15.7109375" style="16" hidden="1"/>
    <col min="12299" max="12545" width="9.140625" style="16" hidden="1"/>
    <col min="12546" max="12546" width="8" style="16" hidden="1"/>
    <col min="12547" max="12547" width="6.85546875" style="16" hidden="1"/>
    <col min="12548" max="12548" width="14" style="16" hidden="1"/>
    <col min="12549" max="12550" width="9.140625" style="16" hidden="1"/>
    <col min="12551" max="12551" width="10.28515625" style="16" hidden="1"/>
    <col min="12552" max="12552" width="13" style="16" hidden="1"/>
    <col min="12553" max="12553" width="14.42578125" style="16" hidden="1"/>
    <col min="12554" max="12554" width="15.7109375" style="16" hidden="1"/>
    <col min="12555" max="12801" width="9.140625" style="16" hidden="1"/>
    <col min="12802" max="12802" width="8" style="16" hidden="1"/>
    <col min="12803" max="12803" width="6.85546875" style="16" hidden="1"/>
    <col min="12804" max="12804" width="14" style="16" hidden="1"/>
    <col min="12805" max="12806" width="9.140625" style="16" hidden="1"/>
    <col min="12807" max="12807" width="10.28515625" style="16" hidden="1"/>
    <col min="12808" max="12808" width="13" style="16" hidden="1"/>
    <col min="12809" max="12809" width="14.42578125" style="16" hidden="1"/>
    <col min="12810" max="12810" width="15.7109375" style="16" hidden="1"/>
    <col min="12811" max="13057" width="9.140625" style="16" hidden="1"/>
    <col min="13058" max="13058" width="8" style="16" hidden="1"/>
    <col min="13059" max="13059" width="6.85546875" style="16" hidden="1"/>
    <col min="13060" max="13060" width="14" style="16" hidden="1"/>
    <col min="13061" max="13062" width="9.140625" style="16" hidden="1"/>
    <col min="13063" max="13063" width="10.28515625" style="16" hidden="1"/>
    <col min="13064" max="13064" width="13" style="16" hidden="1"/>
    <col min="13065" max="13065" width="14.42578125" style="16" hidden="1"/>
    <col min="13066" max="13066" width="15.7109375" style="16" hidden="1"/>
    <col min="13067" max="13313" width="9.140625" style="16" hidden="1"/>
    <col min="13314" max="13314" width="8" style="16" hidden="1"/>
    <col min="13315" max="13315" width="6.85546875" style="16" hidden="1"/>
    <col min="13316" max="13316" width="14" style="16" hidden="1"/>
    <col min="13317" max="13318" width="9.140625" style="16" hidden="1"/>
    <col min="13319" max="13319" width="10.28515625" style="16" hidden="1"/>
    <col min="13320" max="13320" width="13" style="16" hidden="1"/>
    <col min="13321" max="13321" width="14.42578125" style="16" hidden="1"/>
    <col min="13322" max="13322" width="15.7109375" style="16" hidden="1"/>
    <col min="13323" max="13569" width="9.140625" style="16" hidden="1"/>
    <col min="13570" max="13570" width="8" style="16" hidden="1"/>
    <col min="13571" max="13571" width="6.85546875" style="16" hidden="1"/>
    <col min="13572" max="13572" width="14" style="16" hidden="1"/>
    <col min="13573" max="13574" width="9.140625" style="16" hidden="1"/>
    <col min="13575" max="13575" width="10.28515625" style="16" hidden="1"/>
    <col min="13576" max="13576" width="13" style="16" hidden="1"/>
    <col min="13577" max="13577" width="14.42578125" style="16" hidden="1"/>
    <col min="13578" max="13578" width="15.7109375" style="16" hidden="1"/>
    <col min="13579" max="13825" width="9.140625" style="16" hidden="1"/>
    <col min="13826" max="13826" width="8" style="16" hidden="1"/>
    <col min="13827" max="13827" width="6.85546875" style="16" hidden="1"/>
    <col min="13828" max="13828" width="14" style="16" hidden="1"/>
    <col min="13829" max="13830" width="9.140625" style="16" hidden="1"/>
    <col min="13831" max="13831" width="10.28515625" style="16" hidden="1"/>
    <col min="13832" max="13832" width="13" style="16" hidden="1"/>
    <col min="13833" max="13833" width="14.42578125" style="16" hidden="1"/>
    <col min="13834" max="13834" width="15.7109375" style="16" hidden="1"/>
    <col min="13835" max="14081" width="9.140625" style="16" hidden="1"/>
    <col min="14082" max="14082" width="8" style="16" hidden="1"/>
    <col min="14083" max="14083" width="6.85546875" style="16" hidden="1"/>
    <col min="14084" max="14084" width="14" style="16" hidden="1"/>
    <col min="14085" max="14086" width="9.140625" style="16" hidden="1"/>
    <col min="14087" max="14087" width="10.28515625" style="16" hidden="1"/>
    <col min="14088" max="14088" width="13" style="16" hidden="1"/>
    <col min="14089" max="14089" width="14.42578125" style="16" hidden="1"/>
    <col min="14090" max="14090" width="15.7109375" style="16" hidden="1"/>
    <col min="14091" max="14337" width="9.140625" style="16" hidden="1"/>
    <col min="14338" max="14338" width="8" style="16" hidden="1"/>
    <col min="14339" max="14339" width="6.85546875" style="16" hidden="1"/>
    <col min="14340" max="14340" width="14" style="16" hidden="1"/>
    <col min="14341" max="14342" width="9.140625" style="16" hidden="1"/>
    <col min="14343" max="14343" width="10.28515625" style="16" hidden="1"/>
    <col min="14344" max="14344" width="13" style="16" hidden="1"/>
    <col min="14345" max="14345" width="14.42578125" style="16" hidden="1"/>
    <col min="14346" max="14346" width="15.7109375" style="16" hidden="1"/>
    <col min="14347" max="14593" width="9.140625" style="16" hidden="1"/>
    <col min="14594" max="14594" width="8" style="16" hidden="1"/>
    <col min="14595" max="14595" width="6.85546875" style="16" hidden="1"/>
    <col min="14596" max="14596" width="14" style="16" hidden="1"/>
    <col min="14597" max="14598" width="9.140625" style="16" hidden="1"/>
    <col min="14599" max="14599" width="10.28515625" style="16" hidden="1"/>
    <col min="14600" max="14600" width="13" style="16" hidden="1"/>
    <col min="14601" max="14601" width="14.42578125" style="16" hidden="1"/>
    <col min="14602" max="14602" width="15.7109375" style="16" hidden="1"/>
    <col min="14603" max="14849" width="9.140625" style="16" hidden="1"/>
    <col min="14850" max="14850" width="8" style="16" hidden="1"/>
    <col min="14851" max="14851" width="6.85546875" style="16" hidden="1"/>
    <col min="14852" max="14852" width="14" style="16" hidden="1"/>
    <col min="14853" max="14854" width="9.140625" style="16" hidden="1"/>
    <col min="14855" max="14855" width="10.28515625" style="16" hidden="1"/>
    <col min="14856" max="14856" width="13" style="16" hidden="1"/>
    <col min="14857" max="14857" width="14.42578125" style="16" hidden="1"/>
    <col min="14858" max="14858" width="15.7109375" style="16" hidden="1"/>
    <col min="14859" max="15105" width="9.140625" style="16" hidden="1"/>
    <col min="15106" max="15106" width="8" style="16" hidden="1"/>
    <col min="15107" max="15107" width="6.85546875" style="16" hidden="1"/>
    <col min="15108" max="15108" width="14" style="16" hidden="1"/>
    <col min="15109" max="15110" width="9.140625" style="16" hidden="1"/>
    <col min="15111" max="15111" width="10.28515625" style="16" hidden="1"/>
    <col min="15112" max="15112" width="13" style="16" hidden="1"/>
    <col min="15113" max="15113" width="14.42578125" style="16" hidden="1"/>
    <col min="15114" max="15114" width="15.7109375" style="16" hidden="1"/>
    <col min="15115" max="15361" width="9.140625" style="16" hidden="1"/>
    <col min="15362" max="15362" width="8" style="16" hidden="1"/>
    <col min="15363" max="15363" width="6.85546875" style="16" hidden="1"/>
    <col min="15364" max="15364" width="14" style="16" hidden="1"/>
    <col min="15365" max="15366" width="9.140625" style="16" hidden="1"/>
    <col min="15367" max="15367" width="10.28515625" style="16" hidden="1"/>
    <col min="15368" max="15368" width="13" style="16" hidden="1"/>
    <col min="15369" max="15369" width="14.42578125" style="16" hidden="1"/>
    <col min="15370" max="15370" width="15.7109375" style="16" hidden="1"/>
    <col min="15371" max="15617" width="9.140625" style="16" hidden="1"/>
    <col min="15618" max="15618" width="8" style="16" hidden="1"/>
    <col min="15619" max="15619" width="6.85546875" style="16" hidden="1"/>
    <col min="15620" max="15620" width="14" style="16" hidden="1"/>
    <col min="15621" max="15622" width="9.140625" style="16" hidden="1"/>
    <col min="15623" max="15623" width="10.28515625" style="16" hidden="1"/>
    <col min="15624" max="15624" width="13" style="16" hidden="1"/>
    <col min="15625" max="15625" width="14.42578125" style="16" hidden="1"/>
    <col min="15626" max="15626" width="15.7109375" style="16" hidden="1"/>
    <col min="15627" max="15873" width="9.140625" style="16" hidden="1"/>
    <col min="15874" max="15874" width="8" style="16" hidden="1"/>
    <col min="15875" max="15875" width="6.85546875" style="16" hidden="1"/>
    <col min="15876" max="15876" width="14" style="16" hidden="1"/>
    <col min="15877" max="15878" width="9.140625" style="16" hidden="1"/>
    <col min="15879" max="15879" width="10.28515625" style="16" hidden="1"/>
    <col min="15880" max="15880" width="13" style="16" hidden="1"/>
    <col min="15881" max="15881" width="14.42578125" style="16" hidden="1"/>
    <col min="15882" max="15882" width="15.7109375" style="16" hidden="1"/>
    <col min="15883" max="16129" width="9.140625" style="16" hidden="1"/>
    <col min="16130" max="16130" width="8" style="16" hidden="1"/>
    <col min="16131" max="16131" width="6.85546875" style="16" hidden="1"/>
    <col min="16132" max="16132" width="14" style="16" hidden="1"/>
    <col min="16133" max="16134" width="9.140625" style="16" hidden="1"/>
    <col min="16135" max="16135" width="10.28515625" style="16" hidden="1"/>
    <col min="16136" max="16136" width="13" style="16" hidden="1"/>
    <col min="16137" max="16137" width="14.42578125" style="16" hidden="1"/>
    <col min="16138" max="16138" width="15.7109375" style="16" hidden="1"/>
    <col min="16139" max="16384" width="9.140625" style="16" hidden="1"/>
  </cols>
  <sheetData>
    <row r="6" spans="2:10" ht="16.5" thickBot="1" x14ac:dyDescent="0.3"/>
    <row r="7" spans="2:10" x14ac:dyDescent="0.25">
      <c r="B7" s="676" t="s">
        <v>4</v>
      </c>
      <c r="C7" s="677"/>
      <c r="D7" s="677"/>
      <c r="E7" s="677"/>
      <c r="F7" s="677"/>
      <c r="G7" s="677"/>
      <c r="H7" s="677"/>
      <c r="I7" s="677"/>
      <c r="J7" s="678"/>
    </row>
    <row r="8" spans="2:10" x14ac:dyDescent="0.25">
      <c r="B8" s="679" t="s">
        <v>5</v>
      </c>
      <c r="C8" s="630"/>
      <c r="D8" s="630"/>
      <c r="E8" s="680" t="s">
        <v>6</v>
      </c>
      <c r="F8" s="630"/>
      <c r="G8" s="630"/>
      <c r="H8" s="680" t="s">
        <v>7</v>
      </c>
      <c r="I8" s="630"/>
      <c r="J8" s="681"/>
    </row>
    <row r="9" spans="2:10" ht="16.5" thickBot="1" x14ac:dyDescent="0.3">
      <c r="B9" s="682" t="s">
        <v>8</v>
      </c>
      <c r="C9" s="683"/>
      <c r="D9" s="683"/>
      <c r="E9" s="683"/>
      <c r="F9" s="17"/>
      <c r="G9" s="684" t="str">
        <f>"FONE: (45)3242-2210         V.:"&amp;GERAL!C26</f>
        <v>FONE: (45)3242-2210         V.:Versão: 45791</v>
      </c>
      <c r="H9" s="684"/>
      <c r="I9" s="684"/>
      <c r="J9" s="685"/>
    </row>
    <row r="10" spans="2:10" ht="16.5" thickBot="1" x14ac:dyDescent="0.3">
      <c r="E10" s="18"/>
      <c r="F10" s="18"/>
      <c r="G10" s="18"/>
      <c r="H10" s="19"/>
    </row>
    <row r="11" spans="2:10" x14ac:dyDescent="0.25">
      <c r="B11" s="20"/>
      <c r="C11" s="103" t="str">
        <f>IF('INPUT ATV'!C2="o","Orçamento Aplic. Taxa Fixa/Variável", IF('INPUT ATV'!C2="P","Pedido Aplic. Taxa Fixa/Variável","SEM INDICAÇÃO"))</f>
        <v>Orçamento Aplic. Taxa Fixa/Variável</v>
      </c>
      <c r="D11" s="21"/>
      <c r="E11" s="22"/>
      <c r="F11" s="22"/>
      <c r="G11" s="22"/>
      <c r="H11" s="613" t="s">
        <v>9</v>
      </c>
      <c r="I11" s="614">
        <f ca="1">TODAY()</f>
        <v>45828</v>
      </c>
      <c r="J11" s="25"/>
    </row>
    <row r="12" spans="2:10" x14ac:dyDescent="0.25">
      <c r="B12" s="26"/>
      <c r="J12" s="27"/>
    </row>
    <row r="13" spans="2:10" x14ac:dyDescent="0.25">
      <c r="B13" s="26"/>
      <c r="C13" s="28" t="s">
        <v>37</v>
      </c>
      <c r="D13" s="29"/>
      <c r="E13" s="728" t="s">
        <v>401</v>
      </c>
      <c r="F13" s="815"/>
      <c r="G13" s="815"/>
      <c r="H13" s="815"/>
      <c r="I13" s="816"/>
      <c r="J13" s="30"/>
    </row>
    <row r="14" spans="2:10" x14ac:dyDescent="0.25">
      <c r="B14" s="26"/>
      <c r="C14" s="28" t="s">
        <v>38</v>
      </c>
      <c r="D14" s="29"/>
      <c r="E14" s="660"/>
      <c r="F14" s="661"/>
      <c r="G14" s="661"/>
      <c r="H14" s="661"/>
      <c r="I14" s="662"/>
      <c r="J14" s="30"/>
    </row>
    <row r="15" spans="2:10" x14ac:dyDescent="0.25">
      <c r="B15" s="26"/>
      <c r="C15" s="31" t="s">
        <v>39</v>
      </c>
      <c r="E15" s="660" t="s">
        <v>402</v>
      </c>
      <c r="F15" s="661"/>
      <c r="G15" s="661"/>
      <c r="H15" s="661"/>
      <c r="I15" s="662"/>
      <c r="J15" s="30"/>
    </row>
    <row r="16" spans="2:10" x14ac:dyDescent="0.25">
      <c r="B16" s="26"/>
      <c r="C16" s="28" t="s">
        <v>40</v>
      </c>
      <c r="D16" s="29"/>
      <c r="E16" s="1" t="s">
        <v>380</v>
      </c>
      <c r="F16" s="543" t="s">
        <v>367</v>
      </c>
      <c r="G16" s="661"/>
      <c r="H16" s="661"/>
      <c r="I16" s="662"/>
      <c r="J16" s="30"/>
    </row>
    <row r="17" spans="2:11" x14ac:dyDescent="0.25">
      <c r="B17" s="26"/>
      <c r="C17" s="31" t="s">
        <v>41</v>
      </c>
      <c r="E17" s="661"/>
      <c r="F17" s="661"/>
      <c r="G17" s="661"/>
      <c r="H17" s="172" t="s">
        <v>113</v>
      </c>
      <c r="I17" s="170"/>
      <c r="J17" s="30"/>
      <c r="K17" s="32"/>
    </row>
    <row r="18" spans="2:11" x14ac:dyDescent="0.25">
      <c r="B18" s="26"/>
      <c r="C18" s="28" t="s">
        <v>42</v>
      </c>
      <c r="D18" s="29"/>
      <c r="E18" s="661"/>
      <c r="F18" s="661"/>
      <c r="G18" s="661"/>
      <c r="H18" s="661"/>
      <c r="I18" s="662"/>
      <c r="J18" s="30"/>
    </row>
    <row r="19" spans="2:11" x14ac:dyDescent="0.25">
      <c r="B19" s="26"/>
      <c r="C19" s="28" t="s">
        <v>43</v>
      </c>
      <c r="D19" s="29"/>
      <c r="E19" s="660"/>
      <c r="F19" s="661"/>
      <c r="G19" s="661"/>
      <c r="H19" s="661"/>
      <c r="I19" s="662"/>
      <c r="J19" s="30"/>
    </row>
    <row r="20" spans="2:11" x14ac:dyDescent="0.25">
      <c r="B20" s="26"/>
      <c r="E20" s="54"/>
      <c r="F20" s="54"/>
      <c r="G20" s="54"/>
      <c r="H20" s="54"/>
      <c r="I20" s="54"/>
      <c r="J20" s="27"/>
    </row>
    <row r="21" spans="2:11" ht="16.5" thickBot="1" x14ac:dyDescent="0.3">
      <c r="B21" s="33"/>
      <c r="C21" s="17"/>
      <c r="D21" s="17"/>
      <c r="E21" s="58"/>
      <c r="F21" s="58"/>
      <c r="G21" s="58"/>
      <c r="H21" s="58"/>
      <c r="I21" s="58"/>
      <c r="J21" s="34"/>
    </row>
    <row r="22" spans="2:11" ht="16.5" thickBot="1" x14ac:dyDescent="0.3">
      <c r="E22" s="54"/>
      <c r="F22" s="54"/>
      <c r="G22" s="54"/>
      <c r="H22" s="54"/>
      <c r="I22" s="54"/>
    </row>
    <row r="23" spans="2:11" x14ac:dyDescent="0.25">
      <c r="B23" s="20"/>
      <c r="C23" s="21"/>
      <c r="D23" s="21"/>
      <c r="E23" s="59"/>
      <c r="F23" s="59"/>
      <c r="G23" s="59"/>
      <c r="H23" s="59"/>
      <c r="I23" s="59"/>
      <c r="J23" s="25"/>
    </row>
    <row r="24" spans="2:11" x14ac:dyDescent="0.25">
      <c r="B24" s="26"/>
      <c r="C24" s="28" t="s">
        <v>10</v>
      </c>
      <c r="D24" s="29"/>
      <c r="E24" s="660" t="s">
        <v>403</v>
      </c>
      <c r="F24" s="661"/>
      <c r="G24" s="661"/>
      <c r="H24" s="661"/>
      <c r="I24" s="662"/>
      <c r="J24" s="27"/>
    </row>
    <row r="25" spans="2:11" x14ac:dyDescent="0.25">
      <c r="B25" s="26"/>
      <c r="C25" s="28" t="s">
        <v>11</v>
      </c>
      <c r="D25" s="35"/>
      <c r="E25" s="660"/>
      <c r="F25" s="661"/>
      <c r="G25" s="661"/>
      <c r="H25" s="661"/>
      <c r="I25" s="662"/>
      <c r="J25" s="27"/>
    </row>
    <row r="26" spans="2:11" x14ac:dyDescent="0.25">
      <c r="B26" s="26"/>
      <c r="C26" s="28" t="s">
        <v>12</v>
      </c>
      <c r="D26" s="35"/>
      <c r="E26" s="661"/>
      <c r="F26" s="661"/>
      <c r="G26" s="661"/>
      <c r="H26" s="661"/>
      <c r="I26" s="662"/>
      <c r="J26" s="27"/>
    </row>
    <row r="27" spans="2:11" x14ac:dyDescent="0.25">
      <c r="B27" s="26"/>
      <c r="C27" s="28" t="s">
        <v>13</v>
      </c>
      <c r="D27" s="35"/>
      <c r="E27" s="673"/>
      <c r="F27" s="673"/>
      <c r="G27" s="673"/>
      <c r="H27" s="673"/>
      <c r="I27" s="674"/>
      <c r="J27" s="27"/>
    </row>
    <row r="28" spans="2:11" x14ac:dyDescent="0.25">
      <c r="B28" s="26"/>
      <c r="C28" s="28" t="s">
        <v>14</v>
      </c>
      <c r="D28" s="35"/>
      <c r="E28" s="812" t="s">
        <v>404</v>
      </c>
      <c r="F28" s="673"/>
      <c r="G28" s="673"/>
      <c r="H28" s="673"/>
      <c r="I28" s="674"/>
      <c r="J28" s="27"/>
    </row>
    <row r="29" spans="2:11" ht="16.5" thickBot="1" x14ac:dyDescent="0.3">
      <c r="B29" s="33"/>
      <c r="C29" s="17"/>
      <c r="D29" s="17"/>
      <c r="E29" s="17"/>
      <c r="F29" s="17"/>
      <c r="G29" s="17"/>
      <c r="H29" s="17"/>
      <c r="I29" s="17"/>
      <c r="J29" s="34"/>
    </row>
    <row r="30" spans="2:11" ht="16.5" thickBot="1" x14ac:dyDescent="0.3"/>
    <row r="31" spans="2:11" x14ac:dyDescent="0.25">
      <c r="B31" s="20"/>
      <c r="C31" s="21"/>
      <c r="D31" s="36"/>
      <c r="E31" s="21"/>
      <c r="F31" s="21"/>
      <c r="G31" s="21"/>
      <c r="H31" s="21"/>
      <c r="I31" s="21"/>
      <c r="J31" s="25"/>
    </row>
    <row r="32" spans="2:11" x14ac:dyDescent="0.25">
      <c r="B32" s="37" t="s">
        <v>15</v>
      </c>
      <c r="D32" s="407">
        <f>'INPUT ATV'!F2</f>
        <v>45899</v>
      </c>
      <c r="E32" s="32"/>
      <c r="G32" s="39" t="s">
        <v>16</v>
      </c>
      <c r="H32" s="10"/>
      <c r="J32" s="27"/>
    </row>
    <row r="33" spans="2:10" x14ac:dyDescent="0.25">
      <c r="B33" s="37" t="s">
        <v>224</v>
      </c>
      <c r="D33" s="11"/>
      <c r="E33" s="41" t="s">
        <v>20</v>
      </c>
      <c r="G33" s="39" t="s">
        <v>18</v>
      </c>
      <c r="H33" s="10"/>
      <c r="J33" s="27"/>
    </row>
    <row r="34" spans="2:10" x14ac:dyDescent="0.25">
      <c r="B34" s="37" t="s">
        <v>19</v>
      </c>
      <c r="D34" s="11"/>
      <c r="E34" s="41" t="s">
        <v>20</v>
      </c>
      <c r="G34" s="39" t="s">
        <v>21</v>
      </c>
      <c r="H34" s="12"/>
      <c r="J34" s="27"/>
    </row>
    <row r="35" spans="2:10" x14ac:dyDescent="0.25">
      <c r="B35" s="37" t="s">
        <v>23</v>
      </c>
      <c r="D35" s="13"/>
      <c r="E35" s="42"/>
      <c r="G35" s="43" t="str">
        <f>IF('INPUT ATV'!C8="n","(**)"," ")</f>
        <v xml:space="preserve"> </v>
      </c>
      <c r="H35" s="44"/>
      <c r="J35" s="27"/>
    </row>
    <row r="36" spans="2:10" x14ac:dyDescent="0.25">
      <c r="B36" s="37" t="s">
        <v>24</v>
      </c>
      <c r="D36" s="55" t="str">
        <f>'PEDIDO VIA CLIENTE'!D36</f>
        <v>VICTOR</v>
      </c>
      <c r="E36" s="42"/>
      <c r="G36" s="39"/>
      <c r="H36" s="44"/>
      <c r="J36" s="27"/>
    </row>
    <row r="37" spans="2:10" ht="16.5" thickBot="1" x14ac:dyDescent="0.3">
      <c r="B37" s="33"/>
      <c r="C37" s="17"/>
      <c r="D37" s="17"/>
      <c r="E37" s="17"/>
      <c r="F37" s="17"/>
      <c r="G37" s="17"/>
      <c r="H37" s="17"/>
      <c r="I37" s="17"/>
      <c r="J37" s="34"/>
    </row>
    <row r="38" spans="2:10" ht="16.5" thickBot="1" x14ac:dyDescent="0.3"/>
    <row r="39" spans="2:10" x14ac:dyDescent="0.25">
      <c r="B39" s="668" t="s">
        <v>25</v>
      </c>
      <c r="C39" s="669"/>
      <c r="D39" s="45" t="s">
        <v>26</v>
      </c>
      <c r="E39" s="669" t="s">
        <v>27</v>
      </c>
      <c r="F39" s="669"/>
      <c r="G39" s="669"/>
      <c r="H39" s="669"/>
      <c r="I39" s="45" t="s">
        <v>28</v>
      </c>
      <c r="J39" s="46" t="s">
        <v>46</v>
      </c>
    </row>
    <row r="40" spans="2:10" x14ac:dyDescent="0.25">
      <c r="B40" s="813">
        <f>SUMIF('INPUT ATV'!G10:G16,"S",'INPUT ATV'!H10:H16)</f>
        <v>0</v>
      </c>
      <c r="C40" s="814"/>
      <c r="D40" s="72" t="s">
        <v>150</v>
      </c>
      <c r="E40" s="801" t="str">
        <f>"FRETE ("&amp;'INPUT ATV'!K17&amp;" Km/"&amp;SUMIF('INPUT ATV'!G10:G16,"S",'INPUT ATV'!I10:I16)&amp;" Cargas)"&amp;IF('INPUT ATV'!Q20&gt;0," + DESLOC. "&amp;"("&amp;'INPUT ATV'!C3*2&amp;" Km)","")</f>
        <v>FRETE (0 Km/0 Cargas)</v>
      </c>
      <c r="F40" s="802"/>
      <c r="G40" s="802"/>
      <c r="H40" s="803"/>
      <c r="I40" s="154">
        <f>IF(B40&gt;0,J40/B40,0)</f>
        <v>0</v>
      </c>
      <c r="J40" s="74">
        <f>('INPUT ATV'!O17+'INPUT ATV'!Q20)</f>
        <v>0</v>
      </c>
    </row>
    <row r="41" spans="2:10" x14ac:dyDescent="0.25">
      <c r="B41" s="804">
        <f>IF(J41&gt;0,'INPUT ATV'!D18,0)</f>
        <v>1</v>
      </c>
      <c r="C41" s="805"/>
      <c r="D41" s="72" t="s">
        <v>180</v>
      </c>
      <c r="E41" s="281" t="str">
        <f>"CARREGAMENTO ("&amp;INT('INPUT ATV'!H17)&amp;" TON/"&amp;ROUND('INPUT ATV'!C3*4,1)&amp;" Km desloc.)"</f>
        <v>CARREGAMENTO (187 TON/160 Km desloc.)</v>
      </c>
      <c r="F41" s="282"/>
      <c r="G41" s="282"/>
      <c r="H41" s="283"/>
      <c r="I41" s="154">
        <f>IF(J41&gt;0,J41/B41,0)</f>
        <v>4096</v>
      </c>
      <c r="J41" s="74">
        <f>'INPUT ATV'!Q21</f>
        <v>4096</v>
      </c>
    </row>
    <row r="42" spans="2:10" x14ac:dyDescent="0.25">
      <c r="B42" s="806">
        <f>IF(J42&gt;0,IF(D42="ALQ",'INPUT ATV'!D10,'INPUT ATV'!H10),"")</f>
        <v>30.09</v>
      </c>
      <c r="C42" s="807"/>
      <c r="D42" s="72" t="str">
        <f>IF('INPUT ATV'!C10&gt;0,IF(OR('INPUT ATV'!A10="Cama de Frango",'INPUT ATV'!H10/('INPUT ATV'!C10+'INPUT ATV'!M10)&gt;=5.5),"TON","ALQ"),"")</f>
        <v>ALQ</v>
      </c>
      <c r="E42" s="809" t="str">
        <f>IF('INPUT ATV'!A10="","","Serviço  Aplic. "&amp;'INPUT ATV'!A10&amp;" - "&amp;IF(D42="ALQ",ROUND('INPUT ATV'!H10,1)&amp;" TON",ROUND('INPUT ATV'!D10,2)&amp;" ALQ"))&amp;IF('INPUT ATV'!B10&lt;&gt;""," - "&amp;'INPUT ATV'!B10,"")</f>
        <v>Serviço  Aplic. Calc. Dolomítico - 174,5 TON - TL44</v>
      </c>
      <c r="F42" s="810"/>
      <c r="G42" s="810"/>
      <c r="H42" s="811"/>
      <c r="I42" s="73">
        <f t="shared" ref="I42:I48" si="0">IF(J42&lt;&gt;0,J42/B42,0)</f>
        <v>293.27999999999997</v>
      </c>
      <c r="J42" s="74">
        <f>'INPUT ATV'!P10</f>
        <v>8824.7951999999987</v>
      </c>
    </row>
    <row r="43" spans="2:10" x14ac:dyDescent="0.25">
      <c r="B43" s="806">
        <f>IF(J43&gt;0,IF(D43="ALQ",'INPUT ATV'!D11,'INPUT ATV'!H11),"")</f>
        <v>3.76</v>
      </c>
      <c r="C43" s="807"/>
      <c r="D43" s="72" t="str">
        <f>IF('INPUT ATV'!C11&gt;0,IF(OR('INPUT ATV'!A11="Cama de Frango",'INPUT ATV'!H11/('INPUT ATV'!C11+'INPUT ATV'!M11)&gt;=5.5),"TON","ALQ"),"")</f>
        <v>ALQ</v>
      </c>
      <c r="E43" s="809" t="str">
        <f>IF('INPUT ATV'!A11="","","Serviço  Aplic. "&amp;'INPUT ATV'!A11&amp;" - "&amp;IF(D43="ALQ",ROUND('INPUT ATV'!H11,1)&amp;" TON",ROUND('INPUT ATV'!D11,2)&amp;" ALQ"))&amp;IF('INPUT ATV'!B11&lt;&gt;""," - "&amp;'INPUT ATV'!B11,"")</f>
        <v>Serviço  Aplic. Calc. Dolomítico - 12,5 TON - TL45</v>
      </c>
      <c r="F43" s="810"/>
      <c r="G43" s="810"/>
      <c r="H43" s="811"/>
      <c r="I43" s="73">
        <f t="shared" si="0"/>
        <v>293.27999999999997</v>
      </c>
      <c r="J43" s="74">
        <f>'INPUT ATV'!P11</f>
        <v>1102.7327999999998</v>
      </c>
    </row>
    <row r="44" spans="2:10" x14ac:dyDescent="0.25">
      <c r="B44" s="806" t="str">
        <f>IF(J44&gt;0,IF(D44="ALQ",'INPUT ATV'!D12,'INPUT ATV'!H12),"")</f>
        <v/>
      </c>
      <c r="C44" s="807"/>
      <c r="D44" s="72" t="str">
        <f>IF('INPUT ATV'!C12&gt;0,IF(OR('INPUT ATV'!A12="Cama de Frango",'INPUT ATV'!H12/('INPUT ATV'!C12+'INPUT ATV'!M12)&gt;=5.5),"TON","ALQ"),"")</f>
        <v/>
      </c>
      <c r="E44" s="809" t="str">
        <f>IF('INPUT ATV'!A12="","","Serviço  Aplic. "&amp;'INPUT ATV'!A12&amp;" - "&amp;IF(D44="ALQ",ROUND('INPUT ATV'!H12,1)&amp;" TON",ROUND('INPUT ATV'!D12,2)&amp;" ALQ"))&amp;IF('INPUT ATV'!B12&lt;&gt;""," - "&amp;'INPUT ATV'!B12,"")</f>
        <v/>
      </c>
      <c r="F44" s="810"/>
      <c r="G44" s="810"/>
      <c r="H44" s="811"/>
      <c r="I44" s="73">
        <f t="shared" si="0"/>
        <v>0</v>
      </c>
      <c r="J44" s="74">
        <f>'INPUT ATV'!P12</f>
        <v>0</v>
      </c>
    </row>
    <row r="45" spans="2:10" x14ac:dyDescent="0.25">
      <c r="B45" s="806" t="str">
        <f>IF(J45&gt;0,IF(D45="ALQ",'INPUT ATV'!D13,'INPUT ATV'!H13),"")</f>
        <v/>
      </c>
      <c r="C45" s="807"/>
      <c r="D45" s="72" t="str">
        <f>IF('INPUT ATV'!C13&gt;0,IF(OR('INPUT ATV'!A13="Cama de Frango",'INPUT ATV'!H13/('INPUT ATV'!C13+'INPUT ATV'!M13)&gt;=5.5),"TON","ALQ"),"")</f>
        <v/>
      </c>
      <c r="E45" s="809" t="str">
        <f>IF('INPUT ATV'!A13="","","Serviço  Aplic. "&amp;'INPUT ATV'!A13&amp;" - "&amp;IF(D45="ALQ",ROUND('INPUT ATV'!H13,1)&amp;" TON",ROUND('INPUT ATV'!D13,2)&amp;" ALQ"))&amp;IF('INPUT ATV'!B13&lt;&gt;""," - "&amp;'INPUT ATV'!B13,"")</f>
        <v/>
      </c>
      <c r="F45" s="810"/>
      <c r="G45" s="810"/>
      <c r="H45" s="811"/>
      <c r="I45" s="73">
        <f t="shared" si="0"/>
        <v>0</v>
      </c>
      <c r="J45" s="74">
        <f>'INPUT ATV'!P13</f>
        <v>0</v>
      </c>
    </row>
    <row r="46" spans="2:10" x14ac:dyDescent="0.25">
      <c r="B46" s="806" t="str">
        <f>IF(J46&gt;0,IF(D46="ALQ",'INPUT ATV'!D14,'INPUT ATV'!H14),"")</f>
        <v/>
      </c>
      <c r="C46" s="807"/>
      <c r="D46" s="72" t="str">
        <f>IF('INPUT ATV'!C14&gt;0,IF(OR('INPUT ATV'!A14="Cama de Frango",'INPUT ATV'!H14/('INPUT ATV'!C14+'INPUT ATV'!M14)&gt;=5.5),"TON","ALQ"),"")</f>
        <v/>
      </c>
      <c r="E46" s="809" t="str">
        <f>IF('INPUT ATV'!A14="","","Serviço  Aplic. "&amp;'INPUT ATV'!A14&amp;" - "&amp;IF(D46="ALQ",ROUND('INPUT ATV'!H14,1)&amp;" TON",ROUND('INPUT ATV'!D14,2)&amp;" ALQ"))&amp;IF('INPUT ATV'!B14&lt;&gt;""," - "&amp;'INPUT ATV'!B14,"")</f>
        <v/>
      </c>
      <c r="F46" s="810"/>
      <c r="G46" s="810"/>
      <c r="H46" s="811"/>
      <c r="I46" s="73">
        <f t="shared" si="0"/>
        <v>0</v>
      </c>
      <c r="J46" s="74">
        <f>'INPUT ATV'!P14</f>
        <v>0</v>
      </c>
    </row>
    <row r="47" spans="2:10" x14ac:dyDescent="0.25">
      <c r="B47" s="806" t="str">
        <f>IF(J47&gt;0,IF(D47="ALQ",'INPUT ATV'!D15,'INPUT ATV'!H15),"")</f>
        <v/>
      </c>
      <c r="C47" s="807"/>
      <c r="D47" s="72" t="str">
        <f>IF('INPUT ATV'!C15&gt;0,IF(OR('INPUT ATV'!A15="Cama de Frango",'INPUT ATV'!H15/('INPUT ATV'!C15+'INPUT ATV'!M15)&gt;=5.5),"TON","ALQ"),"")</f>
        <v/>
      </c>
      <c r="E47" s="809" t="str">
        <f>IF('INPUT ATV'!A15="","","Serviço  Aplic. "&amp;'INPUT ATV'!A15&amp;" - "&amp;IF(D47="ALQ",ROUND('INPUT ATV'!H15,1)&amp;" TON",ROUND('INPUT ATV'!D15,2)&amp;" ALQ"))&amp;IF('INPUT ATV'!B15&lt;&gt;""," - "&amp;'INPUT ATV'!B15,"")</f>
        <v/>
      </c>
      <c r="F47" s="810"/>
      <c r="G47" s="810"/>
      <c r="H47" s="811"/>
      <c r="I47" s="73">
        <f t="shared" si="0"/>
        <v>0</v>
      </c>
      <c r="J47" s="74">
        <f>'INPUT ATV'!P15</f>
        <v>0</v>
      </c>
    </row>
    <row r="48" spans="2:10" x14ac:dyDescent="0.25">
      <c r="B48" s="806" t="str">
        <f>IF(J48&gt;0,IF(D48="ALQ",'INPUT ATV'!D16,'INPUT ATV'!H16),"")</f>
        <v/>
      </c>
      <c r="C48" s="807"/>
      <c r="D48" s="72" t="str">
        <f>IF('INPUT ATV'!C16&gt;0,IF(OR('INPUT ATV'!A16="Cama de Frango",'INPUT ATV'!H16/('INPUT ATV'!C16+'INPUT ATV'!M16)&gt;=5.5),"TON","ALQ"),"")</f>
        <v/>
      </c>
      <c r="E48" s="809" t="str">
        <f>IF('INPUT ATV'!A16="","","Serviço  Aplic. "&amp;'INPUT ATV'!A16&amp;" - "&amp;IF(D48="ALQ",ROUND('INPUT ATV'!H16,1)&amp;" TON",ROUND('INPUT ATV'!D16,2)&amp;" ALQ"))&amp;IF('INPUT ATV'!B16&lt;&gt;""," - "&amp;'INPUT ATV'!B16,"")</f>
        <v/>
      </c>
      <c r="F48" s="810"/>
      <c r="G48" s="810"/>
      <c r="H48" s="811"/>
      <c r="I48" s="73">
        <f t="shared" si="0"/>
        <v>0</v>
      </c>
      <c r="J48" s="74">
        <f>'INPUT ATV'!P16</f>
        <v>0</v>
      </c>
    </row>
    <row r="49" spans="2:10" x14ac:dyDescent="0.25">
      <c r="B49" s="806"/>
      <c r="C49" s="807"/>
      <c r="D49" s="72"/>
      <c r="E49" s="642" t="str">
        <f>IF('INPUT ATV'!C8="N","DESCONTO (**)","")</f>
        <v/>
      </c>
      <c r="F49" s="643"/>
      <c r="G49" s="643"/>
      <c r="H49" s="644"/>
      <c r="I49" s="75"/>
      <c r="J49" s="74">
        <f>IF(E49&lt;&gt;"",'INPUT ATV'!Q19*(-1),0)</f>
        <v>0</v>
      </c>
    </row>
    <row r="50" spans="2:10" x14ac:dyDescent="0.25">
      <c r="B50" s="655">
        <v>33.9</v>
      </c>
      <c r="C50" s="656"/>
      <c r="D50" s="12" t="s">
        <v>30</v>
      </c>
      <c r="E50" s="808" t="s">
        <v>384</v>
      </c>
      <c r="F50" s="808"/>
      <c r="G50" s="808"/>
      <c r="H50" s="808"/>
      <c r="I50" s="70">
        <v>-3.28</v>
      </c>
      <c r="J50" s="49">
        <f>I50*B50</f>
        <v>-111.19199999999999</v>
      </c>
    </row>
    <row r="51" spans="2:10" x14ac:dyDescent="0.25">
      <c r="B51" s="655"/>
      <c r="C51" s="656"/>
      <c r="D51" s="12"/>
      <c r="E51" s="808"/>
      <c r="F51" s="808"/>
      <c r="G51" s="808"/>
      <c r="H51" s="808"/>
      <c r="I51" s="70"/>
      <c r="J51" s="49">
        <f>I51*B51</f>
        <v>0</v>
      </c>
    </row>
    <row r="52" spans="2:10" ht="16.5" thickBot="1" x14ac:dyDescent="0.3">
      <c r="B52" s="783"/>
      <c r="C52" s="784"/>
      <c r="D52" s="239"/>
      <c r="E52" s="785"/>
      <c r="F52" s="786"/>
      <c r="G52" s="786"/>
      <c r="H52" s="787"/>
      <c r="I52" s="70"/>
      <c r="J52" s="500">
        <f>I52*B52</f>
        <v>0</v>
      </c>
    </row>
    <row r="53" spans="2:10" ht="16.5" thickBot="1" x14ac:dyDescent="0.3">
      <c r="B53" s="791" t="str">
        <f>ROUND('INPUT ATV'!D17,1)&amp;"Alq/"&amp;ROUND('INPUT ATV'!H17,1)&amp;"Ton (R$/Alq = "&amp;ROUND(I53/'INPUT ATV'!D17,2)&amp;" - R$/CARGA = "&amp;IFERROR(ROUND(I53/'INPUT ATV'!I17,2)&amp;")","")</f>
        <v>33,9Alq/187Ton (R$/Alq = 411 - R$/CARGA = 927,49)</v>
      </c>
      <c r="C53" s="792"/>
      <c r="D53" s="792"/>
      <c r="E53" s="792"/>
      <c r="F53" s="792"/>
      <c r="G53" s="793"/>
      <c r="H53" s="215" t="s">
        <v>31</v>
      </c>
      <c r="I53" s="794">
        <f>SUM(J40:J52)</f>
        <v>13912.335999999999</v>
      </c>
      <c r="J53" s="795"/>
    </row>
    <row r="54" spans="2:10" ht="16.5" thickBot="1" x14ac:dyDescent="0.3">
      <c r="B54" s="796" t="str">
        <f>IFERROR("R$ "&amp;ROUND((I53/'INPUT ATV'!H17),2)&amp;"/Ton","R$/ton=")</f>
        <v>R$ 74,4/Ton</v>
      </c>
      <c r="C54" s="797"/>
      <c r="D54" s="32"/>
      <c r="E54" s="630"/>
      <c r="F54" s="630"/>
      <c r="G54" s="630"/>
      <c r="H54" s="630"/>
    </row>
    <row r="55" spans="2:10" x14ac:dyDescent="0.25">
      <c r="B55" s="51"/>
      <c r="C55" s="51"/>
      <c r="E55" s="52"/>
      <c r="F55" s="52"/>
      <c r="G55" s="52"/>
      <c r="H55" s="52"/>
    </row>
    <row r="56" spans="2:10" x14ac:dyDescent="0.25">
      <c r="B56" s="798" t="str">
        <f>"OBS: "&amp;IF('INPUT ATV'!F5="","Sobre almoço não informado",IF('INPUT ATV'!F5="s","Cliente providencia almoço","Cliente NÃO providencia almoço"))&amp;"//"&amp;IF('INPUT ATV'!F6="","Origem Mapa não informado",IF('INPUT ATV'!F6="s","Mapa origem Preciza","Mapa origem NÃO Preciza"))</f>
        <v>OBS: Cliente NÃO providencia almoço//Mapa origem Preciza</v>
      </c>
      <c r="C56" s="799"/>
      <c r="D56" s="799"/>
      <c r="E56" s="799"/>
      <c r="F56" s="799"/>
      <c r="G56" s="799"/>
      <c r="H56" s="799"/>
      <c r="I56" s="799"/>
      <c r="J56" s="800"/>
    </row>
    <row r="57" spans="2:10" x14ac:dyDescent="0.25">
      <c r="B57" s="788"/>
      <c r="C57" s="789"/>
      <c r="D57" s="789"/>
      <c r="E57" s="789"/>
      <c r="F57" s="789"/>
      <c r="G57" s="789"/>
      <c r="H57" s="789"/>
      <c r="I57" s="789"/>
      <c r="J57" s="790"/>
    </row>
    <row r="58" spans="2:10" x14ac:dyDescent="0.25">
      <c r="B58" s="788"/>
      <c r="C58" s="789"/>
      <c r="D58" s="789"/>
      <c r="E58" s="789"/>
      <c r="F58" s="789"/>
      <c r="G58" s="789"/>
      <c r="H58" s="789"/>
      <c r="I58" s="789"/>
      <c r="J58" s="790"/>
    </row>
    <row r="59" spans="2:10" x14ac:dyDescent="0.25">
      <c r="B59" s="391" t="str">
        <f>IF('INPUT ATV'!C2="p","","OBS: Validade do orçamento: 30 dias")</f>
        <v>OBS: Validade do orçamento: 30 dias</v>
      </c>
      <c r="C59" s="54"/>
      <c r="D59" s="54"/>
      <c r="E59" s="54"/>
      <c r="F59" s="54"/>
      <c r="G59" s="54"/>
      <c r="H59" s="54"/>
      <c r="I59" s="54"/>
      <c r="J59" s="54"/>
    </row>
    <row r="61" spans="2:10" x14ac:dyDescent="0.25">
      <c r="B61" s="55" t="s">
        <v>32</v>
      </c>
      <c r="G61" s="55" t="s">
        <v>33</v>
      </c>
    </row>
    <row r="62" spans="2:10" x14ac:dyDescent="0.25">
      <c r="B62" s="55" t="s">
        <v>34</v>
      </c>
      <c r="G62" s="16" t="str">
        <f>E13</f>
        <v>RENATA FESTUGATO</v>
      </c>
    </row>
    <row r="65" s="16" customFormat="1" x14ac:dyDescent="0.25"/>
    <row r="66" s="16" customFormat="1" x14ac:dyDescent="0.25"/>
    <row r="67" s="16" customFormat="1" x14ac:dyDescent="0.25"/>
    <row r="68" s="16" customFormat="1" x14ac:dyDescent="0.25"/>
    <row r="69" s="16" customFormat="1" x14ac:dyDescent="0.25"/>
    <row r="70" s="16" customFormat="1" x14ac:dyDescent="0.25"/>
  </sheetData>
  <mergeCells count="52">
    <mergeCell ref="E13:I13"/>
    <mergeCell ref="E14:I14"/>
    <mergeCell ref="E15:I15"/>
    <mergeCell ref="E18:I18"/>
    <mergeCell ref="G16:I16"/>
    <mergeCell ref="B7:J7"/>
    <mergeCell ref="B8:D8"/>
    <mergeCell ref="E8:G8"/>
    <mergeCell ref="H8:J8"/>
    <mergeCell ref="B9:E9"/>
    <mergeCell ref="G9:J9"/>
    <mergeCell ref="E26:I26"/>
    <mergeCell ref="E27:I27"/>
    <mergeCell ref="E17:G17"/>
    <mergeCell ref="B49:C49"/>
    <mergeCell ref="E49:H49"/>
    <mergeCell ref="E28:I28"/>
    <mergeCell ref="E19:I19"/>
    <mergeCell ref="E24:I24"/>
    <mergeCell ref="E25:I25"/>
    <mergeCell ref="B39:C39"/>
    <mergeCell ref="E39:H39"/>
    <mergeCell ref="B42:C42"/>
    <mergeCell ref="E42:H42"/>
    <mergeCell ref="B43:C43"/>
    <mergeCell ref="E43:H43"/>
    <mergeCell ref="B40:C40"/>
    <mergeCell ref="E40:H40"/>
    <mergeCell ref="B41:C41"/>
    <mergeCell ref="B47:C47"/>
    <mergeCell ref="B48:C48"/>
    <mergeCell ref="B51:C51"/>
    <mergeCell ref="E51:H51"/>
    <mergeCell ref="E47:H47"/>
    <mergeCell ref="E48:H48"/>
    <mergeCell ref="B50:C50"/>
    <mergeCell ref="E50:H50"/>
    <mergeCell ref="B44:C44"/>
    <mergeCell ref="E44:H44"/>
    <mergeCell ref="B45:C45"/>
    <mergeCell ref="E45:H45"/>
    <mergeCell ref="B46:C46"/>
    <mergeCell ref="E46:H46"/>
    <mergeCell ref="B52:C52"/>
    <mergeCell ref="E52:H52"/>
    <mergeCell ref="B57:J57"/>
    <mergeCell ref="B58:J58"/>
    <mergeCell ref="B53:G53"/>
    <mergeCell ref="I53:J53"/>
    <mergeCell ref="B54:C54"/>
    <mergeCell ref="E54:H54"/>
    <mergeCell ref="B56:J56"/>
  </mergeCells>
  <pageMargins left="0.51181102362204722" right="0.51181102362204722" top="0.78740157480314965" bottom="0.78740157480314965" header="0.31496062992125984" footer="0.31496062992125984"/>
  <pageSetup paperSize="9" scale="77" orientation="portrait" cellComments="asDisplayed" horizontalDpi="360" verticalDpi="360" r:id="rId1"/>
  <colBreaks count="1" manualBreakCount="1">
    <brk id="10" max="1048575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A066B-E2EB-43F2-B4B6-86DBECAE19A1}">
  <sheetPr codeName="Plan15">
    <pageSetUpPr fitToPage="1"/>
  </sheetPr>
  <dimension ref="B6:K60"/>
  <sheetViews>
    <sheetView showGridLines="0" zoomScaleNormal="100" zoomScaleSheetLayoutView="150" workbookViewId="0">
      <selection activeCell="E16" sqref="E16"/>
    </sheetView>
  </sheetViews>
  <sheetFormatPr defaultColWidth="9.140625" defaultRowHeight="15.75" x14ac:dyDescent="0.25"/>
  <cols>
    <col min="1" max="1" width="9.140625" style="16"/>
    <col min="2" max="2" width="8" style="16" customWidth="1"/>
    <col min="3" max="3" width="9.28515625" style="16" customWidth="1"/>
    <col min="4" max="4" width="11.7109375" style="16" customWidth="1"/>
    <col min="5" max="6" width="9.140625" style="16"/>
    <col min="7" max="7" width="10.28515625" style="16" customWidth="1"/>
    <col min="8" max="8" width="13" style="16" customWidth="1"/>
    <col min="9" max="9" width="14.42578125" style="16" bestFit="1" customWidth="1"/>
    <col min="10" max="10" width="15.7109375" style="16" bestFit="1" customWidth="1"/>
    <col min="11" max="257" width="9.140625" style="16"/>
    <col min="258" max="258" width="8" style="16" customWidth="1"/>
    <col min="259" max="259" width="6.85546875" style="16" customWidth="1"/>
    <col min="260" max="260" width="14" style="16" bestFit="1" customWidth="1"/>
    <col min="261" max="262" width="9.140625" style="16"/>
    <col min="263" max="263" width="10.28515625" style="16" customWidth="1"/>
    <col min="264" max="264" width="13" style="16" customWidth="1"/>
    <col min="265" max="265" width="14.42578125" style="16" bestFit="1" customWidth="1"/>
    <col min="266" max="266" width="15.7109375" style="16" bestFit="1" customWidth="1"/>
    <col min="267" max="513" width="9.140625" style="16"/>
    <col min="514" max="514" width="8" style="16" customWidth="1"/>
    <col min="515" max="515" width="6.85546875" style="16" customWidth="1"/>
    <col min="516" max="516" width="14" style="16" bestFit="1" customWidth="1"/>
    <col min="517" max="518" width="9.140625" style="16"/>
    <col min="519" max="519" width="10.28515625" style="16" customWidth="1"/>
    <col min="520" max="520" width="13" style="16" customWidth="1"/>
    <col min="521" max="521" width="14.42578125" style="16" bestFit="1" customWidth="1"/>
    <col min="522" max="522" width="15.7109375" style="16" bestFit="1" customWidth="1"/>
    <col min="523" max="769" width="9.140625" style="16"/>
    <col min="770" max="770" width="8" style="16" customWidth="1"/>
    <col min="771" max="771" width="6.85546875" style="16" customWidth="1"/>
    <col min="772" max="772" width="14" style="16" bestFit="1" customWidth="1"/>
    <col min="773" max="774" width="9.140625" style="16"/>
    <col min="775" max="775" width="10.28515625" style="16" customWidth="1"/>
    <col min="776" max="776" width="13" style="16" customWidth="1"/>
    <col min="777" max="777" width="14.42578125" style="16" bestFit="1" customWidth="1"/>
    <col min="778" max="778" width="15.7109375" style="16" bestFit="1" customWidth="1"/>
    <col min="779" max="1025" width="9.140625" style="16"/>
    <col min="1026" max="1026" width="8" style="16" customWidth="1"/>
    <col min="1027" max="1027" width="6.85546875" style="16" customWidth="1"/>
    <col min="1028" max="1028" width="14" style="16" bestFit="1" customWidth="1"/>
    <col min="1029" max="1030" width="9.140625" style="16"/>
    <col min="1031" max="1031" width="10.28515625" style="16" customWidth="1"/>
    <col min="1032" max="1032" width="13" style="16" customWidth="1"/>
    <col min="1033" max="1033" width="14.42578125" style="16" bestFit="1" customWidth="1"/>
    <col min="1034" max="1034" width="15.7109375" style="16" bestFit="1" customWidth="1"/>
    <col min="1035" max="1281" width="9.140625" style="16"/>
    <col min="1282" max="1282" width="8" style="16" customWidth="1"/>
    <col min="1283" max="1283" width="6.85546875" style="16" customWidth="1"/>
    <col min="1284" max="1284" width="14" style="16" bestFit="1" customWidth="1"/>
    <col min="1285" max="1286" width="9.140625" style="16"/>
    <col min="1287" max="1287" width="10.28515625" style="16" customWidth="1"/>
    <col min="1288" max="1288" width="13" style="16" customWidth="1"/>
    <col min="1289" max="1289" width="14.42578125" style="16" bestFit="1" customWidth="1"/>
    <col min="1290" max="1290" width="15.7109375" style="16" bestFit="1" customWidth="1"/>
    <col min="1291" max="1537" width="9.140625" style="16"/>
    <col min="1538" max="1538" width="8" style="16" customWidth="1"/>
    <col min="1539" max="1539" width="6.85546875" style="16" customWidth="1"/>
    <col min="1540" max="1540" width="14" style="16" bestFit="1" customWidth="1"/>
    <col min="1541" max="1542" width="9.140625" style="16"/>
    <col min="1543" max="1543" width="10.28515625" style="16" customWidth="1"/>
    <col min="1544" max="1544" width="13" style="16" customWidth="1"/>
    <col min="1545" max="1545" width="14.42578125" style="16" bestFit="1" customWidth="1"/>
    <col min="1546" max="1546" width="15.7109375" style="16" bestFit="1" customWidth="1"/>
    <col min="1547" max="1793" width="9.140625" style="16"/>
    <col min="1794" max="1794" width="8" style="16" customWidth="1"/>
    <col min="1795" max="1795" width="6.85546875" style="16" customWidth="1"/>
    <col min="1796" max="1796" width="14" style="16" bestFit="1" customWidth="1"/>
    <col min="1797" max="1798" width="9.140625" style="16"/>
    <col min="1799" max="1799" width="10.28515625" style="16" customWidth="1"/>
    <col min="1800" max="1800" width="13" style="16" customWidth="1"/>
    <col min="1801" max="1801" width="14.42578125" style="16" bestFit="1" customWidth="1"/>
    <col min="1802" max="1802" width="15.7109375" style="16" bestFit="1" customWidth="1"/>
    <col min="1803" max="2049" width="9.140625" style="16"/>
    <col min="2050" max="2050" width="8" style="16" customWidth="1"/>
    <col min="2051" max="2051" width="6.85546875" style="16" customWidth="1"/>
    <col min="2052" max="2052" width="14" style="16" bestFit="1" customWidth="1"/>
    <col min="2053" max="2054" width="9.140625" style="16"/>
    <col min="2055" max="2055" width="10.28515625" style="16" customWidth="1"/>
    <col min="2056" max="2056" width="13" style="16" customWidth="1"/>
    <col min="2057" max="2057" width="14.42578125" style="16" bestFit="1" customWidth="1"/>
    <col min="2058" max="2058" width="15.7109375" style="16" bestFit="1" customWidth="1"/>
    <col min="2059" max="2305" width="9.140625" style="16"/>
    <col min="2306" max="2306" width="8" style="16" customWidth="1"/>
    <col min="2307" max="2307" width="6.85546875" style="16" customWidth="1"/>
    <col min="2308" max="2308" width="14" style="16" bestFit="1" customWidth="1"/>
    <col min="2309" max="2310" width="9.140625" style="16"/>
    <col min="2311" max="2311" width="10.28515625" style="16" customWidth="1"/>
    <col min="2312" max="2312" width="13" style="16" customWidth="1"/>
    <col min="2313" max="2313" width="14.42578125" style="16" bestFit="1" customWidth="1"/>
    <col min="2314" max="2314" width="15.7109375" style="16" bestFit="1" customWidth="1"/>
    <col min="2315" max="2561" width="9.140625" style="16"/>
    <col min="2562" max="2562" width="8" style="16" customWidth="1"/>
    <col min="2563" max="2563" width="6.85546875" style="16" customWidth="1"/>
    <col min="2564" max="2564" width="14" style="16" bestFit="1" customWidth="1"/>
    <col min="2565" max="2566" width="9.140625" style="16"/>
    <col min="2567" max="2567" width="10.28515625" style="16" customWidth="1"/>
    <col min="2568" max="2568" width="13" style="16" customWidth="1"/>
    <col min="2569" max="2569" width="14.42578125" style="16" bestFit="1" customWidth="1"/>
    <col min="2570" max="2570" width="15.7109375" style="16" bestFit="1" customWidth="1"/>
    <col min="2571" max="2817" width="9.140625" style="16"/>
    <col min="2818" max="2818" width="8" style="16" customWidth="1"/>
    <col min="2819" max="2819" width="6.85546875" style="16" customWidth="1"/>
    <col min="2820" max="2820" width="14" style="16" bestFit="1" customWidth="1"/>
    <col min="2821" max="2822" width="9.140625" style="16"/>
    <col min="2823" max="2823" width="10.28515625" style="16" customWidth="1"/>
    <col min="2824" max="2824" width="13" style="16" customWidth="1"/>
    <col min="2825" max="2825" width="14.42578125" style="16" bestFit="1" customWidth="1"/>
    <col min="2826" max="2826" width="15.7109375" style="16" bestFit="1" customWidth="1"/>
    <col min="2827" max="3073" width="9.140625" style="16"/>
    <col min="3074" max="3074" width="8" style="16" customWidth="1"/>
    <col min="3075" max="3075" width="6.85546875" style="16" customWidth="1"/>
    <col min="3076" max="3076" width="14" style="16" bestFit="1" customWidth="1"/>
    <col min="3077" max="3078" width="9.140625" style="16"/>
    <col min="3079" max="3079" width="10.28515625" style="16" customWidth="1"/>
    <col min="3080" max="3080" width="13" style="16" customWidth="1"/>
    <col min="3081" max="3081" width="14.42578125" style="16" bestFit="1" customWidth="1"/>
    <col min="3082" max="3082" width="15.7109375" style="16" bestFit="1" customWidth="1"/>
    <col min="3083" max="3329" width="9.140625" style="16"/>
    <col min="3330" max="3330" width="8" style="16" customWidth="1"/>
    <col min="3331" max="3331" width="6.85546875" style="16" customWidth="1"/>
    <col min="3332" max="3332" width="14" style="16" bestFit="1" customWidth="1"/>
    <col min="3333" max="3334" width="9.140625" style="16"/>
    <col min="3335" max="3335" width="10.28515625" style="16" customWidth="1"/>
    <col min="3336" max="3336" width="13" style="16" customWidth="1"/>
    <col min="3337" max="3337" width="14.42578125" style="16" bestFit="1" customWidth="1"/>
    <col min="3338" max="3338" width="15.7109375" style="16" bestFit="1" customWidth="1"/>
    <col min="3339" max="3585" width="9.140625" style="16"/>
    <col min="3586" max="3586" width="8" style="16" customWidth="1"/>
    <col min="3587" max="3587" width="6.85546875" style="16" customWidth="1"/>
    <col min="3588" max="3588" width="14" style="16" bestFit="1" customWidth="1"/>
    <col min="3589" max="3590" width="9.140625" style="16"/>
    <col min="3591" max="3591" width="10.28515625" style="16" customWidth="1"/>
    <col min="3592" max="3592" width="13" style="16" customWidth="1"/>
    <col min="3593" max="3593" width="14.42578125" style="16" bestFit="1" customWidth="1"/>
    <col min="3594" max="3594" width="15.7109375" style="16" bestFit="1" customWidth="1"/>
    <col min="3595" max="3841" width="9.140625" style="16"/>
    <col min="3842" max="3842" width="8" style="16" customWidth="1"/>
    <col min="3843" max="3843" width="6.85546875" style="16" customWidth="1"/>
    <col min="3844" max="3844" width="14" style="16" bestFit="1" customWidth="1"/>
    <col min="3845" max="3846" width="9.140625" style="16"/>
    <col min="3847" max="3847" width="10.28515625" style="16" customWidth="1"/>
    <col min="3848" max="3848" width="13" style="16" customWidth="1"/>
    <col min="3849" max="3849" width="14.42578125" style="16" bestFit="1" customWidth="1"/>
    <col min="3850" max="3850" width="15.7109375" style="16" bestFit="1" customWidth="1"/>
    <col min="3851" max="4097" width="9.140625" style="16"/>
    <col min="4098" max="4098" width="8" style="16" customWidth="1"/>
    <col min="4099" max="4099" width="6.85546875" style="16" customWidth="1"/>
    <col min="4100" max="4100" width="14" style="16" bestFit="1" customWidth="1"/>
    <col min="4101" max="4102" width="9.140625" style="16"/>
    <col min="4103" max="4103" width="10.28515625" style="16" customWidth="1"/>
    <col min="4104" max="4104" width="13" style="16" customWidth="1"/>
    <col min="4105" max="4105" width="14.42578125" style="16" bestFit="1" customWidth="1"/>
    <col min="4106" max="4106" width="15.7109375" style="16" bestFit="1" customWidth="1"/>
    <col min="4107" max="4353" width="9.140625" style="16"/>
    <col min="4354" max="4354" width="8" style="16" customWidth="1"/>
    <col min="4355" max="4355" width="6.85546875" style="16" customWidth="1"/>
    <col min="4356" max="4356" width="14" style="16" bestFit="1" customWidth="1"/>
    <col min="4357" max="4358" width="9.140625" style="16"/>
    <col min="4359" max="4359" width="10.28515625" style="16" customWidth="1"/>
    <col min="4360" max="4360" width="13" style="16" customWidth="1"/>
    <col min="4361" max="4361" width="14.42578125" style="16" bestFit="1" customWidth="1"/>
    <col min="4362" max="4362" width="15.7109375" style="16" bestFit="1" customWidth="1"/>
    <col min="4363" max="4609" width="9.140625" style="16"/>
    <col min="4610" max="4610" width="8" style="16" customWidth="1"/>
    <col min="4611" max="4611" width="6.85546875" style="16" customWidth="1"/>
    <col min="4612" max="4612" width="14" style="16" bestFit="1" customWidth="1"/>
    <col min="4613" max="4614" width="9.140625" style="16"/>
    <col min="4615" max="4615" width="10.28515625" style="16" customWidth="1"/>
    <col min="4616" max="4616" width="13" style="16" customWidth="1"/>
    <col min="4617" max="4617" width="14.42578125" style="16" bestFit="1" customWidth="1"/>
    <col min="4618" max="4618" width="15.7109375" style="16" bestFit="1" customWidth="1"/>
    <col min="4619" max="4865" width="9.140625" style="16"/>
    <col min="4866" max="4866" width="8" style="16" customWidth="1"/>
    <col min="4867" max="4867" width="6.85546875" style="16" customWidth="1"/>
    <col min="4868" max="4868" width="14" style="16" bestFit="1" customWidth="1"/>
    <col min="4869" max="4870" width="9.140625" style="16"/>
    <col min="4871" max="4871" width="10.28515625" style="16" customWidth="1"/>
    <col min="4872" max="4872" width="13" style="16" customWidth="1"/>
    <col min="4873" max="4873" width="14.42578125" style="16" bestFit="1" customWidth="1"/>
    <col min="4874" max="4874" width="15.7109375" style="16" bestFit="1" customWidth="1"/>
    <col min="4875" max="5121" width="9.140625" style="16"/>
    <col min="5122" max="5122" width="8" style="16" customWidth="1"/>
    <col min="5123" max="5123" width="6.85546875" style="16" customWidth="1"/>
    <col min="5124" max="5124" width="14" style="16" bestFit="1" customWidth="1"/>
    <col min="5125" max="5126" width="9.140625" style="16"/>
    <col min="5127" max="5127" width="10.28515625" style="16" customWidth="1"/>
    <col min="5128" max="5128" width="13" style="16" customWidth="1"/>
    <col min="5129" max="5129" width="14.42578125" style="16" bestFit="1" customWidth="1"/>
    <col min="5130" max="5130" width="15.7109375" style="16" bestFit="1" customWidth="1"/>
    <col min="5131" max="5377" width="9.140625" style="16"/>
    <col min="5378" max="5378" width="8" style="16" customWidth="1"/>
    <col min="5379" max="5379" width="6.85546875" style="16" customWidth="1"/>
    <col min="5380" max="5380" width="14" style="16" bestFit="1" customWidth="1"/>
    <col min="5381" max="5382" width="9.140625" style="16"/>
    <col min="5383" max="5383" width="10.28515625" style="16" customWidth="1"/>
    <col min="5384" max="5384" width="13" style="16" customWidth="1"/>
    <col min="5385" max="5385" width="14.42578125" style="16" bestFit="1" customWidth="1"/>
    <col min="5386" max="5386" width="15.7109375" style="16" bestFit="1" customWidth="1"/>
    <col min="5387" max="5633" width="9.140625" style="16"/>
    <col min="5634" max="5634" width="8" style="16" customWidth="1"/>
    <col min="5635" max="5635" width="6.85546875" style="16" customWidth="1"/>
    <col min="5636" max="5636" width="14" style="16" bestFit="1" customWidth="1"/>
    <col min="5637" max="5638" width="9.140625" style="16"/>
    <col min="5639" max="5639" width="10.28515625" style="16" customWidth="1"/>
    <col min="5640" max="5640" width="13" style="16" customWidth="1"/>
    <col min="5641" max="5641" width="14.42578125" style="16" bestFit="1" customWidth="1"/>
    <col min="5642" max="5642" width="15.7109375" style="16" bestFit="1" customWidth="1"/>
    <col min="5643" max="5889" width="9.140625" style="16"/>
    <col min="5890" max="5890" width="8" style="16" customWidth="1"/>
    <col min="5891" max="5891" width="6.85546875" style="16" customWidth="1"/>
    <col min="5892" max="5892" width="14" style="16" bestFit="1" customWidth="1"/>
    <col min="5893" max="5894" width="9.140625" style="16"/>
    <col min="5895" max="5895" width="10.28515625" style="16" customWidth="1"/>
    <col min="5896" max="5896" width="13" style="16" customWidth="1"/>
    <col min="5897" max="5897" width="14.42578125" style="16" bestFit="1" customWidth="1"/>
    <col min="5898" max="5898" width="15.7109375" style="16" bestFit="1" customWidth="1"/>
    <col min="5899" max="6145" width="9.140625" style="16"/>
    <col min="6146" max="6146" width="8" style="16" customWidth="1"/>
    <col min="6147" max="6147" width="6.85546875" style="16" customWidth="1"/>
    <col min="6148" max="6148" width="14" style="16" bestFit="1" customWidth="1"/>
    <col min="6149" max="6150" width="9.140625" style="16"/>
    <col min="6151" max="6151" width="10.28515625" style="16" customWidth="1"/>
    <col min="6152" max="6152" width="13" style="16" customWidth="1"/>
    <col min="6153" max="6153" width="14.42578125" style="16" bestFit="1" customWidth="1"/>
    <col min="6154" max="6154" width="15.7109375" style="16" bestFit="1" customWidth="1"/>
    <col min="6155" max="6401" width="9.140625" style="16"/>
    <col min="6402" max="6402" width="8" style="16" customWidth="1"/>
    <col min="6403" max="6403" width="6.85546875" style="16" customWidth="1"/>
    <col min="6404" max="6404" width="14" style="16" bestFit="1" customWidth="1"/>
    <col min="6405" max="6406" width="9.140625" style="16"/>
    <col min="6407" max="6407" width="10.28515625" style="16" customWidth="1"/>
    <col min="6408" max="6408" width="13" style="16" customWidth="1"/>
    <col min="6409" max="6409" width="14.42578125" style="16" bestFit="1" customWidth="1"/>
    <col min="6410" max="6410" width="15.7109375" style="16" bestFit="1" customWidth="1"/>
    <col min="6411" max="6657" width="9.140625" style="16"/>
    <col min="6658" max="6658" width="8" style="16" customWidth="1"/>
    <col min="6659" max="6659" width="6.85546875" style="16" customWidth="1"/>
    <col min="6660" max="6660" width="14" style="16" bestFit="1" customWidth="1"/>
    <col min="6661" max="6662" width="9.140625" style="16"/>
    <col min="6663" max="6663" width="10.28515625" style="16" customWidth="1"/>
    <col min="6664" max="6664" width="13" style="16" customWidth="1"/>
    <col min="6665" max="6665" width="14.42578125" style="16" bestFit="1" customWidth="1"/>
    <col min="6666" max="6666" width="15.7109375" style="16" bestFit="1" customWidth="1"/>
    <col min="6667" max="6913" width="9.140625" style="16"/>
    <col min="6914" max="6914" width="8" style="16" customWidth="1"/>
    <col min="6915" max="6915" width="6.85546875" style="16" customWidth="1"/>
    <col min="6916" max="6916" width="14" style="16" bestFit="1" customWidth="1"/>
    <col min="6917" max="6918" width="9.140625" style="16"/>
    <col min="6919" max="6919" width="10.28515625" style="16" customWidth="1"/>
    <col min="6920" max="6920" width="13" style="16" customWidth="1"/>
    <col min="6921" max="6921" width="14.42578125" style="16" bestFit="1" customWidth="1"/>
    <col min="6922" max="6922" width="15.7109375" style="16" bestFit="1" customWidth="1"/>
    <col min="6923" max="7169" width="9.140625" style="16"/>
    <col min="7170" max="7170" width="8" style="16" customWidth="1"/>
    <col min="7171" max="7171" width="6.85546875" style="16" customWidth="1"/>
    <col min="7172" max="7172" width="14" style="16" bestFit="1" customWidth="1"/>
    <col min="7173" max="7174" width="9.140625" style="16"/>
    <col min="7175" max="7175" width="10.28515625" style="16" customWidth="1"/>
    <col min="7176" max="7176" width="13" style="16" customWidth="1"/>
    <col min="7177" max="7177" width="14.42578125" style="16" bestFit="1" customWidth="1"/>
    <col min="7178" max="7178" width="15.7109375" style="16" bestFit="1" customWidth="1"/>
    <col min="7179" max="7425" width="9.140625" style="16"/>
    <col min="7426" max="7426" width="8" style="16" customWidth="1"/>
    <col min="7427" max="7427" width="6.85546875" style="16" customWidth="1"/>
    <col min="7428" max="7428" width="14" style="16" bestFit="1" customWidth="1"/>
    <col min="7429" max="7430" width="9.140625" style="16"/>
    <col min="7431" max="7431" width="10.28515625" style="16" customWidth="1"/>
    <col min="7432" max="7432" width="13" style="16" customWidth="1"/>
    <col min="7433" max="7433" width="14.42578125" style="16" bestFit="1" customWidth="1"/>
    <col min="7434" max="7434" width="15.7109375" style="16" bestFit="1" customWidth="1"/>
    <col min="7435" max="7681" width="9.140625" style="16"/>
    <col min="7682" max="7682" width="8" style="16" customWidth="1"/>
    <col min="7683" max="7683" width="6.85546875" style="16" customWidth="1"/>
    <col min="7684" max="7684" width="14" style="16" bestFit="1" customWidth="1"/>
    <col min="7685" max="7686" width="9.140625" style="16"/>
    <col min="7687" max="7687" width="10.28515625" style="16" customWidth="1"/>
    <col min="7688" max="7688" width="13" style="16" customWidth="1"/>
    <col min="7689" max="7689" width="14.42578125" style="16" bestFit="1" customWidth="1"/>
    <col min="7690" max="7690" width="15.7109375" style="16" bestFit="1" customWidth="1"/>
    <col min="7691" max="7937" width="9.140625" style="16"/>
    <col min="7938" max="7938" width="8" style="16" customWidth="1"/>
    <col min="7939" max="7939" width="6.85546875" style="16" customWidth="1"/>
    <col min="7940" max="7940" width="14" style="16" bestFit="1" customWidth="1"/>
    <col min="7941" max="7942" width="9.140625" style="16"/>
    <col min="7943" max="7943" width="10.28515625" style="16" customWidth="1"/>
    <col min="7944" max="7944" width="13" style="16" customWidth="1"/>
    <col min="7945" max="7945" width="14.42578125" style="16" bestFit="1" customWidth="1"/>
    <col min="7946" max="7946" width="15.7109375" style="16" bestFit="1" customWidth="1"/>
    <col min="7947" max="8193" width="9.140625" style="16"/>
    <col min="8194" max="8194" width="8" style="16" customWidth="1"/>
    <col min="8195" max="8195" width="6.85546875" style="16" customWidth="1"/>
    <col min="8196" max="8196" width="14" style="16" bestFit="1" customWidth="1"/>
    <col min="8197" max="8198" width="9.140625" style="16"/>
    <col min="8199" max="8199" width="10.28515625" style="16" customWidth="1"/>
    <col min="8200" max="8200" width="13" style="16" customWidth="1"/>
    <col min="8201" max="8201" width="14.42578125" style="16" bestFit="1" customWidth="1"/>
    <col min="8202" max="8202" width="15.7109375" style="16" bestFit="1" customWidth="1"/>
    <col min="8203" max="8449" width="9.140625" style="16"/>
    <col min="8450" max="8450" width="8" style="16" customWidth="1"/>
    <col min="8451" max="8451" width="6.85546875" style="16" customWidth="1"/>
    <col min="8452" max="8452" width="14" style="16" bestFit="1" customWidth="1"/>
    <col min="8453" max="8454" width="9.140625" style="16"/>
    <col min="8455" max="8455" width="10.28515625" style="16" customWidth="1"/>
    <col min="8456" max="8456" width="13" style="16" customWidth="1"/>
    <col min="8457" max="8457" width="14.42578125" style="16" bestFit="1" customWidth="1"/>
    <col min="8458" max="8458" width="15.7109375" style="16" bestFit="1" customWidth="1"/>
    <col min="8459" max="8705" width="9.140625" style="16"/>
    <col min="8706" max="8706" width="8" style="16" customWidth="1"/>
    <col min="8707" max="8707" width="6.85546875" style="16" customWidth="1"/>
    <col min="8708" max="8708" width="14" style="16" bestFit="1" customWidth="1"/>
    <col min="8709" max="8710" width="9.140625" style="16"/>
    <col min="8711" max="8711" width="10.28515625" style="16" customWidth="1"/>
    <col min="8712" max="8712" width="13" style="16" customWidth="1"/>
    <col min="8713" max="8713" width="14.42578125" style="16" bestFit="1" customWidth="1"/>
    <col min="8714" max="8714" width="15.7109375" style="16" bestFit="1" customWidth="1"/>
    <col min="8715" max="8961" width="9.140625" style="16"/>
    <col min="8962" max="8962" width="8" style="16" customWidth="1"/>
    <col min="8963" max="8963" width="6.85546875" style="16" customWidth="1"/>
    <col min="8964" max="8964" width="14" style="16" bestFit="1" customWidth="1"/>
    <col min="8965" max="8966" width="9.140625" style="16"/>
    <col min="8967" max="8967" width="10.28515625" style="16" customWidth="1"/>
    <col min="8968" max="8968" width="13" style="16" customWidth="1"/>
    <col min="8969" max="8969" width="14.42578125" style="16" bestFit="1" customWidth="1"/>
    <col min="8970" max="8970" width="15.7109375" style="16" bestFit="1" customWidth="1"/>
    <col min="8971" max="9217" width="9.140625" style="16"/>
    <col min="9218" max="9218" width="8" style="16" customWidth="1"/>
    <col min="9219" max="9219" width="6.85546875" style="16" customWidth="1"/>
    <col min="9220" max="9220" width="14" style="16" bestFit="1" customWidth="1"/>
    <col min="9221" max="9222" width="9.140625" style="16"/>
    <col min="9223" max="9223" width="10.28515625" style="16" customWidth="1"/>
    <col min="9224" max="9224" width="13" style="16" customWidth="1"/>
    <col min="9225" max="9225" width="14.42578125" style="16" bestFit="1" customWidth="1"/>
    <col min="9226" max="9226" width="15.7109375" style="16" bestFit="1" customWidth="1"/>
    <col min="9227" max="9473" width="9.140625" style="16"/>
    <col min="9474" max="9474" width="8" style="16" customWidth="1"/>
    <col min="9475" max="9475" width="6.85546875" style="16" customWidth="1"/>
    <col min="9476" max="9476" width="14" style="16" bestFit="1" customWidth="1"/>
    <col min="9477" max="9478" width="9.140625" style="16"/>
    <col min="9479" max="9479" width="10.28515625" style="16" customWidth="1"/>
    <col min="9480" max="9480" width="13" style="16" customWidth="1"/>
    <col min="9481" max="9481" width="14.42578125" style="16" bestFit="1" customWidth="1"/>
    <col min="9482" max="9482" width="15.7109375" style="16" bestFit="1" customWidth="1"/>
    <col min="9483" max="9729" width="9.140625" style="16"/>
    <col min="9730" max="9730" width="8" style="16" customWidth="1"/>
    <col min="9731" max="9731" width="6.85546875" style="16" customWidth="1"/>
    <col min="9732" max="9732" width="14" style="16" bestFit="1" customWidth="1"/>
    <col min="9733" max="9734" width="9.140625" style="16"/>
    <col min="9735" max="9735" width="10.28515625" style="16" customWidth="1"/>
    <col min="9736" max="9736" width="13" style="16" customWidth="1"/>
    <col min="9737" max="9737" width="14.42578125" style="16" bestFit="1" customWidth="1"/>
    <col min="9738" max="9738" width="15.7109375" style="16" bestFit="1" customWidth="1"/>
    <col min="9739" max="9985" width="9.140625" style="16"/>
    <col min="9986" max="9986" width="8" style="16" customWidth="1"/>
    <col min="9987" max="9987" width="6.85546875" style="16" customWidth="1"/>
    <col min="9988" max="9988" width="14" style="16" bestFit="1" customWidth="1"/>
    <col min="9989" max="9990" width="9.140625" style="16"/>
    <col min="9991" max="9991" width="10.28515625" style="16" customWidth="1"/>
    <col min="9992" max="9992" width="13" style="16" customWidth="1"/>
    <col min="9993" max="9993" width="14.42578125" style="16" bestFit="1" customWidth="1"/>
    <col min="9994" max="9994" width="15.7109375" style="16" bestFit="1" customWidth="1"/>
    <col min="9995" max="10241" width="9.140625" style="16"/>
    <col min="10242" max="10242" width="8" style="16" customWidth="1"/>
    <col min="10243" max="10243" width="6.85546875" style="16" customWidth="1"/>
    <col min="10244" max="10244" width="14" style="16" bestFit="1" customWidth="1"/>
    <col min="10245" max="10246" width="9.140625" style="16"/>
    <col min="10247" max="10247" width="10.28515625" style="16" customWidth="1"/>
    <col min="10248" max="10248" width="13" style="16" customWidth="1"/>
    <col min="10249" max="10249" width="14.42578125" style="16" bestFit="1" customWidth="1"/>
    <col min="10250" max="10250" width="15.7109375" style="16" bestFit="1" customWidth="1"/>
    <col min="10251" max="10497" width="9.140625" style="16"/>
    <col min="10498" max="10498" width="8" style="16" customWidth="1"/>
    <col min="10499" max="10499" width="6.85546875" style="16" customWidth="1"/>
    <col min="10500" max="10500" width="14" style="16" bestFit="1" customWidth="1"/>
    <col min="10501" max="10502" width="9.140625" style="16"/>
    <col min="10503" max="10503" width="10.28515625" style="16" customWidth="1"/>
    <col min="10504" max="10504" width="13" style="16" customWidth="1"/>
    <col min="10505" max="10505" width="14.42578125" style="16" bestFit="1" customWidth="1"/>
    <col min="10506" max="10506" width="15.7109375" style="16" bestFit="1" customWidth="1"/>
    <col min="10507" max="10753" width="9.140625" style="16"/>
    <col min="10754" max="10754" width="8" style="16" customWidth="1"/>
    <col min="10755" max="10755" width="6.85546875" style="16" customWidth="1"/>
    <col min="10756" max="10756" width="14" style="16" bestFit="1" customWidth="1"/>
    <col min="10757" max="10758" width="9.140625" style="16"/>
    <col min="10759" max="10759" width="10.28515625" style="16" customWidth="1"/>
    <col min="10760" max="10760" width="13" style="16" customWidth="1"/>
    <col min="10761" max="10761" width="14.42578125" style="16" bestFit="1" customWidth="1"/>
    <col min="10762" max="10762" width="15.7109375" style="16" bestFit="1" customWidth="1"/>
    <col min="10763" max="11009" width="9.140625" style="16"/>
    <col min="11010" max="11010" width="8" style="16" customWidth="1"/>
    <col min="11011" max="11011" width="6.85546875" style="16" customWidth="1"/>
    <col min="11012" max="11012" width="14" style="16" bestFit="1" customWidth="1"/>
    <col min="11013" max="11014" width="9.140625" style="16"/>
    <col min="11015" max="11015" width="10.28515625" style="16" customWidth="1"/>
    <col min="11016" max="11016" width="13" style="16" customWidth="1"/>
    <col min="11017" max="11017" width="14.42578125" style="16" bestFit="1" customWidth="1"/>
    <col min="11018" max="11018" width="15.7109375" style="16" bestFit="1" customWidth="1"/>
    <col min="11019" max="11265" width="9.140625" style="16"/>
    <col min="11266" max="11266" width="8" style="16" customWidth="1"/>
    <col min="11267" max="11267" width="6.85546875" style="16" customWidth="1"/>
    <col min="11268" max="11268" width="14" style="16" bestFit="1" customWidth="1"/>
    <col min="11269" max="11270" width="9.140625" style="16"/>
    <col min="11271" max="11271" width="10.28515625" style="16" customWidth="1"/>
    <col min="11272" max="11272" width="13" style="16" customWidth="1"/>
    <col min="11273" max="11273" width="14.42578125" style="16" bestFit="1" customWidth="1"/>
    <col min="11274" max="11274" width="15.7109375" style="16" bestFit="1" customWidth="1"/>
    <col min="11275" max="11521" width="9.140625" style="16"/>
    <col min="11522" max="11522" width="8" style="16" customWidth="1"/>
    <col min="11523" max="11523" width="6.85546875" style="16" customWidth="1"/>
    <col min="11524" max="11524" width="14" style="16" bestFit="1" customWidth="1"/>
    <col min="11525" max="11526" width="9.140625" style="16"/>
    <col min="11527" max="11527" width="10.28515625" style="16" customWidth="1"/>
    <col min="11528" max="11528" width="13" style="16" customWidth="1"/>
    <col min="11529" max="11529" width="14.42578125" style="16" bestFit="1" customWidth="1"/>
    <col min="11530" max="11530" width="15.7109375" style="16" bestFit="1" customWidth="1"/>
    <col min="11531" max="11777" width="9.140625" style="16"/>
    <col min="11778" max="11778" width="8" style="16" customWidth="1"/>
    <col min="11779" max="11779" width="6.85546875" style="16" customWidth="1"/>
    <col min="11780" max="11780" width="14" style="16" bestFit="1" customWidth="1"/>
    <col min="11781" max="11782" width="9.140625" style="16"/>
    <col min="11783" max="11783" width="10.28515625" style="16" customWidth="1"/>
    <col min="11784" max="11784" width="13" style="16" customWidth="1"/>
    <col min="11785" max="11785" width="14.42578125" style="16" bestFit="1" customWidth="1"/>
    <col min="11786" max="11786" width="15.7109375" style="16" bestFit="1" customWidth="1"/>
    <col min="11787" max="12033" width="9.140625" style="16"/>
    <col min="12034" max="12034" width="8" style="16" customWidth="1"/>
    <col min="12035" max="12035" width="6.85546875" style="16" customWidth="1"/>
    <col min="12036" max="12036" width="14" style="16" bestFit="1" customWidth="1"/>
    <col min="12037" max="12038" width="9.140625" style="16"/>
    <col min="12039" max="12039" width="10.28515625" style="16" customWidth="1"/>
    <col min="12040" max="12040" width="13" style="16" customWidth="1"/>
    <col min="12041" max="12041" width="14.42578125" style="16" bestFit="1" customWidth="1"/>
    <col min="12042" max="12042" width="15.7109375" style="16" bestFit="1" customWidth="1"/>
    <col min="12043" max="12289" width="9.140625" style="16"/>
    <col min="12290" max="12290" width="8" style="16" customWidth="1"/>
    <col min="12291" max="12291" width="6.85546875" style="16" customWidth="1"/>
    <col min="12292" max="12292" width="14" style="16" bestFit="1" customWidth="1"/>
    <col min="12293" max="12294" width="9.140625" style="16"/>
    <col min="12295" max="12295" width="10.28515625" style="16" customWidth="1"/>
    <col min="12296" max="12296" width="13" style="16" customWidth="1"/>
    <col min="12297" max="12297" width="14.42578125" style="16" bestFit="1" customWidth="1"/>
    <col min="12298" max="12298" width="15.7109375" style="16" bestFit="1" customWidth="1"/>
    <col min="12299" max="12545" width="9.140625" style="16"/>
    <col min="12546" max="12546" width="8" style="16" customWidth="1"/>
    <col min="12547" max="12547" width="6.85546875" style="16" customWidth="1"/>
    <col min="12548" max="12548" width="14" style="16" bestFit="1" customWidth="1"/>
    <col min="12549" max="12550" width="9.140625" style="16"/>
    <col min="12551" max="12551" width="10.28515625" style="16" customWidth="1"/>
    <col min="12552" max="12552" width="13" style="16" customWidth="1"/>
    <col min="12553" max="12553" width="14.42578125" style="16" bestFit="1" customWidth="1"/>
    <col min="12554" max="12554" width="15.7109375" style="16" bestFit="1" customWidth="1"/>
    <col min="12555" max="12801" width="9.140625" style="16"/>
    <col min="12802" max="12802" width="8" style="16" customWidth="1"/>
    <col min="12803" max="12803" width="6.85546875" style="16" customWidth="1"/>
    <col min="12804" max="12804" width="14" style="16" bestFit="1" customWidth="1"/>
    <col min="12805" max="12806" width="9.140625" style="16"/>
    <col min="12807" max="12807" width="10.28515625" style="16" customWidth="1"/>
    <col min="12808" max="12808" width="13" style="16" customWidth="1"/>
    <col min="12809" max="12809" width="14.42578125" style="16" bestFit="1" customWidth="1"/>
    <col min="12810" max="12810" width="15.7109375" style="16" bestFit="1" customWidth="1"/>
    <col min="12811" max="13057" width="9.140625" style="16"/>
    <col min="13058" max="13058" width="8" style="16" customWidth="1"/>
    <col min="13059" max="13059" width="6.85546875" style="16" customWidth="1"/>
    <col min="13060" max="13060" width="14" style="16" bestFit="1" customWidth="1"/>
    <col min="13061" max="13062" width="9.140625" style="16"/>
    <col min="13063" max="13063" width="10.28515625" style="16" customWidth="1"/>
    <col min="13064" max="13064" width="13" style="16" customWidth="1"/>
    <col min="13065" max="13065" width="14.42578125" style="16" bestFit="1" customWidth="1"/>
    <col min="13066" max="13066" width="15.7109375" style="16" bestFit="1" customWidth="1"/>
    <col min="13067" max="13313" width="9.140625" style="16"/>
    <col min="13314" max="13314" width="8" style="16" customWidth="1"/>
    <col min="13315" max="13315" width="6.85546875" style="16" customWidth="1"/>
    <col min="13316" max="13316" width="14" style="16" bestFit="1" customWidth="1"/>
    <col min="13317" max="13318" width="9.140625" style="16"/>
    <col min="13319" max="13319" width="10.28515625" style="16" customWidth="1"/>
    <col min="13320" max="13320" width="13" style="16" customWidth="1"/>
    <col min="13321" max="13321" width="14.42578125" style="16" bestFit="1" customWidth="1"/>
    <col min="13322" max="13322" width="15.7109375" style="16" bestFit="1" customWidth="1"/>
    <col min="13323" max="13569" width="9.140625" style="16"/>
    <col min="13570" max="13570" width="8" style="16" customWidth="1"/>
    <col min="13571" max="13571" width="6.85546875" style="16" customWidth="1"/>
    <col min="13572" max="13572" width="14" style="16" bestFit="1" customWidth="1"/>
    <col min="13573" max="13574" width="9.140625" style="16"/>
    <col min="13575" max="13575" width="10.28515625" style="16" customWidth="1"/>
    <col min="13576" max="13576" width="13" style="16" customWidth="1"/>
    <col min="13577" max="13577" width="14.42578125" style="16" bestFit="1" customWidth="1"/>
    <col min="13578" max="13578" width="15.7109375" style="16" bestFit="1" customWidth="1"/>
    <col min="13579" max="13825" width="9.140625" style="16"/>
    <col min="13826" max="13826" width="8" style="16" customWidth="1"/>
    <col min="13827" max="13827" width="6.85546875" style="16" customWidth="1"/>
    <col min="13828" max="13828" width="14" style="16" bestFit="1" customWidth="1"/>
    <col min="13829" max="13830" width="9.140625" style="16"/>
    <col min="13831" max="13831" width="10.28515625" style="16" customWidth="1"/>
    <col min="13832" max="13832" width="13" style="16" customWidth="1"/>
    <col min="13833" max="13833" width="14.42578125" style="16" bestFit="1" customWidth="1"/>
    <col min="13834" max="13834" width="15.7109375" style="16" bestFit="1" customWidth="1"/>
    <col min="13835" max="14081" width="9.140625" style="16"/>
    <col min="14082" max="14082" width="8" style="16" customWidth="1"/>
    <col min="14083" max="14083" width="6.85546875" style="16" customWidth="1"/>
    <col min="14084" max="14084" width="14" style="16" bestFit="1" customWidth="1"/>
    <col min="14085" max="14086" width="9.140625" style="16"/>
    <col min="14087" max="14087" width="10.28515625" style="16" customWidth="1"/>
    <col min="14088" max="14088" width="13" style="16" customWidth="1"/>
    <col min="14089" max="14089" width="14.42578125" style="16" bestFit="1" customWidth="1"/>
    <col min="14090" max="14090" width="15.7109375" style="16" bestFit="1" customWidth="1"/>
    <col min="14091" max="14337" width="9.140625" style="16"/>
    <col min="14338" max="14338" width="8" style="16" customWidth="1"/>
    <col min="14339" max="14339" width="6.85546875" style="16" customWidth="1"/>
    <col min="14340" max="14340" width="14" style="16" bestFit="1" customWidth="1"/>
    <col min="14341" max="14342" width="9.140625" style="16"/>
    <col min="14343" max="14343" width="10.28515625" style="16" customWidth="1"/>
    <col min="14344" max="14344" width="13" style="16" customWidth="1"/>
    <col min="14345" max="14345" width="14.42578125" style="16" bestFit="1" customWidth="1"/>
    <col min="14346" max="14346" width="15.7109375" style="16" bestFit="1" customWidth="1"/>
    <col min="14347" max="14593" width="9.140625" style="16"/>
    <col min="14594" max="14594" width="8" style="16" customWidth="1"/>
    <col min="14595" max="14595" width="6.85546875" style="16" customWidth="1"/>
    <col min="14596" max="14596" width="14" style="16" bestFit="1" customWidth="1"/>
    <col min="14597" max="14598" width="9.140625" style="16"/>
    <col min="14599" max="14599" width="10.28515625" style="16" customWidth="1"/>
    <col min="14600" max="14600" width="13" style="16" customWidth="1"/>
    <col min="14601" max="14601" width="14.42578125" style="16" bestFit="1" customWidth="1"/>
    <col min="14602" max="14602" width="15.7109375" style="16" bestFit="1" customWidth="1"/>
    <col min="14603" max="14849" width="9.140625" style="16"/>
    <col min="14850" max="14850" width="8" style="16" customWidth="1"/>
    <col min="14851" max="14851" width="6.85546875" style="16" customWidth="1"/>
    <col min="14852" max="14852" width="14" style="16" bestFit="1" customWidth="1"/>
    <col min="14853" max="14854" width="9.140625" style="16"/>
    <col min="14855" max="14855" width="10.28515625" style="16" customWidth="1"/>
    <col min="14856" max="14856" width="13" style="16" customWidth="1"/>
    <col min="14857" max="14857" width="14.42578125" style="16" bestFit="1" customWidth="1"/>
    <col min="14858" max="14858" width="15.7109375" style="16" bestFit="1" customWidth="1"/>
    <col min="14859" max="15105" width="9.140625" style="16"/>
    <col min="15106" max="15106" width="8" style="16" customWidth="1"/>
    <col min="15107" max="15107" width="6.85546875" style="16" customWidth="1"/>
    <col min="15108" max="15108" width="14" style="16" bestFit="1" customWidth="1"/>
    <col min="15109" max="15110" width="9.140625" style="16"/>
    <col min="15111" max="15111" width="10.28515625" style="16" customWidth="1"/>
    <col min="15112" max="15112" width="13" style="16" customWidth="1"/>
    <col min="15113" max="15113" width="14.42578125" style="16" bestFit="1" customWidth="1"/>
    <col min="15114" max="15114" width="15.7109375" style="16" bestFit="1" customWidth="1"/>
    <col min="15115" max="15361" width="9.140625" style="16"/>
    <col min="15362" max="15362" width="8" style="16" customWidth="1"/>
    <col min="15363" max="15363" width="6.85546875" style="16" customWidth="1"/>
    <col min="15364" max="15364" width="14" style="16" bestFit="1" customWidth="1"/>
    <col min="15365" max="15366" width="9.140625" style="16"/>
    <col min="15367" max="15367" width="10.28515625" style="16" customWidth="1"/>
    <col min="15368" max="15368" width="13" style="16" customWidth="1"/>
    <col min="15369" max="15369" width="14.42578125" style="16" bestFit="1" customWidth="1"/>
    <col min="15370" max="15370" width="15.7109375" style="16" bestFit="1" customWidth="1"/>
    <col min="15371" max="15617" width="9.140625" style="16"/>
    <col min="15618" max="15618" width="8" style="16" customWidth="1"/>
    <col min="15619" max="15619" width="6.85546875" style="16" customWidth="1"/>
    <col min="15620" max="15620" width="14" style="16" bestFit="1" customWidth="1"/>
    <col min="15621" max="15622" width="9.140625" style="16"/>
    <col min="15623" max="15623" width="10.28515625" style="16" customWidth="1"/>
    <col min="15624" max="15624" width="13" style="16" customWidth="1"/>
    <col min="15625" max="15625" width="14.42578125" style="16" bestFit="1" customWidth="1"/>
    <col min="15626" max="15626" width="15.7109375" style="16" bestFit="1" customWidth="1"/>
    <col min="15627" max="15873" width="9.140625" style="16"/>
    <col min="15874" max="15874" width="8" style="16" customWidth="1"/>
    <col min="15875" max="15875" width="6.85546875" style="16" customWidth="1"/>
    <col min="15876" max="15876" width="14" style="16" bestFit="1" customWidth="1"/>
    <col min="15877" max="15878" width="9.140625" style="16"/>
    <col min="15879" max="15879" width="10.28515625" style="16" customWidth="1"/>
    <col min="15880" max="15880" width="13" style="16" customWidth="1"/>
    <col min="15881" max="15881" width="14.42578125" style="16" bestFit="1" customWidth="1"/>
    <col min="15882" max="15882" width="15.7109375" style="16" bestFit="1" customWidth="1"/>
    <col min="15883" max="16129" width="9.140625" style="16"/>
    <col min="16130" max="16130" width="8" style="16" customWidth="1"/>
    <col min="16131" max="16131" width="6.85546875" style="16" customWidth="1"/>
    <col min="16132" max="16132" width="14" style="16" bestFit="1" customWidth="1"/>
    <col min="16133" max="16134" width="9.140625" style="16"/>
    <col min="16135" max="16135" width="10.28515625" style="16" customWidth="1"/>
    <col min="16136" max="16136" width="13" style="16" customWidth="1"/>
    <col min="16137" max="16137" width="14.42578125" style="16" bestFit="1" customWidth="1"/>
    <col min="16138" max="16138" width="15.7109375" style="16" bestFit="1" customWidth="1"/>
    <col min="16139" max="16384" width="9.140625" style="16"/>
  </cols>
  <sheetData>
    <row r="6" spans="2:10" ht="16.5" thickBot="1" x14ac:dyDescent="0.3"/>
    <row r="7" spans="2:10" x14ac:dyDescent="0.25">
      <c r="B7" s="676" t="s">
        <v>4</v>
      </c>
      <c r="C7" s="677"/>
      <c r="D7" s="677"/>
      <c r="E7" s="677"/>
      <c r="F7" s="677"/>
      <c r="G7" s="677"/>
      <c r="H7" s="677"/>
      <c r="I7" s="677"/>
      <c r="J7" s="678"/>
    </row>
    <row r="8" spans="2:10" x14ac:dyDescent="0.25">
      <c r="B8" s="679" t="s">
        <v>5</v>
      </c>
      <c r="C8" s="630"/>
      <c r="D8" s="630"/>
      <c r="E8" s="680" t="s">
        <v>6</v>
      </c>
      <c r="F8" s="630"/>
      <c r="G8" s="630"/>
      <c r="H8" s="680" t="s">
        <v>7</v>
      </c>
      <c r="I8" s="630"/>
      <c r="J8" s="681"/>
    </row>
    <row r="9" spans="2:10" ht="16.5" thickBot="1" x14ac:dyDescent="0.3">
      <c r="B9" s="682" t="s">
        <v>8</v>
      </c>
      <c r="C9" s="683"/>
      <c r="D9" s="683"/>
      <c r="E9" s="683"/>
      <c r="F9" s="17"/>
      <c r="G9" s="684" t="str">
        <f>"FONE: (45)3242-2210         V.:"&amp;GERAL!C26</f>
        <v>FONE: (45)3242-2210         V.:Versão: 45791</v>
      </c>
      <c r="H9" s="684"/>
      <c r="I9" s="684"/>
      <c r="J9" s="685"/>
    </row>
    <row r="10" spans="2:10" ht="16.5" thickBot="1" x14ac:dyDescent="0.3">
      <c r="E10" s="18"/>
      <c r="F10" s="18"/>
      <c r="G10" s="18"/>
      <c r="H10" s="19"/>
    </row>
    <row r="11" spans="2:10" x14ac:dyDescent="0.25">
      <c r="B11" s="20"/>
      <c r="C11" s="103" t="str">
        <f>IF('INPUT ATV'!C2="o","ORÇAMENTO ATV VIA CLIENTE", IF('INPUT ATV'!C2="P","PEDIDO ATV VIA CLIENTE","SEM INDICAÇÃO"))</f>
        <v>ORÇAMENTO ATV VIA CLIENTE</v>
      </c>
      <c r="D11" s="21"/>
      <c r="E11" s="22"/>
      <c r="F11" s="22"/>
      <c r="G11" s="22"/>
      <c r="H11" s="23" t="s">
        <v>9</v>
      </c>
      <c r="I11" s="24">
        <f ca="1">TODAY()</f>
        <v>45828</v>
      </c>
      <c r="J11" s="25"/>
    </row>
    <row r="12" spans="2:10" x14ac:dyDescent="0.25">
      <c r="B12" s="26"/>
      <c r="J12" s="27"/>
    </row>
    <row r="13" spans="2:10" x14ac:dyDescent="0.25">
      <c r="B13" s="26"/>
      <c r="C13" s="28" t="s">
        <v>37</v>
      </c>
      <c r="D13" s="29"/>
      <c r="E13" s="837" t="str">
        <f>IF('PEDIDO ATV'!E13="","",'PEDIDO ATV'!E13)</f>
        <v>RENATA FESTUGATO</v>
      </c>
      <c r="F13" s="835"/>
      <c r="G13" s="835"/>
      <c r="H13" s="835"/>
      <c r="I13" s="836"/>
      <c r="J13" s="30"/>
    </row>
    <row r="14" spans="2:10" x14ac:dyDescent="0.25">
      <c r="B14" s="26"/>
      <c r="C14" s="28" t="s">
        <v>38</v>
      </c>
      <c r="D14" s="29"/>
      <c r="E14" s="837" t="str">
        <f>IF('PEDIDO ATV'!E14="","",'PEDIDO ATV'!E14)</f>
        <v/>
      </c>
      <c r="F14" s="835"/>
      <c r="G14" s="835"/>
      <c r="H14" s="835"/>
      <c r="I14" s="836"/>
      <c r="J14" s="30"/>
    </row>
    <row r="15" spans="2:10" x14ac:dyDescent="0.25">
      <c r="B15" s="26"/>
      <c r="C15" s="31" t="s">
        <v>39</v>
      </c>
      <c r="E15" s="837" t="str">
        <f>IF('PEDIDO ATV'!E15="","",'PEDIDO ATV'!E15)</f>
        <v>CASCAVEL</v>
      </c>
      <c r="F15" s="835"/>
      <c r="G15" s="835"/>
      <c r="H15" s="835"/>
      <c r="I15" s="836"/>
      <c r="J15" s="30"/>
    </row>
    <row r="16" spans="2:10" x14ac:dyDescent="0.25">
      <c r="B16" s="26"/>
      <c r="C16" s="28" t="s">
        <v>40</v>
      </c>
      <c r="D16" s="29"/>
      <c r="E16" s="35" t="str">
        <f>IF('PEDIDO ATV'!E16="","",'PEDIDO ATV'!E16)</f>
        <v>PR</v>
      </c>
      <c r="F16" s="543" t="s">
        <v>367</v>
      </c>
      <c r="G16" s="689" t="str">
        <f>IF('PEDIDO ATV'!G16="","",'PEDIDO ATV'!G16)</f>
        <v/>
      </c>
      <c r="H16" s="689"/>
      <c r="I16" s="690"/>
      <c r="J16" s="30"/>
    </row>
    <row r="17" spans="2:11" x14ac:dyDescent="0.25">
      <c r="B17" s="26"/>
      <c r="C17" s="31" t="s">
        <v>41</v>
      </c>
      <c r="E17" s="835" t="str">
        <f>IF('PEDIDO ATV'!E17="","",'PEDIDO ATV'!E17)</f>
        <v/>
      </c>
      <c r="F17" s="835"/>
      <c r="G17" s="835"/>
      <c r="H17" s="425" t="s">
        <v>113</v>
      </c>
      <c r="I17" s="420" t="str">
        <f>IF('PEDIDO ATV'!I17="","",'PEDIDO ATV'!I17)</f>
        <v/>
      </c>
      <c r="J17" s="30"/>
      <c r="K17" s="32"/>
    </row>
    <row r="18" spans="2:11" x14ac:dyDescent="0.25">
      <c r="B18" s="26"/>
      <c r="C18" s="28" t="s">
        <v>236</v>
      </c>
      <c r="D18" s="29"/>
      <c r="E18" s="835" t="str">
        <f>IF('PEDIDO ATV'!E18="","",'PEDIDO ATV'!E18)</f>
        <v/>
      </c>
      <c r="F18" s="835"/>
      <c r="G18" s="835"/>
      <c r="H18" s="835"/>
      <c r="I18" s="836"/>
      <c r="J18" s="30"/>
    </row>
    <row r="19" spans="2:11" x14ac:dyDescent="0.25">
      <c r="B19" s="26"/>
      <c r="C19" s="28" t="s">
        <v>237</v>
      </c>
      <c r="D19" s="29"/>
      <c r="E19" s="835" t="str">
        <f>IF('PEDIDO ATV'!E19="","",'PEDIDO ATV'!E19)</f>
        <v/>
      </c>
      <c r="F19" s="835"/>
      <c r="G19" s="835"/>
      <c r="H19" s="835"/>
      <c r="I19" s="836"/>
      <c r="J19" s="30"/>
    </row>
    <row r="20" spans="2:11" x14ac:dyDescent="0.25">
      <c r="B20" s="26"/>
      <c r="E20" s="54"/>
      <c r="F20" s="54"/>
      <c r="G20" s="54"/>
      <c r="H20" s="54"/>
      <c r="I20" s="54"/>
      <c r="J20" s="27"/>
    </row>
    <row r="21" spans="2:11" ht="16.5" thickBot="1" x14ac:dyDescent="0.3">
      <c r="B21" s="33"/>
      <c r="C21" s="17"/>
      <c r="D21" s="17"/>
      <c r="E21" s="58"/>
      <c r="F21" s="58"/>
      <c r="G21" s="58"/>
      <c r="H21" s="58"/>
      <c r="I21" s="58"/>
      <c r="J21" s="34"/>
    </row>
    <row r="22" spans="2:11" ht="16.5" thickBot="1" x14ac:dyDescent="0.3">
      <c r="E22" s="54"/>
      <c r="F22" s="54"/>
      <c r="G22" s="54"/>
      <c r="H22" s="54"/>
      <c r="I22" s="54"/>
    </row>
    <row r="23" spans="2:11" x14ac:dyDescent="0.25">
      <c r="B23" s="20"/>
      <c r="C23" s="21"/>
      <c r="D23" s="21"/>
      <c r="E23" s="59"/>
      <c r="F23" s="59"/>
      <c r="G23" s="59"/>
      <c r="H23" s="59"/>
      <c r="I23" s="59"/>
      <c r="J23" s="25"/>
    </row>
    <row r="24" spans="2:11" x14ac:dyDescent="0.25">
      <c r="B24" s="26"/>
      <c r="C24" s="28" t="s">
        <v>10</v>
      </c>
      <c r="D24" s="29"/>
      <c r="E24" s="419" t="str">
        <f>IF('PEDIDO ATV'!E24="","",'PEDIDO ATV'!E24)</f>
        <v>FAZ. DEDO DE MOÇA</v>
      </c>
      <c r="F24" s="423"/>
      <c r="G24" s="423"/>
      <c r="H24" s="423"/>
      <c r="I24" s="424"/>
      <c r="J24" s="27"/>
    </row>
    <row r="25" spans="2:11" x14ac:dyDescent="0.25">
      <c r="B25" s="26"/>
      <c r="C25" s="28" t="s">
        <v>11</v>
      </c>
      <c r="D25" s="35"/>
      <c r="E25" s="419" t="str">
        <f>IF('PEDIDO ATV'!E25="","",'PEDIDO ATV'!E25)</f>
        <v/>
      </c>
      <c r="F25" s="423"/>
      <c r="G25" s="423"/>
      <c r="H25" s="423"/>
      <c r="I25" s="424"/>
      <c r="J25" s="27"/>
    </row>
    <row r="26" spans="2:11" x14ac:dyDescent="0.25">
      <c r="B26" s="26"/>
      <c r="C26" s="28" t="s">
        <v>12</v>
      </c>
      <c r="D26" s="35"/>
      <c r="E26" s="419" t="str">
        <f>IF('PEDIDO ATV'!E26="","",'PEDIDO ATV'!E26)</f>
        <v/>
      </c>
      <c r="F26" s="423"/>
      <c r="G26" s="423"/>
      <c r="H26" s="423"/>
      <c r="I26" s="424"/>
      <c r="J26" s="27"/>
    </row>
    <row r="27" spans="2:11" x14ac:dyDescent="0.25">
      <c r="B27" s="26"/>
      <c r="C27" s="28" t="s">
        <v>13</v>
      </c>
      <c r="D27" s="35"/>
      <c r="E27" s="419" t="str">
        <f>IF('PEDIDO ATV'!E27="","",'PEDIDO ATV'!E27)</f>
        <v/>
      </c>
      <c r="F27" s="423"/>
      <c r="G27" s="423"/>
      <c r="H27" s="423"/>
      <c r="I27" s="424"/>
      <c r="J27" s="27"/>
    </row>
    <row r="28" spans="2:11" x14ac:dyDescent="0.25">
      <c r="B28" s="26"/>
      <c r="C28" s="28" t="s">
        <v>14</v>
      </c>
      <c r="D28" s="35"/>
      <c r="E28" s="419" t="str">
        <f>IF('PEDIDO ATV'!E28="","",'PEDIDO ATV'!E28)</f>
        <v>CVEL</v>
      </c>
      <c r="F28" s="423"/>
      <c r="G28" s="423"/>
      <c r="H28" s="423"/>
      <c r="I28" s="424"/>
      <c r="J28" s="27"/>
    </row>
    <row r="29" spans="2:11" ht="16.5" thickBot="1" x14ac:dyDescent="0.3">
      <c r="B29" s="33"/>
      <c r="C29" s="17"/>
      <c r="D29" s="17"/>
      <c r="E29" s="17"/>
      <c r="F29" s="17"/>
      <c r="G29" s="17"/>
      <c r="H29" s="17"/>
      <c r="I29" s="17"/>
      <c r="J29" s="34"/>
    </row>
    <row r="30" spans="2:11" ht="16.5" thickBot="1" x14ac:dyDescent="0.3"/>
    <row r="31" spans="2:11" x14ac:dyDescent="0.25">
      <c r="B31" s="20"/>
      <c r="C31" s="21"/>
      <c r="D31" s="36"/>
      <c r="E31" s="21"/>
      <c r="F31" s="21"/>
      <c r="G31" s="21"/>
      <c r="H31" s="21"/>
      <c r="I31" s="21"/>
      <c r="J31" s="25"/>
    </row>
    <row r="32" spans="2:11" x14ac:dyDescent="0.25">
      <c r="B32" s="37" t="s">
        <v>15</v>
      </c>
      <c r="D32" s="407">
        <f>'PEDIDO ATV'!D32</f>
        <v>45899</v>
      </c>
      <c r="E32" s="32"/>
      <c r="G32" s="39" t="s">
        <v>16</v>
      </c>
      <c r="H32" s="421" t="str">
        <f>IF('PEDIDO ATV'!H32&lt;&gt;"",'PEDIDO ATV'!H32,"")</f>
        <v/>
      </c>
      <c r="J32" s="27"/>
    </row>
    <row r="33" spans="2:10" x14ac:dyDescent="0.25">
      <c r="B33" s="37" t="s">
        <v>224</v>
      </c>
      <c r="D33" s="422" t="str">
        <f>IF('PEDIDO ATV'!D33&lt;&gt;"",'PEDIDO ATV'!D33,"")</f>
        <v/>
      </c>
      <c r="E33" s="41" t="s">
        <v>20</v>
      </c>
      <c r="G33" s="39" t="s">
        <v>18</v>
      </c>
      <c r="H33" s="421" t="str">
        <f>IF('PEDIDO ATV'!H33&lt;&gt;"",'PEDIDO ATV'!H33,"")</f>
        <v/>
      </c>
      <c r="J33" s="27"/>
    </row>
    <row r="34" spans="2:10" x14ac:dyDescent="0.25">
      <c r="B34" s="37" t="s">
        <v>19</v>
      </c>
      <c r="D34" s="422" t="str">
        <f>IF('PEDIDO ATV'!D34&lt;&gt;"",'PEDIDO ATV'!D34,"")</f>
        <v/>
      </c>
      <c r="E34" s="41" t="s">
        <v>20</v>
      </c>
      <c r="G34" s="39" t="s">
        <v>21</v>
      </c>
      <c r="H34" s="421" t="str">
        <f>IF('PEDIDO ATV'!H34&lt;&gt;"",'PEDIDO ATV'!H34,"")</f>
        <v/>
      </c>
      <c r="J34" s="27"/>
    </row>
    <row r="35" spans="2:10" x14ac:dyDescent="0.25">
      <c r="B35" s="37" t="s">
        <v>23</v>
      </c>
      <c r="D35" s="422" t="str">
        <f>IF('PEDIDO ATV'!D35&lt;&gt;"",'PEDIDO ATV'!D35,"")</f>
        <v/>
      </c>
      <c r="E35" s="42"/>
      <c r="G35" s="43" t="str">
        <f>IF('INPUT ATV'!C8="n","(**)"," ")</f>
        <v xml:space="preserve"> </v>
      </c>
      <c r="H35" s="44"/>
      <c r="J35" s="27"/>
    </row>
    <row r="36" spans="2:10" x14ac:dyDescent="0.25">
      <c r="B36" s="37" t="s">
        <v>24</v>
      </c>
      <c r="D36" s="55" t="str">
        <f>'PEDIDO VIA CLIENTE'!D36</f>
        <v>VICTOR</v>
      </c>
      <c r="E36" s="42"/>
      <c r="G36" s="39"/>
      <c r="H36" s="44"/>
      <c r="J36" s="27"/>
    </row>
    <row r="37" spans="2:10" ht="16.5" thickBot="1" x14ac:dyDescent="0.3">
      <c r="B37" s="33"/>
      <c r="C37" s="17"/>
      <c r="D37" s="17"/>
      <c r="E37" s="17"/>
      <c r="F37" s="17"/>
      <c r="G37" s="17"/>
      <c r="H37" s="17"/>
      <c r="I37" s="17"/>
      <c r="J37" s="34"/>
    </row>
    <row r="38" spans="2:10" ht="16.5" thickBot="1" x14ac:dyDescent="0.3"/>
    <row r="39" spans="2:10" x14ac:dyDescent="0.25">
      <c r="B39" s="668" t="s">
        <v>25</v>
      </c>
      <c r="C39" s="669"/>
      <c r="D39" s="45" t="s">
        <v>26</v>
      </c>
      <c r="E39" s="669" t="s">
        <v>27</v>
      </c>
      <c r="F39" s="669"/>
      <c r="G39" s="669"/>
      <c r="H39" s="669"/>
      <c r="I39" s="45" t="s">
        <v>28</v>
      </c>
      <c r="J39" s="46" t="s">
        <v>46</v>
      </c>
    </row>
    <row r="40" spans="2:10" x14ac:dyDescent="0.25">
      <c r="B40" s="804">
        <f>IF(J40&gt;0,'INPUT ATV'!D18,0)</f>
        <v>1</v>
      </c>
      <c r="C40" s="805"/>
      <c r="D40" s="72" t="s">
        <v>180</v>
      </c>
      <c r="E40" s="281" t="str">
        <f>"CARREGAMENTO ("&amp;INT('INPUT ATV'!H17)&amp;" TON)"</f>
        <v>CARREGAMENTO (187 TON)</v>
      </c>
      <c r="F40" s="282"/>
      <c r="G40" s="282"/>
      <c r="H40" s="283"/>
      <c r="I40" s="154">
        <f>IF(J40&gt;0,J40/B40,0)</f>
        <v>4096</v>
      </c>
      <c r="J40" s="74">
        <f>'INPUT ATV'!Q21</f>
        <v>4096</v>
      </c>
    </row>
    <row r="41" spans="2:10" x14ac:dyDescent="0.25">
      <c r="B41" s="806">
        <f>IF(J41&gt;0,IF(D41="ALQ",'INPUT ATV'!D10,'INPUT ATV'!H10),"")</f>
        <v>30.09</v>
      </c>
      <c r="C41" s="807"/>
      <c r="D41" s="72" t="str">
        <f>IF('INPUT ATV'!C10&gt;0,IF(OR('INPUT ATV'!A10="Cama de Frango",'INPUT ATV'!H10/('INPUT ATV'!C10+'INPUT ATV'!M10)&gt;=5.5),"TON","ALQ"),"")</f>
        <v>ALQ</v>
      </c>
      <c r="E41" s="832" t="str">
        <f>IF('INPUT ATV'!A10="","",'INPUT ATV'!A10&amp;" - "&amp;IF(D41="ALQ",ROUND('INPUT ATV'!H10,1)&amp;" TON",ROUND('INPUT ATV'!D10,2)&amp;" ALQ"))&amp;IF('INPUT ATV'!B10&lt;&gt;""," - "&amp;'INPUT ATV'!B10,"")</f>
        <v>Calc. Dolomítico - 174,5 TON - TL44</v>
      </c>
      <c r="F41" s="833"/>
      <c r="G41" s="833"/>
      <c r="H41" s="834"/>
      <c r="I41" s="73">
        <f t="shared" ref="I41:I47" si="0">IF(J41&lt;&gt;0,J41/B41,0)</f>
        <v>293.27999999999997</v>
      </c>
      <c r="J41" s="74">
        <f>IFERROR(SUM('INPUT ATV'!O10:P10)+('INPUT ATV'!$Q$20/'INPUT ATV'!$D$17*'INPUT ATV'!D10),0)</f>
        <v>8824.7951999999987</v>
      </c>
    </row>
    <row r="42" spans="2:10" x14ac:dyDescent="0.25">
      <c r="B42" s="806">
        <f>IF(J42&gt;0,IF(D42="ALQ",'INPUT ATV'!D11,'INPUT ATV'!H11),"")</f>
        <v>3.76</v>
      </c>
      <c r="C42" s="807"/>
      <c r="D42" s="72" t="str">
        <f>IF('INPUT ATV'!C11&gt;0,IF(OR('INPUT ATV'!A11="Cama de Frango",'INPUT ATV'!H11/('INPUT ATV'!C11+'INPUT ATV'!M11)&gt;=5.5),"TON","ALQ"),"")</f>
        <v>ALQ</v>
      </c>
      <c r="E42" s="832" t="str">
        <f>IF('INPUT ATV'!A11="","",'INPUT ATV'!A11&amp;" - "&amp;IF(D42="ALQ",ROUND('INPUT ATV'!H11,1)&amp;" TON",ROUND('INPUT ATV'!D11,2)&amp;" ALQ"))&amp;IF('INPUT ATV'!B11&lt;&gt;""," - "&amp;'INPUT ATV'!B11,"")</f>
        <v>Calc. Dolomítico - 12,5 TON - TL45</v>
      </c>
      <c r="F42" s="833"/>
      <c r="G42" s="833"/>
      <c r="H42" s="834"/>
      <c r="I42" s="73">
        <f t="shared" si="0"/>
        <v>293.27999999999997</v>
      </c>
      <c r="J42" s="74">
        <f>IFERROR(SUM('INPUT ATV'!O11:P11)+('INPUT ATV'!$Q$20/'INPUT ATV'!$D$17*'INPUT ATV'!D11),0)</f>
        <v>1102.7327999999998</v>
      </c>
    </row>
    <row r="43" spans="2:10" x14ac:dyDescent="0.25">
      <c r="B43" s="806" t="str">
        <f>IF(J43&gt;0,IF(D43="ALQ",'INPUT ATV'!D12,'INPUT ATV'!H12),"")</f>
        <v/>
      </c>
      <c r="C43" s="807"/>
      <c r="D43" s="72" t="str">
        <f>IF('INPUT ATV'!C12&gt;0,IF(OR('INPUT ATV'!A12="Cama de Frango",'INPUT ATV'!H12/('INPUT ATV'!C12+'INPUT ATV'!M12)&gt;=5.5),"TON","ALQ"),"")</f>
        <v/>
      </c>
      <c r="E43" s="832" t="str">
        <f>IF('INPUT ATV'!A12="","",'INPUT ATV'!A12&amp;" - "&amp;IF(D43="ALQ",ROUND('INPUT ATV'!H12,1)&amp;" TON",ROUND('INPUT ATV'!D12,2)&amp;" ALQ"))&amp;IF('INPUT ATV'!B12&lt;&gt;""," - "&amp;'INPUT ATV'!B12,"")</f>
        <v/>
      </c>
      <c r="F43" s="833"/>
      <c r="G43" s="833"/>
      <c r="H43" s="834"/>
      <c r="I43" s="73">
        <f t="shared" si="0"/>
        <v>0</v>
      </c>
      <c r="J43" s="74">
        <f>IFERROR(SUM('INPUT ATV'!O12:P12)+('INPUT ATV'!$Q$20/'INPUT ATV'!$D$17*'INPUT ATV'!D12),0)</f>
        <v>0</v>
      </c>
    </row>
    <row r="44" spans="2:10" x14ac:dyDescent="0.25">
      <c r="B44" s="806" t="str">
        <f>IF(J44&gt;0,IF(D44="ALQ",'INPUT ATV'!D13,'INPUT ATV'!H13),"")</f>
        <v/>
      </c>
      <c r="C44" s="807"/>
      <c r="D44" s="72" t="str">
        <f>IF('INPUT ATV'!C13&gt;0,IF(OR('INPUT ATV'!A13="Cama de Frango",'INPUT ATV'!H13/('INPUT ATV'!C13+'INPUT ATV'!M13)&gt;=5.5),"TON","ALQ"),"")</f>
        <v/>
      </c>
      <c r="E44" s="832" t="str">
        <f>IF('INPUT ATV'!A13="","",'INPUT ATV'!A13&amp;" - "&amp;IF(D44="ALQ",ROUND('INPUT ATV'!H13,1)&amp;" TON",ROUND('INPUT ATV'!D13,2)&amp;" ALQ"))&amp;IF('INPUT ATV'!B13&lt;&gt;""," - "&amp;'INPUT ATV'!B13,"")</f>
        <v/>
      </c>
      <c r="F44" s="833"/>
      <c r="G44" s="833"/>
      <c r="H44" s="834"/>
      <c r="I44" s="73">
        <f t="shared" si="0"/>
        <v>0</v>
      </c>
      <c r="J44" s="74">
        <f>IFERROR(SUM('INPUT ATV'!O13:P13)+('INPUT ATV'!$Q$20/'INPUT ATV'!$D$17*'INPUT ATV'!D13),0)</f>
        <v>0</v>
      </c>
    </row>
    <row r="45" spans="2:10" x14ac:dyDescent="0.25">
      <c r="B45" s="806" t="str">
        <f>IF(J45&gt;0,IF(D45="ALQ",'INPUT ATV'!D14,'INPUT ATV'!H14),"")</f>
        <v/>
      </c>
      <c r="C45" s="807"/>
      <c r="D45" s="72" t="str">
        <f>IF('INPUT ATV'!C14&gt;0,IF(OR('INPUT ATV'!A14="Cama de Frango",'INPUT ATV'!H14/('INPUT ATV'!C14+'INPUT ATV'!M14)&gt;=5.5),"TON","ALQ"),"")</f>
        <v/>
      </c>
      <c r="E45" s="832" t="str">
        <f>IF('INPUT ATV'!A14="","",'INPUT ATV'!A14&amp;" - "&amp;IF(D45="ALQ",ROUND('INPUT ATV'!H14,1)&amp;" TON",ROUND('INPUT ATV'!D14,2)&amp;" ALQ"))&amp;IF('INPUT ATV'!B14&lt;&gt;""," - "&amp;'INPUT ATV'!B14,"")</f>
        <v/>
      </c>
      <c r="F45" s="833"/>
      <c r="G45" s="833"/>
      <c r="H45" s="834"/>
      <c r="I45" s="73">
        <f t="shared" si="0"/>
        <v>0</v>
      </c>
      <c r="J45" s="74">
        <f>IFERROR(SUM('INPUT ATV'!O14:P14)+('INPUT ATV'!$Q$20/'INPUT ATV'!$D$17*'INPUT ATV'!D14),0)</f>
        <v>0</v>
      </c>
    </row>
    <row r="46" spans="2:10" x14ac:dyDescent="0.25">
      <c r="B46" s="806" t="str">
        <f>IF(J46&gt;0,IF(D46="ALQ",'INPUT ATV'!D15,'INPUT ATV'!H15),"")</f>
        <v/>
      </c>
      <c r="C46" s="807"/>
      <c r="D46" s="72" t="str">
        <f>IF('INPUT ATV'!C15&gt;0,IF(OR('INPUT ATV'!A15="Cama de Frango",'INPUT ATV'!H15/('INPUT ATV'!C15+'INPUT ATV'!M15)&gt;=5.5),"TON","ALQ"),"")</f>
        <v/>
      </c>
      <c r="E46" s="832" t="str">
        <f>IF('INPUT ATV'!A15="","",'INPUT ATV'!A15&amp;" - "&amp;IF(D46="ALQ",ROUND('INPUT ATV'!H15,1)&amp;" TON",ROUND('INPUT ATV'!D15,2)&amp;" ALQ"))&amp;IF('INPUT ATV'!B15&lt;&gt;""," - "&amp;'INPUT ATV'!B15,"")</f>
        <v/>
      </c>
      <c r="F46" s="833"/>
      <c r="G46" s="833"/>
      <c r="H46" s="834"/>
      <c r="I46" s="73">
        <f t="shared" si="0"/>
        <v>0</v>
      </c>
      <c r="J46" s="74">
        <f>IFERROR(SUM('INPUT ATV'!O15:P15)+('INPUT ATV'!$Q$20/'INPUT ATV'!$D$17*'INPUT ATV'!D15),0)</f>
        <v>0</v>
      </c>
    </row>
    <row r="47" spans="2:10" x14ac:dyDescent="0.25">
      <c r="B47" s="806" t="str">
        <f>IF(J47&gt;0,IF(D47="ALQ",'INPUT ATV'!D16,'INPUT ATV'!H16),"")</f>
        <v/>
      </c>
      <c r="C47" s="807"/>
      <c r="D47" s="72" t="str">
        <f>IF('INPUT ATV'!C16&gt;0,IF(OR('INPUT ATV'!A16="Cama de Frango",'INPUT ATV'!H16/('INPUT ATV'!C16+'INPUT ATV'!M16)&gt;=5.5),"TON","ALQ"),"")</f>
        <v/>
      </c>
      <c r="E47" s="832" t="str">
        <f>IF('INPUT ATV'!A16="","",'INPUT ATV'!A16&amp;" - "&amp;IF(D47="ALQ",ROUND('INPUT ATV'!H16,1)&amp;" TON",ROUND('INPUT ATV'!D16,2)&amp;" ALQ"))&amp;IF('INPUT ATV'!B16&lt;&gt;""," - "&amp;'INPUT ATV'!B16,"")</f>
        <v/>
      </c>
      <c r="F47" s="833"/>
      <c r="G47" s="833"/>
      <c r="H47" s="834"/>
      <c r="I47" s="73">
        <f t="shared" si="0"/>
        <v>0</v>
      </c>
      <c r="J47" s="74">
        <f>IFERROR(SUM('INPUT ATV'!O16:P16)+('INPUT ATV'!$Q$20/'INPUT ATV'!$D$17*'INPUT ATV'!D16),0)</f>
        <v>0</v>
      </c>
    </row>
    <row r="48" spans="2:10" x14ac:dyDescent="0.25">
      <c r="B48" s="806"/>
      <c r="C48" s="807"/>
      <c r="D48" s="72"/>
      <c r="E48" s="642" t="str">
        <f>IF('INPUT ATV'!C8="N","DESCONTO (**)","")</f>
        <v/>
      </c>
      <c r="F48" s="643"/>
      <c r="G48" s="643"/>
      <c r="H48" s="644"/>
      <c r="I48" s="75"/>
      <c r="J48" s="74">
        <f>IF(E48&lt;&gt;"",'INPUT ATV'!Q19*(-1),0)</f>
        <v>0</v>
      </c>
    </row>
    <row r="49" spans="2:10" x14ac:dyDescent="0.25">
      <c r="B49" s="822">
        <f>IF('PEDIDO ATV'!B50&lt;&gt;"",'PEDIDO ATV'!B50:C50,"")</f>
        <v>33.9</v>
      </c>
      <c r="C49" s="823"/>
      <c r="D49" s="426" t="str">
        <f>IF('PEDIDO ATV'!D50&lt;&gt;"",'PEDIDO ATV'!D50,"")</f>
        <v>ALQ</v>
      </c>
      <c r="E49" s="824" t="str">
        <f>IF('PEDIDO ATV'!E50:H50&lt;&gt;"",'PEDIDO ATV'!E50:H50,"")</f>
        <v>DESCONTO</v>
      </c>
      <c r="F49" s="825"/>
      <c r="G49" s="825"/>
      <c r="H49" s="826"/>
      <c r="I49" s="427">
        <f>IF('PEDIDO ATV'!I50&lt;&gt;"",'PEDIDO ATV'!I50,"")</f>
        <v>-3.28</v>
      </c>
      <c r="J49" s="49">
        <f>IFERROR(I49*B49,0)</f>
        <v>-111.19199999999999</v>
      </c>
    </row>
    <row r="50" spans="2:10" ht="16.5" thickBot="1" x14ac:dyDescent="0.3">
      <c r="B50" s="827" t="str">
        <f>IF('PEDIDO ATV'!B51:C51&lt;&gt;"",'PEDIDO ATV'!B51:C51,"")</f>
        <v/>
      </c>
      <c r="C50" s="828"/>
      <c r="D50" s="452" t="str">
        <f>IF('PEDIDO ATV'!D51&lt;&gt;"",'PEDIDO ATV'!D51,"")</f>
        <v/>
      </c>
      <c r="E50" s="829" t="str">
        <f>IF('PEDIDO ATV'!E51:H51&lt;&gt;"",'PEDIDO ATV'!E51:H51,"")</f>
        <v/>
      </c>
      <c r="F50" s="830"/>
      <c r="G50" s="830"/>
      <c r="H50" s="831"/>
      <c r="I50" s="453" t="str">
        <f>IF('PEDIDO ATV'!I51&lt;&gt;"",'PEDIDO ATV'!I51,"")</f>
        <v/>
      </c>
      <c r="J50" s="454">
        <f>IFERROR(I50*B50,0)</f>
        <v>0</v>
      </c>
    </row>
    <row r="51" spans="2:10" ht="16.5" thickBot="1" x14ac:dyDescent="0.3">
      <c r="B51" s="820"/>
      <c r="C51" s="820"/>
      <c r="D51" s="820"/>
      <c r="E51" s="820"/>
      <c r="F51" s="820"/>
      <c r="G51" s="820"/>
      <c r="H51" s="215" t="s">
        <v>31</v>
      </c>
      <c r="I51" s="648">
        <f>SUM(J40:J50)</f>
        <v>13912.335999999999</v>
      </c>
      <c r="J51" s="649"/>
    </row>
    <row r="52" spans="2:10" x14ac:dyDescent="0.25">
      <c r="B52" s="821"/>
      <c r="C52" s="821"/>
      <c r="D52" s="32"/>
      <c r="E52" s="630"/>
      <c r="F52" s="630"/>
      <c r="G52" s="630"/>
      <c r="H52" s="630"/>
    </row>
    <row r="53" spans="2:10" x14ac:dyDescent="0.25">
      <c r="B53" s="51"/>
      <c r="C53" s="51"/>
      <c r="E53" s="52"/>
      <c r="F53" s="52"/>
      <c r="G53" s="52"/>
      <c r="H53" s="52"/>
    </row>
    <row r="54" spans="2:10" x14ac:dyDescent="0.25">
      <c r="B54" s="817" t="str">
        <f>IF('PEDIDO ATV'!B56:J56&lt;&gt;"",'PEDIDO ATV'!B56:J56,"")</f>
        <v>OBS: Cliente NÃO providencia almoço//Mapa origem Preciza</v>
      </c>
      <c r="C54" s="818"/>
      <c r="D54" s="818"/>
      <c r="E54" s="818"/>
      <c r="F54" s="818"/>
      <c r="G54" s="818"/>
      <c r="H54" s="818"/>
      <c r="I54" s="818"/>
      <c r="J54" s="819"/>
    </row>
    <row r="55" spans="2:10" x14ac:dyDescent="0.25">
      <c r="B55" s="817" t="str">
        <f>IF('PEDIDO ATV'!B57:J57&lt;&gt;"",'PEDIDO ATV'!B57:J57,"")</f>
        <v/>
      </c>
      <c r="C55" s="818"/>
      <c r="D55" s="818"/>
      <c r="E55" s="818"/>
      <c r="F55" s="818"/>
      <c r="G55" s="818"/>
      <c r="H55" s="818"/>
      <c r="I55" s="818"/>
      <c r="J55" s="819"/>
    </row>
    <row r="56" spans="2:10" x14ac:dyDescent="0.25">
      <c r="B56" s="817" t="str">
        <f>IF('PEDIDO ATV'!B58:J58&lt;&gt;"",'PEDIDO ATV'!B58:J58,"")</f>
        <v/>
      </c>
      <c r="C56" s="818"/>
      <c r="D56" s="818"/>
      <c r="E56" s="818"/>
      <c r="F56" s="818"/>
      <c r="G56" s="818"/>
      <c r="H56" s="818"/>
      <c r="I56" s="818"/>
      <c r="J56" s="819"/>
    </row>
    <row r="57" spans="2:10" x14ac:dyDescent="0.25">
      <c r="B57" s="391" t="str">
        <f>IF(C11="PEDIDO ATV","","OBS: Validade do orçamento: 30 dias")</f>
        <v>OBS: Validade do orçamento: 30 dias</v>
      </c>
      <c r="C57" s="54"/>
      <c r="D57" s="54"/>
      <c r="E57" s="54"/>
      <c r="F57" s="54"/>
      <c r="G57" s="54"/>
      <c r="H57" s="54"/>
      <c r="I57" s="54"/>
      <c r="J57" s="54"/>
    </row>
    <row r="59" spans="2:10" x14ac:dyDescent="0.25">
      <c r="B59" s="55" t="s">
        <v>32</v>
      </c>
      <c r="G59" s="55" t="s">
        <v>33</v>
      </c>
    </row>
    <row r="60" spans="2:10" x14ac:dyDescent="0.25">
      <c r="B60" s="55" t="s">
        <v>34</v>
      </c>
      <c r="G60" s="16" t="str">
        <f>E13</f>
        <v>RENATA FESTUGATO</v>
      </c>
    </row>
  </sheetData>
  <sheetProtection selectLockedCells="1"/>
  <mergeCells count="43">
    <mergeCell ref="B7:J7"/>
    <mergeCell ref="B8:D8"/>
    <mergeCell ref="E8:G8"/>
    <mergeCell ref="H8:J8"/>
    <mergeCell ref="B9:E9"/>
    <mergeCell ref="G9:J9"/>
    <mergeCell ref="E19:I19"/>
    <mergeCell ref="E13:I13"/>
    <mergeCell ref="E14:I14"/>
    <mergeCell ref="E15:I15"/>
    <mergeCell ref="E17:G17"/>
    <mergeCell ref="E18:I18"/>
    <mergeCell ref="G16:I16"/>
    <mergeCell ref="B39:C39"/>
    <mergeCell ref="E39:H39"/>
    <mergeCell ref="B40:C40"/>
    <mergeCell ref="B41:C41"/>
    <mergeCell ref="E41:H41"/>
    <mergeCell ref="B42:C42"/>
    <mergeCell ref="E42:H42"/>
    <mergeCell ref="B43:C43"/>
    <mergeCell ref="E43:H43"/>
    <mergeCell ref="B44:C44"/>
    <mergeCell ref="E44:H44"/>
    <mergeCell ref="B45:C45"/>
    <mergeCell ref="E45:H45"/>
    <mergeCell ref="B46:C46"/>
    <mergeCell ref="E46:H46"/>
    <mergeCell ref="B47:C47"/>
    <mergeCell ref="E47:H47"/>
    <mergeCell ref="B48:C48"/>
    <mergeCell ref="E48:H48"/>
    <mergeCell ref="B49:C49"/>
    <mergeCell ref="E49:H49"/>
    <mergeCell ref="B50:C50"/>
    <mergeCell ref="E50:H50"/>
    <mergeCell ref="B56:J56"/>
    <mergeCell ref="B51:G51"/>
    <mergeCell ref="I51:J51"/>
    <mergeCell ref="B52:C52"/>
    <mergeCell ref="E52:H52"/>
    <mergeCell ref="B54:J54"/>
    <mergeCell ref="B55:J55"/>
  </mergeCells>
  <phoneticPr fontId="55" type="noConversion"/>
  <pageMargins left="0.51181102362204722" right="0.51181102362204722" top="0.78740157480314965" bottom="0.78740157480314965" header="0.31496062992125984" footer="0.31496062992125984"/>
  <pageSetup paperSize="9" scale="79" orientation="portrait" cellComments="asDisplayed" r:id="rId1"/>
  <colBreaks count="1" manualBreakCount="1">
    <brk id="10" max="1048575" man="1"/>
  </col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ilha1">
    <tabColor rgb="FF92D050"/>
  </sheetPr>
  <dimension ref="A6:WVR62"/>
  <sheetViews>
    <sheetView showGridLines="0" zoomScaleNormal="100" workbookViewId="0">
      <selection activeCell="C50" sqref="C50:I50"/>
    </sheetView>
  </sheetViews>
  <sheetFormatPr defaultColWidth="0" defaultRowHeight="15.75" x14ac:dyDescent="0.25"/>
  <cols>
    <col min="1" max="1" width="9.140625" style="16" customWidth="1"/>
    <col min="2" max="2" width="8" style="16" customWidth="1"/>
    <col min="3" max="3" width="6.85546875" style="16" customWidth="1"/>
    <col min="4" max="4" width="14.28515625" style="16" customWidth="1"/>
    <col min="5" max="5" width="15.5703125" style="16" customWidth="1"/>
    <col min="6" max="6" width="9.140625" style="16" customWidth="1"/>
    <col min="7" max="7" width="14.140625" style="16" customWidth="1"/>
    <col min="8" max="8" width="18.28515625" style="16" bestFit="1" customWidth="1"/>
    <col min="9" max="9" width="14.42578125" style="16" customWidth="1"/>
    <col min="10" max="10" width="17.140625" style="16" customWidth="1"/>
    <col min="11" max="14" width="9.140625" style="470" customWidth="1"/>
    <col min="15" max="15" width="15" style="470" bestFit="1" customWidth="1"/>
    <col min="16" max="16" width="13.5703125" style="470" bestFit="1" customWidth="1"/>
    <col min="17" max="18" width="9.140625" style="470" customWidth="1"/>
    <col min="19" max="19" width="9.140625" style="470" hidden="1"/>
    <col min="20" max="257" width="9.140625" style="16" hidden="1"/>
    <col min="258" max="258" width="8" style="16" hidden="1"/>
    <col min="259" max="259" width="6.85546875" style="16" hidden="1"/>
    <col min="260" max="260" width="14" style="16" hidden="1"/>
    <col min="261" max="262" width="9.140625" style="16" hidden="1"/>
    <col min="263" max="263" width="10.28515625" style="16" hidden="1"/>
    <col min="264" max="264" width="13" style="16" hidden="1"/>
    <col min="265" max="265" width="14.42578125" style="16" hidden="1"/>
    <col min="266" max="266" width="15.7109375" style="16" hidden="1"/>
    <col min="267" max="513" width="9.140625" style="16" hidden="1"/>
    <col min="514" max="514" width="8" style="16" hidden="1"/>
    <col min="515" max="515" width="6.85546875" style="16" hidden="1"/>
    <col min="516" max="516" width="14" style="16" hidden="1"/>
    <col min="517" max="518" width="9.140625" style="16" hidden="1"/>
    <col min="519" max="519" width="10.28515625" style="16" hidden="1"/>
    <col min="520" max="520" width="13" style="16" hidden="1"/>
    <col min="521" max="521" width="14.42578125" style="16" hidden="1"/>
    <col min="522" max="522" width="15.7109375" style="16" hidden="1"/>
    <col min="523" max="769" width="9.140625" style="16" hidden="1"/>
    <col min="770" max="770" width="8" style="16" hidden="1"/>
    <col min="771" max="771" width="6.85546875" style="16" hidden="1"/>
    <col min="772" max="772" width="14" style="16" hidden="1"/>
    <col min="773" max="774" width="9.140625" style="16" hidden="1"/>
    <col min="775" max="775" width="10.28515625" style="16" hidden="1"/>
    <col min="776" max="776" width="13" style="16" hidden="1"/>
    <col min="777" max="777" width="14.42578125" style="16" hidden="1"/>
    <col min="778" max="778" width="15.7109375" style="16" hidden="1"/>
    <col min="779" max="1025" width="9.140625" style="16" hidden="1"/>
    <col min="1026" max="1026" width="8" style="16" hidden="1"/>
    <col min="1027" max="1027" width="6.85546875" style="16" hidden="1"/>
    <col min="1028" max="1028" width="14" style="16" hidden="1"/>
    <col min="1029" max="1030" width="9.140625" style="16" hidden="1"/>
    <col min="1031" max="1031" width="10.28515625" style="16" hidden="1"/>
    <col min="1032" max="1032" width="13" style="16" hidden="1"/>
    <col min="1033" max="1033" width="14.42578125" style="16" hidden="1"/>
    <col min="1034" max="1034" width="15.7109375" style="16" hidden="1"/>
    <col min="1035" max="1281" width="9.140625" style="16" hidden="1"/>
    <col min="1282" max="1282" width="8" style="16" hidden="1"/>
    <col min="1283" max="1283" width="6.85546875" style="16" hidden="1"/>
    <col min="1284" max="1284" width="14" style="16" hidden="1"/>
    <col min="1285" max="1286" width="9.140625" style="16" hidden="1"/>
    <col min="1287" max="1287" width="10.28515625" style="16" hidden="1"/>
    <col min="1288" max="1288" width="13" style="16" hidden="1"/>
    <col min="1289" max="1289" width="14.42578125" style="16" hidden="1"/>
    <col min="1290" max="1290" width="15.7109375" style="16" hidden="1"/>
    <col min="1291" max="1537" width="9.140625" style="16" hidden="1"/>
    <col min="1538" max="1538" width="8" style="16" hidden="1"/>
    <col min="1539" max="1539" width="6.85546875" style="16" hidden="1"/>
    <col min="1540" max="1540" width="14" style="16" hidden="1"/>
    <col min="1541" max="1542" width="9.140625" style="16" hidden="1"/>
    <col min="1543" max="1543" width="10.28515625" style="16" hidden="1"/>
    <col min="1544" max="1544" width="13" style="16" hidden="1"/>
    <col min="1545" max="1545" width="14.42578125" style="16" hidden="1"/>
    <col min="1546" max="1546" width="15.7109375" style="16" hidden="1"/>
    <col min="1547" max="1793" width="9.140625" style="16" hidden="1"/>
    <col min="1794" max="1794" width="8" style="16" hidden="1"/>
    <col min="1795" max="1795" width="6.85546875" style="16" hidden="1"/>
    <col min="1796" max="1796" width="14" style="16" hidden="1"/>
    <col min="1797" max="1798" width="9.140625" style="16" hidden="1"/>
    <col min="1799" max="1799" width="10.28515625" style="16" hidden="1"/>
    <col min="1800" max="1800" width="13" style="16" hidden="1"/>
    <col min="1801" max="1801" width="14.42578125" style="16" hidden="1"/>
    <col min="1802" max="1802" width="15.7109375" style="16" hidden="1"/>
    <col min="1803" max="2049" width="9.140625" style="16" hidden="1"/>
    <col min="2050" max="2050" width="8" style="16" hidden="1"/>
    <col min="2051" max="2051" width="6.85546875" style="16" hidden="1"/>
    <col min="2052" max="2052" width="14" style="16" hidden="1"/>
    <col min="2053" max="2054" width="9.140625" style="16" hidden="1"/>
    <col min="2055" max="2055" width="10.28515625" style="16" hidden="1"/>
    <col min="2056" max="2056" width="13" style="16" hidden="1"/>
    <col min="2057" max="2057" width="14.42578125" style="16" hidden="1"/>
    <col min="2058" max="2058" width="15.7109375" style="16" hidden="1"/>
    <col min="2059" max="2305" width="9.140625" style="16" hidden="1"/>
    <col min="2306" max="2306" width="8" style="16" hidden="1"/>
    <col min="2307" max="2307" width="6.85546875" style="16" hidden="1"/>
    <col min="2308" max="2308" width="14" style="16" hidden="1"/>
    <col min="2309" max="2310" width="9.140625" style="16" hidden="1"/>
    <col min="2311" max="2311" width="10.28515625" style="16" hidden="1"/>
    <col min="2312" max="2312" width="13" style="16" hidden="1"/>
    <col min="2313" max="2313" width="14.42578125" style="16" hidden="1"/>
    <col min="2314" max="2314" width="15.7109375" style="16" hidden="1"/>
    <col min="2315" max="2561" width="9.140625" style="16" hidden="1"/>
    <col min="2562" max="2562" width="8" style="16" hidden="1"/>
    <col min="2563" max="2563" width="6.85546875" style="16" hidden="1"/>
    <col min="2564" max="2564" width="14" style="16" hidden="1"/>
    <col min="2565" max="2566" width="9.140625" style="16" hidden="1"/>
    <col min="2567" max="2567" width="10.28515625" style="16" hidden="1"/>
    <col min="2568" max="2568" width="13" style="16" hidden="1"/>
    <col min="2569" max="2569" width="14.42578125" style="16" hidden="1"/>
    <col min="2570" max="2570" width="15.7109375" style="16" hidden="1"/>
    <col min="2571" max="2817" width="9.140625" style="16" hidden="1"/>
    <col min="2818" max="2818" width="8" style="16" hidden="1"/>
    <col min="2819" max="2819" width="6.85546875" style="16" hidden="1"/>
    <col min="2820" max="2820" width="14" style="16" hidden="1"/>
    <col min="2821" max="2822" width="9.140625" style="16" hidden="1"/>
    <col min="2823" max="2823" width="10.28515625" style="16" hidden="1"/>
    <col min="2824" max="2824" width="13" style="16" hidden="1"/>
    <col min="2825" max="2825" width="14.42578125" style="16" hidden="1"/>
    <col min="2826" max="2826" width="15.7109375" style="16" hidden="1"/>
    <col min="2827" max="3073" width="9.140625" style="16" hidden="1"/>
    <col min="3074" max="3074" width="8" style="16" hidden="1"/>
    <col min="3075" max="3075" width="6.85546875" style="16" hidden="1"/>
    <col min="3076" max="3076" width="14" style="16" hidden="1"/>
    <col min="3077" max="3078" width="9.140625" style="16" hidden="1"/>
    <col min="3079" max="3079" width="10.28515625" style="16" hidden="1"/>
    <col min="3080" max="3080" width="13" style="16" hidden="1"/>
    <col min="3081" max="3081" width="14.42578125" style="16" hidden="1"/>
    <col min="3082" max="3082" width="15.7109375" style="16" hidden="1"/>
    <col min="3083" max="3329" width="9.140625" style="16" hidden="1"/>
    <col min="3330" max="3330" width="8" style="16" hidden="1"/>
    <col min="3331" max="3331" width="6.85546875" style="16" hidden="1"/>
    <col min="3332" max="3332" width="14" style="16" hidden="1"/>
    <col min="3333" max="3334" width="9.140625" style="16" hidden="1"/>
    <col min="3335" max="3335" width="10.28515625" style="16" hidden="1"/>
    <col min="3336" max="3336" width="13" style="16" hidden="1"/>
    <col min="3337" max="3337" width="14.42578125" style="16" hidden="1"/>
    <col min="3338" max="3338" width="15.7109375" style="16" hidden="1"/>
    <col min="3339" max="3585" width="9.140625" style="16" hidden="1"/>
    <col min="3586" max="3586" width="8" style="16" hidden="1"/>
    <col min="3587" max="3587" width="6.85546875" style="16" hidden="1"/>
    <col min="3588" max="3588" width="14" style="16" hidden="1"/>
    <col min="3589" max="3590" width="9.140625" style="16" hidden="1"/>
    <col min="3591" max="3591" width="10.28515625" style="16" hidden="1"/>
    <col min="3592" max="3592" width="13" style="16" hidden="1"/>
    <col min="3593" max="3593" width="14.42578125" style="16" hidden="1"/>
    <col min="3594" max="3594" width="15.7109375" style="16" hidden="1"/>
    <col min="3595" max="3841" width="9.140625" style="16" hidden="1"/>
    <col min="3842" max="3842" width="8" style="16" hidden="1"/>
    <col min="3843" max="3843" width="6.85546875" style="16" hidden="1"/>
    <col min="3844" max="3844" width="14" style="16" hidden="1"/>
    <col min="3845" max="3846" width="9.140625" style="16" hidden="1"/>
    <col min="3847" max="3847" width="10.28515625" style="16" hidden="1"/>
    <col min="3848" max="3848" width="13" style="16" hidden="1"/>
    <col min="3849" max="3849" width="14.42578125" style="16" hidden="1"/>
    <col min="3850" max="3850" width="15.7109375" style="16" hidden="1"/>
    <col min="3851" max="4097" width="9.140625" style="16" hidden="1"/>
    <col min="4098" max="4098" width="8" style="16" hidden="1"/>
    <col min="4099" max="4099" width="6.85546875" style="16" hidden="1"/>
    <col min="4100" max="4100" width="14" style="16" hidden="1"/>
    <col min="4101" max="4102" width="9.140625" style="16" hidden="1"/>
    <col min="4103" max="4103" width="10.28515625" style="16" hidden="1"/>
    <col min="4104" max="4104" width="13" style="16" hidden="1"/>
    <col min="4105" max="4105" width="14.42578125" style="16" hidden="1"/>
    <col min="4106" max="4106" width="15.7109375" style="16" hidden="1"/>
    <col min="4107" max="4353" width="9.140625" style="16" hidden="1"/>
    <col min="4354" max="4354" width="8" style="16" hidden="1"/>
    <col min="4355" max="4355" width="6.85546875" style="16" hidden="1"/>
    <col min="4356" max="4356" width="14" style="16" hidden="1"/>
    <col min="4357" max="4358" width="9.140625" style="16" hidden="1"/>
    <col min="4359" max="4359" width="10.28515625" style="16" hidden="1"/>
    <col min="4360" max="4360" width="13" style="16" hidden="1"/>
    <col min="4361" max="4361" width="14.42578125" style="16" hidden="1"/>
    <col min="4362" max="4362" width="15.7109375" style="16" hidden="1"/>
    <col min="4363" max="4609" width="9.140625" style="16" hidden="1"/>
    <col min="4610" max="4610" width="8" style="16" hidden="1"/>
    <col min="4611" max="4611" width="6.85546875" style="16" hidden="1"/>
    <col min="4612" max="4612" width="14" style="16" hidden="1"/>
    <col min="4613" max="4614" width="9.140625" style="16" hidden="1"/>
    <col min="4615" max="4615" width="10.28515625" style="16" hidden="1"/>
    <col min="4616" max="4616" width="13" style="16" hidden="1"/>
    <col min="4617" max="4617" width="14.42578125" style="16" hidden="1"/>
    <col min="4618" max="4618" width="15.7109375" style="16" hidden="1"/>
    <col min="4619" max="4865" width="9.140625" style="16" hidden="1"/>
    <col min="4866" max="4866" width="8" style="16" hidden="1"/>
    <col min="4867" max="4867" width="6.85546875" style="16" hidden="1"/>
    <col min="4868" max="4868" width="14" style="16" hidden="1"/>
    <col min="4869" max="4870" width="9.140625" style="16" hidden="1"/>
    <col min="4871" max="4871" width="10.28515625" style="16" hidden="1"/>
    <col min="4872" max="4872" width="13" style="16" hidden="1"/>
    <col min="4873" max="4873" width="14.42578125" style="16" hidden="1"/>
    <col min="4874" max="4874" width="15.7109375" style="16" hidden="1"/>
    <col min="4875" max="5121" width="9.140625" style="16" hidden="1"/>
    <col min="5122" max="5122" width="8" style="16" hidden="1"/>
    <col min="5123" max="5123" width="6.85546875" style="16" hidden="1"/>
    <col min="5124" max="5124" width="14" style="16" hidden="1"/>
    <col min="5125" max="5126" width="9.140625" style="16" hidden="1"/>
    <col min="5127" max="5127" width="10.28515625" style="16" hidden="1"/>
    <col min="5128" max="5128" width="13" style="16" hidden="1"/>
    <col min="5129" max="5129" width="14.42578125" style="16" hidden="1"/>
    <col min="5130" max="5130" width="15.7109375" style="16" hidden="1"/>
    <col min="5131" max="5377" width="9.140625" style="16" hidden="1"/>
    <col min="5378" max="5378" width="8" style="16" hidden="1"/>
    <col min="5379" max="5379" width="6.85546875" style="16" hidden="1"/>
    <col min="5380" max="5380" width="14" style="16" hidden="1"/>
    <col min="5381" max="5382" width="9.140625" style="16" hidden="1"/>
    <col min="5383" max="5383" width="10.28515625" style="16" hidden="1"/>
    <col min="5384" max="5384" width="13" style="16" hidden="1"/>
    <col min="5385" max="5385" width="14.42578125" style="16" hidden="1"/>
    <col min="5386" max="5386" width="15.7109375" style="16" hidden="1"/>
    <col min="5387" max="5633" width="9.140625" style="16" hidden="1"/>
    <col min="5634" max="5634" width="8" style="16" hidden="1"/>
    <col min="5635" max="5635" width="6.85546875" style="16" hidden="1"/>
    <col min="5636" max="5636" width="14" style="16" hidden="1"/>
    <col min="5637" max="5638" width="9.140625" style="16" hidden="1"/>
    <col min="5639" max="5639" width="10.28515625" style="16" hidden="1"/>
    <col min="5640" max="5640" width="13" style="16" hidden="1"/>
    <col min="5641" max="5641" width="14.42578125" style="16" hidden="1"/>
    <col min="5642" max="5642" width="15.7109375" style="16" hidden="1"/>
    <col min="5643" max="5889" width="9.140625" style="16" hidden="1"/>
    <col min="5890" max="5890" width="8" style="16" hidden="1"/>
    <col min="5891" max="5891" width="6.85546875" style="16" hidden="1"/>
    <col min="5892" max="5892" width="14" style="16" hidden="1"/>
    <col min="5893" max="5894" width="9.140625" style="16" hidden="1"/>
    <col min="5895" max="5895" width="10.28515625" style="16" hidden="1"/>
    <col min="5896" max="5896" width="13" style="16" hidden="1"/>
    <col min="5897" max="5897" width="14.42578125" style="16" hidden="1"/>
    <col min="5898" max="5898" width="15.7109375" style="16" hidden="1"/>
    <col min="5899" max="6145" width="9.140625" style="16" hidden="1"/>
    <col min="6146" max="6146" width="8" style="16" hidden="1"/>
    <col min="6147" max="6147" width="6.85546875" style="16" hidden="1"/>
    <col min="6148" max="6148" width="14" style="16" hidden="1"/>
    <col min="6149" max="6150" width="9.140625" style="16" hidden="1"/>
    <col min="6151" max="6151" width="10.28515625" style="16" hidden="1"/>
    <col min="6152" max="6152" width="13" style="16" hidden="1"/>
    <col min="6153" max="6153" width="14.42578125" style="16" hidden="1"/>
    <col min="6154" max="6154" width="15.7109375" style="16" hidden="1"/>
    <col min="6155" max="6401" width="9.140625" style="16" hidden="1"/>
    <col min="6402" max="6402" width="8" style="16" hidden="1"/>
    <col min="6403" max="6403" width="6.85546875" style="16" hidden="1"/>
    <col min="6404" max="6404" width="14" style="16" hidden="1"/>
    <col min="6405" max="6406" width="9.140625" style="16" hidden="1"/>
    <col min="6407" max="6407" width="10.28515625" style="16" hidden="1"/>
    <col min="6408" max="6408" width="13" style="16" hidden="1"/>
    <col min="6409" max="6409" width="14.42578125" style="16" hidden="1"/>
    <col min="6410" max="6410" width="15.7109375" style="16" hidden="1"/>
    <col min="6411" max="6657" width="9.140625" style="16" hidden="1"/>
    <col min="6658" max="6658" width="8" style="16" hidden="1"/>
    <col min="6659" max="6659" width="6.85546875" style="16" hidden="1"/>
    <col min="6660" max="6660" width="14" style="16" hidden="1"/>
    <col min="6661" max="6662" width="9.140625" style="16" hidden="1"/>
    <col min="6663" max="6663" width="10.28515625" style="16" hidden="1"/>
    <col min="6664" max="6664" width="13" style="16" hidden="1"/>
    <col min="6665" max="6665" width="14.42578125" style="16" hidden="1"/>
    <col min="6666" max="6666" width="15.7109375" style="16" hidden="1"/>
    <col min="6667" max="6913" width="9.140625" style="16" hidden="1"/>
    <col min="6914" max="6914" width="8" style="16" hidden="1"/>
    <col min="6915" max="6915" width="6.85546875" style="16" hidden="1"/>
    <col min="6916" max="6916" width="14" style="16" hidden="1"/>
    <col min="6917" max="6918" width="9.140625" style="16" hidden="1"/>
    <col min="6919" max="6919" width="10.28515625" style="16" hidden="1"/>
    <col min="6920" max="6920" width="13" style="16" hidden="1"/>
    <col min="6921" max="6921" width="14.42578125" style="16" hidden="1"/>
    <col min="6922" max="6922" width="15.7109375" style="16" hidden="1"/>
    <col min="6923" max="7169" width="9.140625" style="16" hidden="1"/>
    <col min="7170" max="7170" width="8" style="16" hidden="1"/>
    <col min="7171" max="7171" width="6.85546875" style="16" hidden="1"/>
    <col min="7172" max="7172" width="14" style="16" hidden="1"/>
    <col min="7173" max="7174" width="9.140625" style="16" hidden="1"/>
    <col min="7175" max="7175" width="10.28515625" style="16" hidden="1"/>
    <col min="7176" max="7176" width="13" style="16" hidden="1"/>
    <col min="7177" max="7177" width="14.42578125" style="16" hidden="1"/>
    <col min="7178" max="7178" width="15.7109375" style="16" hidden="1"/>
    <col min="7179" max="7425" width="9.140625" style="16" hidden="1"/>
    <col min="7426" max="7426" width="8" style="16" hidden="1"/>
    <col min="7427" max="7427" width="6.85546875" style="16" hidden="1"/>
    <col min="7428" max="7428" width="14" style="16" hidden="1"/>
    <col min="7429" max="7430" width="9.140625" style="16" hidden="1"/>
    <col min="7431" max="7431" width="10.28515625" style="16" hidden="1"/>
    <col min="7432" max="7432" width="13" style="16" hidden="1"/>
    <col min="7433" max="7433" width="14.42578125" style="16" hidden="1"/>
    <col min="7434" max="7434" width="15.7109375" style="16" hidden="1"/>
    <col min="7435" max="7681" width="9.140625" style="16" hidden="1"/>
    <col min="7682" max="7682" width="8" style="16" hidden="1"/>
    <col min="7683" max="7683" width="6.85546875" style="16" hidden="1"/>
    <col min="7684" max="7684" width="14" style="16" hidden="1"/>
    <col min="7685" max="7686" width="9.140625" style="16" hidden="1"/>
    <col min="7687" max="7687" width="10.28515625" style="16" hidden="1"/>
    <col min="7688" max="7688" width="13" style="16" hidden="1"/>
    <col min="7689" max="7689" width="14.42578125" style="16" hidden="1"/>
    <col min="7690" max="7690" width="15.7109375" style="16" hidden="1"/>
    <col min="7691" max="7937" width="9.140625" style="16" hidden="1"/>
    <col min="7938" max="7938" width="8" style="16" hidden="1"/>
    <col min="7939" max="7939" width="6.85546875" style="16" hidden="1"/>
    <col min="7940" max="7940" width="14" style="16" hidden="1"/>
    <col min="7941" max="7942" width="9.140625" style="16" hidden="1"/>
    <col min="7943" max="7943" width="10.28515625" style="16" hidden="1"/>
    <col min="7944" max="7944" width="13" style="16" hidden="1"/>
    <col min="7945" max="7945" width="14.42578125" style="16" hidden="1"/>
    <col min="7946" max="7946" width="15.7109375" style="16" hidden="1"/>
    <col min="7947" max="8193" width="9.140625" style="16" hidden="1"/>
    <col min="8194" max="8194" width="8" style="16" hidden="1"/>
    <col min="8195" max="8195" width="6.85546875" style="16" hidden="1"/>
    <col min="8196" max="8196" width="14" style="16" hidden="1"/>
    <col min="8197" max="8198" width="9.140625" style="16" hidden="1"/>
    <col min="8199" max="8199" width="10.28515625" style="16" hidden="1"/>
    <col min="8200" max="8200" width="13" style="16" hidden="1"/>
    <col min="8201" max="8201" width="14.42578125" style="16" hidden="1"/>
    <col min="8202" max="8202" width="15.7109375" style="16" hidden="1"/>
    <col min="8203" max="8449" width="9.140625" style="16" hidden="1"/>
    <col min="8450" max="8450" width="8" style="16" hidden="1"/>
    <col min="8451" max="8451" width="6.85546875" style="16" hidden="1"/>
    <col min="8452" max="8452" width="14" style="16" hidden="1"/>
    <col min="8453" max="8454" width="9.140625" style="16" hidden="1"/>
    <col min="8455" max="8455" width="10.28515625" style="16" hidden="1"/>
    <col min="8456" max="8456" width="13" style="16" hidden="1"/>
    <col min="8457" max="8457" width="14.42578125" style="16" hidden="1"/>
    <col min="8458" max="8458" width="15.7109375" style="16" hidden="1"/>
    <col min="8459" max="8705" width="9.140625" style="16" hidden="1"/>
    <col min="8706" max="8706" width="8" style="16" hidden="1"/>
    <col min="8707" max="8707" width="6.85546875" style="16" hidden="1"/>
    <col min="8708" max="8708" width="14" style="16" hidden="1"/>
    <col min="8709" max="8710" width="9.140625" style="16" hidden="1"/>
    <col min="8711" max="8711" width="10.28515625" style="16" hidden="1"/>
    <col min="8712" max="8712" width="13" style="16" hidden="1"/>
    <col min="8713" max="8713" width="14.42578125" style="16" hidden="1"/>
    <col min="8714" max="8714" width="15.7109375" style="16" hidden="1"/>
    <col min="8715" max="8961" width="9.140625" style="16" hidden="1"/>
    <col min="8962" max="8962" width="8" style="16" hidden="1"/>
    <col min="8963" max="8963" width="6.85546875" style="16" hidden="1"/>
    <col min="8964" max="8964" width="14" style="16" hidden="1"/>
    <col min="8965" max="8966" width="9.140625" style="16" hidden="1"/>
    <col min="8967" max="8967" width="10.28515625" style="16" hidden="1"/>
    <col min="8968" max="8968" width="13" style="16" hidden="1"/>
    <col min="8969" max="8969" width="14.42578125" style="16" hidden="1"/>
    <col min="8970" max="8970" width="15.7109375" style="16" hidden="1"/>
    <col min="8971" max="9217" width="9.140625" style="16" hidden="1"/>
    <col min="9218" max="9218" width="8" style="16" hidden="1"/>
    <col min="9219" max="9219" width="6.85546875" style="16" hidden="1"/>
    <col min="9220" max="9220" width="14" style="16" hidden="1"/>
    <col min="9221" max="9222" width="9.140625" style="16" hidden="1"/>
    <col min="9223" max="9223" width="10.28515625" style="16" hidden="1"/>
    <col min="9224" max="9224" width="13" style="16" hidden="1"/>
    <col min="9225" max="9225" width="14.42578125" style="16" hidden="1"/>
    <col min="9226" max="9226" width="15.7109375" style="16" hidden="1"/>
    <col min="9227" max="9473" width="9.140625" style="16" hidden="1"/>
    <col min="9474" max="9474" width="8" style="16" hidden="1"/>
    <col min="9475" max="9475" width="6.85546875" style="16" hidden="1"/>
    <col min="9476" max="9476" width="14" style="16" hidden="1"/>
    <col min="9477" max="9478" width="9.140625" style="16" hidden="1"/>
    <col min="9479" max="9479" width="10.28515625" style="16" hidden="1"/>
    <col min="9480" max="9480" width="13" style="16" hidden="1"/>
    <col min="9481" max="9481" width="14.42578125" style="16" hidden="1"/>
    <col min="9482" max="9482" width="15.7109375" style="16" hidden="1"/>
    <col min="9483" max="9729" width="9.140625" style="16" hidden="1"/>
    <col min="9730" max="9730" width="8" style="16" hidden="1"/>
    <col min="9731" max="9731" width="6.85546875" style="16" hidden="1"/>
    <col min="9732" max="9732" width="14" style="16" hidden="1"/>
    <col min="9733" max="9734" width="9.140625" style="16" hidden="1"/>
    <col min="9735" max="9735" width="10.28515625" style="16" hidden="1"/>
    <col min="9736" max="9736" width="13" style="16" hidden="1"/>
    <col min="9737" max="9737" width="14.42578125" style="16" hidden="1"/>
    <col min="9738" max="9738" width="15.7109375" style="16" hidden="1"/>
    <col min="9739" max="9985" width="9.140625" style="16" hidden="1"/>
    <col min="9986" max="9986" width="8" style="16" hidden="1"/>
    <col min="9987" max="9987" width="6.85546875" style="16" hidden="1"/>
    <col min="9988" max="9988" width="14" style="16" hidden="1"/>
    <col min="9989" max="9990" width="9.140625" style="16" hidden="1"/>
    <col min="9991" max="9991" width="10.28515625" style="16" hidden="1"/>
    <col min="9992" max="9992" width="13" style="16" hidden="1"/>
    <col min="9993" max="9993" width="14.42578125" style="16" hidden="1"/>
    <col min="9994" max="9994" width="15.7109375" style="16" hidden="1"/>
    <col min="9995" max="10241" width="9.140625" style="16" hidden="1"/>
    <col min="10242" max="10242" width="8" style="16" hidden="1"/>
    <col min="10243" max="10243" width="6.85546875" style="16" hidden="1"/>
    <col min="10244" max="10244" width="14" style="16" hidden="1"/>
    <col min="10245" max="10246" width="9.140625" style="16" hidden="1"/>
    <col min="10247" max="10247" width="10.28515625" style="16" hidden="1"/>
    <col min="10248" max="10248" width="13" style="16" hidden="1"/>
    <col min="10249" max="10249" width="14.42578125" style="16" hidden="1"/>
    <col min="10250" max="10250" width="15.7109375" style="16" hidden="1"/>
    <col min="10251" max="10497" width="9.140625" style="16" hidden="1"/>
    <col min="10498" max="10498" width="8" style="16" hidden="1"/>
    <col min="10499" max="10499" width="6.85546875" style="16" hidden="1"/>
    <col min="10500" max="10500" width="14" style="16" hidden="1"/>
    <col min="10501" max="10502" width="9.140625" style="16" hidden="1"/>
    <col min="10503" max="10503" width="10.28515625" style="16" hidden="1"/>
    <col min="10504" max="10504" width="13" style="16" hidden="1"/>
    <col min="10505" max="10505" width="14.42578125" style="16" hidden="1"/>
    <col min="10506" max="10506" width="15.7109375" style="16" hidden="1"/>
    <col min="10507" max="10753" width="9.140625" style="16" hidden="1"/>
    <col min="10754" max="10754" width="8" style="16" hidden="1"/>
    <col min="10755" max="10755" width="6.85546875" style="16" hidden="1"/>
    <col min="10756" max="10756" width="14" style="16" hidden="1"/>
    <col min="10757" max="10758" width="9.140625" style="16" hidden="1"/>
    <col min="10759" max="10759" width="10.28515625" style="16" hidden="1"/>
    <col min="10760" max="10760" width="13" style="16" hidden="1"/>
    <col min="10761" max="10761" width="14.42578125" style="16" hidden="1"/>
    <col min="10762" max="10762" width="15.7109375" style="16" hidden="1"/>
    <col min="10763" max="11009" width="9.140625" style="16" hidden="1"/>
    <col min="11010" max="11010" width="8" style="16" hidden="1"/>
    <col min="11011" max="11011" width="6.85546875" style="16" hidden="1"/>
    <col min="11012" max="11012" width="14" style="16" hidden="1"/>
    <col min="11013" max="11014" width="9.140625" style="16" hidden="1"/>
    <col min="11015" max="11015" width="10.28515625" style="16" hidden="1"/>
    <col min="11016" max="11016" width="13" style="16" hidden="1"/>
    <col min="11017" max="11017" width="14.42578125" style="16" hidden="1"/>
    <col min="11018" max="11018" width="15.7109375" style="16" hidden="1"/>
    <col min="11019" max="11265" width="9.140625" style="16" hidden="1"/>
    <col min="11266" max="11266" width="8" style="16" hidden="1"/>
    <col min="11267" max="11267" width="6.85546875" style="16" hidden="1"/>
    <col min="11268" max="11268" width="14" style="16" hidden="1"/>
    <col min="11269" max="11270" width="9.140625" style="16" hidden="1"/>
    <col min="11271" max="11271" width="10.28515625" style="16" hidden="1"/>
    <col min="11272" max="11272" width="13" style="16" hidden="1"/>
    <col min="11273" max="11273" width="14.42578125" style="16" hidden="1"/>
    <col min="11274" max="11274" width="15.7109375" style="16" hidden="1"/>
    <col min="11275" max="11521" width="9.140625" style="16" hidden="1"/>
    <col min="11522" max="11522" width="8" style="16" hidden="1"/>
    <col min="11523" max="11523" width="6.85546875" style="16" hidden="1"/>
    <col min="11524" max="11524" width="14" style="16" hidden="1"/>
    <col min="11525" max="11526" width="9.140625" style="16" hidden="1"/>
    <col min="11527" max="11527" width="10.28515625" style="16" hidden="1"/>
    <col min="11528" max="11528" width="13" style="16" hidden="1"/>
    <col min="11529" max="11529" width="14.42578125" style="16" hidden="1"/>
    <col min="11530" max="11530" width="15.7109375" style="16" hidden="1"/>
    <col min="11531" max="11777" width="9.140625" style="16" hidden="1"/>
    <col min="11778" max="11778" width="8" style="16" hidden="1"/>
    <col min="11779" max="11779" width="6.85546875" style="16" hidden="1"/>
    <col min="11780" max="11780" width="14" style="16" hidden="1"/>
    <col min="11781" max="11782" width="9.140625" style="16" hidden="1"/>
    <col min="11783" max="11783" width="10.28515625" style="16" hidden="1"/>
    <col min="11784" max="11784" width="13" style="16" hidden="1"/>
    <col min="11785" max="11785" width="14.42578125" style="16" hidden="1"/>
    <col min="11786" max="11786" width="15.7109375" style="16" hidden="1"/>
    <col min="11787" max="12033" width="9.140625" style="16" hidden="1"/>
    <col min="12034" max="12034" width="8" style="16" hidden="1"/>
    <col min="12035" max="12035" width="6.85546875" style="16" hidden="1"/>
    <col min="12036" max="12036" width="14" style="16" hidden="1"/>
    <col min="12037" max="12038" width="9.140625" style="16" hidden="1"/>
    <col min="12039" max="12039" width="10.28515625" style="16" hidden="1"/>
    <col min="12040" max="12040" width="13" style="16" hidden="1"/>
    <col min="12041" max="12041" width="14.42578125" style="16" hidden="1"/>
    <col min="12042" max="12042" width="15.7109375" style="16" hidden="1"/>
    <col min="12043" max="12289" width="9.140625" style="16" hidden="1"/>
    <col min="12290" max="12290" width="8" style="16" hidden="1"/>
    <col min="12291" max="12291" width="6.85546875" style="16" hidden="1"/>
    <col min="12292" max="12292" width="14" style="16" hidden="1"/>
    <col min="12293" max="12294" width="9.140625" style="16" hidden="1"/>
    <col min="12295" max="12295" width="10.28515625" style="16" hidden="1"/>
    <col min="12296" max="12296" width="13" style="16" hidden="1"/>
    <col min="12297" max="12297" width="14.42578125" style="16" hidden="1"/>
    <col min="12298" max="12298" width="15.7109375" style="16" hidden="1"/>
    <col min="12299" max="12545" width="9.140625" style="16" hidden="1"/>
    <col min="12546" max="12546" width="8" style="16" hidden="1"/>
    <col min="12547" max="12547" width="6.85546875" style="16" hidden="1"/>
    <col min="12548" max="12548" width="14" style="16" hidden="1"/>
    <col min="12549" max="12550" width="9.140625" style="16" hidden="1"/>
    <col min="12551" max="12551" width="10.28515625" style="16" hidden="1"/>
    <col min="12552" max="12552" width="13" style="16" hidden="1"/>
    <col min="12553" max="12553" width="14.42578125" style="16" hidden="1"/>
    <col min="12554" max="12554" width="15.7109375" style="16" hidden="1"/>
    <col min="12555" max="12801" width="9.140625" style="16" hidden="1"/>
    <col min="12802" max="12802" width="8" style="16" hidden="1"/>
    <col min="12803" max="12803" width="6.85546875" style="16" hidden="1"/>
    <col min="12804" max="12804" width="14" style="16" hidden="1"/>
    <col min="12805" max="12806" width="9.140625" style="16" hidden="1"/>
    <col min="12807" max="12807" width="10.28515625" style="16" hidden="1"/>
    <col min="12808" max="12808" width="13" style="16" hidden="1"/>
    <col min="12809" max="12809" width="14.42578125" style="16" hidden="1"/>
    <col min="12810" max="12810" width="15.7109375" style="16" hidden="1"/>
    <col min="12811" max="13057" width="9.140625" style="16" hidden="1"/>
    <col min="13058" max="13058" width="8" style="16" hidden="1"/>
    <col min="13059" max="13059" width="6.85546875" style="16" hidden="1"/>
    <col min="13060" max="13060" width="14" style="16" hidden="1"/>
    <col min="13061" max="13062" width="9.140625" style="16" hidden="1"/>
    <col min="13063" max="13063" width="10.28515625" style="16" hidden="1"/>
    <col min="13064" max="13064" width="13" style="16" hidden="1"/>
    <col min="13065" max="13065" width="14.42578125" style="16" hidden="1"/>
    <col min="13066" max="13066" width="15.7109375" style="16" hidden="1"/>
    <col min="13067" max="13313" width="9.140625" style="16" hidden="1"/>
    <col min="13314" max="13314" width="8" style="16" hidden="1"/>
    <col min="13315" max="13315" width="6.85546875" style="16" hidden="1"/>
    <col min="13316" max="13316" width="14" style="16" hidden="1"/>
    <col min="13317" max="13318" width="9.140625" style="16" hidden="1"/>
    <col min="13319" max="13319" width="10.28515625" style="16" hidden="1"/>
    <col min="13320" max="13320" width="13" style="16" hidden="1"/>
    <col min="13321" max="13321" width="14.42578125" style="16" hidden="1"/>
    <col min="13322" max="13322" width="15.7109375" style="16" hidden="1"/>
    <col min="13323" max="13569" width="9.140625" style="16" hidden="1"/>
    <col min="13570" max="13570" width="8" style="16" hidden="1"/>
    <col min="13571" max="13571" width="6.85546875" style="16" hidden="1"/>
    <col min="13572" max="13572" width="14" style="16" hidden="1"/>
    <col min="13573" max="13574" width="9.140625" style="16" hidden="1"/>
    <col min="13575" max="13575" width="10.28515625" style="16" hidden="1"/>
    <col min="13576" max="13576" width="13" style="16" hidden="1"/>
    <col min="13577" max="13577" width="14.42578125" style="16" hidden="1"/>
    <col min="13578" max="13578" width="15.7109375" style="16" hidden="1"/>
    <col min="13579" max="13825" width="9.140625" style="16" hidden="1"/>
    <col min="13826" max="13826" width="8" style="16" hidden="1"/>
    <col min="13827" max="13827" width="6.85546875" style="16" hidden="1"/>
    <col min="13828" max="13828" width="14" style="16" hidden="1"/>
    <col min="13829" max="13830" width="9.140625" style="16" hidden="1"/>
    <col min="13831" max="13831" width="10.28515625" style="16" hidden="1"/>
    <col min="13832" max="13832" width="13" style="16" hidden="1"/>
    <col min="13833" max="13833" width="14.42578125" style="16" hidden="1"/>
    <col min="13834" max="13834" width="15.7109375" style="16" hidden="1"/>
    <col min="13835" max="14081" width="9.140625" style="16" hidden="1"/>
    <col min="14082" max="14082" width="8" style="16" hidden="1"/>
    <col min="14083" max="14083" width="6.85546875" style="16" hidden="1"/>
    <col min="14084" max="14084" width="14" style="16" hidden="1"/>
    <col min="14085" max="14086" width="9.140625" style="16" hidden="1"/>
    <col min="14087" max="14087" width="10.28515625" style="16" hidden="1"/>
    <col min="14088" max="14088" width="13" style="16" hidden="1"/>
    <col min="14089" max="14089" width="14.42578125" style="16" hidden="1"/>
    <col min="14090" max="14090" width="15.7109375" style="16" hidden="1"/>
    <col min="14091" max="14337" width="9.140625" style="16" hidden="1"/>
    <col min="14338" max="14338" width="8" style="16" hidden="1"/>
    <col min="14339" max="14339" width="6.85546875" style="16" hidden="1"/>
    <col min="14340" max="14340" width="14" style="16" hidden="1"/>
    <col min="14341" max="14342" width="9.140625" style="16" hidden="1"/>
    <col min="14343" max="14343" width="10.28515625" style="16" hidden="1"/>
    <col min="14344" max="14344" width="13" style="16" hidden="1"/>
    <col min="14345" max="14345" width="14.42578125" style="16" hidden="1"/>
    <col min="14346" max="14346" width="15.7109375" style="16" hidden="1"/>
    <col min="14347" max="14593" width="9.140625" style="16" hidden="1"/>
    <col min="14594" max="14594" width="8" style="16" hidden="1"/>
    <col min="14595" max="14595" width="6.85546875" style="16" hidden="1"/>
    <col min="14596" max="14596" width="14" style="16" hidden="1"/>
    <col min="14597" max="14598" width="9.140625" style="16" hidden="1"/>
    <col min="14599" max="14599" width="10.28515625" style="16" hidden="1"/>
    <col min="14600" max="14600" width="13" style="16" hidden="1"/>
    <col min="14601" max="14601" width="14.42578125" style="16" hidden="1"/>
    <col min="14602" max="14602" width="15.7109375" style="16" hidden="1"/>
    <col min="14603" max="14849" width="9.140625" style="16" hidden="1"/>
    <col min="14850" max="14850" width="8" style="16" hidden="1"/>
    <col min="14851" max="14851" width="6.85546875" style="16" hidden="1"/>
    <col min="14852" max="14852" width="14" style="16" hidden="1"/>
    <col min="14853" max="14854" width="9.140625" style="16" hidden="1"/>
    <col min="14855" max="14855" width="10.28515625" style="16" hidden="1"/>
    <col min="14856" max="14856" width="13" style="16" hidden="1"/>
    <col min="14857" max="14857" width="14.42578125" style="16" hidden="1"/>
    <col min="14858" max="14858" width="15.7109375" style="16" hidden="1"/>
    <col min="14859" max="15105" width="9.140625" style="16" hidden="1"/>
    <col min="15106" max="15106" width="8" style="16" hidden="1"/>
    <col min="15107" max="15107" width="6.85546875" style="16" hidden="1"/>
    <col min="15108" max="15108" width="14" style="16" hidden="1"/>
    <col min="15109" max="15110" width="9.140625" style="16" hidden="1"/>
    <col min="15111" max="15111" width="10.28515625" style="16" hidden="1"/>
    <col min="15112" max="15112" width="13" style="16" hidden="1"/>
    <col min="15113" max="15113" width="14.42578125" style="16" hidden="1"/>
    <col min="15114" max="15114" width="15.7109375" style="16" hidden="1"/>
    <col min="15115" max="15361" width="9.140625" style="16" hidden="1"/>
    <col min="15362" max="15362" width="8" style="16" hidden="1"/>
    <col min="15363" max="15363" width="6.85546875" style="16" hidden="1"/>
    <col min="15364" max="15364" width="14" style="16" hidden="1"/>
    <col min="15365" max="15366" width="9.140625" style="16" hidden="1"/>
    <col min="15367" max="15367" width="10.28515625" style="16" hidden="1"/>
    <col min="15368" max="15368" width="13" style="16" hidden="1"/>
    <col min="15369" max="15369" width="14.42578125" style="16" hidden="1"/>
    <col min="15370" max="15370" width="15.7109375" style="16" hidden="1"/>
    <col min="15371" max="15617" width="9.140625" style="16" hidden="1"/>
    <col min="15618" max="15618" width="8" style="16" hidden="1"/>
    <col min="15619" max="15619" width="6.85546875" style="16" hidden="1"/>
    <col min="15620" max="15620" width="14" style="16" hidden="1"/>
    <col min="15621" max="15622" width="9.140625" style="16" hidden="1"/>
    <col min="15623" max="15623" width="10.28515625" style="16" hidden="1"/>
    <col min="15624" max="15624" width="13" style="16" hidden="1"/>
    <col min="15625" max="15625" width="14.42578125" style="16" hidden="1"/>
    <col min="15626" max="15626" width="15.7109375" style="16" hidden="1"/>
    <col min="15627" max="15873" width="9.140625" style="16" hidden="1"/>
    <col min="15874" max="15874" width="8" style="16" hidden="1"/>
    <col min="15875" max="15875" width="6.85546875" style="16" hidden="1"/>
    <col min="15876" max="15876" width="14" style="16" hidden="1"/>
    <col min="15877" max="15878" width="9.140625" style="16" hidden="1"/>
    <col min="15879" max="15879" width="10.28515625" style="16" hidden="1"/>
    <col min="15880" max="15880" width="13" style="16" hidden="1"/>
    <col min="15881" max="15881" width="14.42578125" style="16" hidden="1"/>
    <col min="15882" max="15882" width="15.7109375" style="16" hidden="1"/>
    <col min="15883" max="16129" width="9.140625" style="16" hidden="1"/>
    <col min="16130" max="16130" width="8" style="16" hidden="1"/>
    <col min="16131" max="16131" width="6.85546875" style="16" hidden="1"/>
    <col min="16132" max="16132" width="14" style="16" hidden="1"/>
    <col min="16133" max="16134" width="9.140625" style="16" hidden="1"/>
    <col min="16135" max="16135" width="10.28515625" style="16" hidden="1"/>
    <col min="16136" max="16136" width="13" style="16" hidden="1"/>
    <col min="16137" max="16137" width="14.42578125" style="16" hidden="1"/>
    <col min="16138" max="16138" width="15.7109375" style="16" hidden="1"/>
    <col min="16139" max="16384" width="9.140625" style="16" hidden="1"/>
  </cols>
  <sheetData>
    <row r="6" spans="2:10" ht="16.5" thickBot="1" x14ac:dyDescent="0.3"/>
    <row r="7" spans="2:10" x14ac:dyDescent="0.25">
      <c r="B7" s="676" t="s">
        <v>4</v>
      </c>
      <c r="C7" s="677"/>
      <c r="D7" s="677"/>
      <c r="E7" s="677"/>
      <c r="F7" s="677"/>
      <c r="G7" s="677"/>
      <c r="H7" s="677"/>
      <c r="I7" s="677"/>
      <c r="J7" s="678"/>
    </row>
    <row r="8" spans="2:10" x14ac:dyDescent="0.25">
      <c r="B8" s="679" t="s">
        <v>5</v>
      </c>
      <c r="C8" s="630"/>
      <c r="D8" s="630"/>
      <c r="E8" s="680" t="s">
        <v>6</v>
      </c>
      <c r="F8" s="630"/>
      <c r="G8" s="630"/>
      <c r="H8" s="680" t="s">
        <v>7</v>
      </c>
      <c r="I8" s="630"/>
      <c r="J8" s="681"/>
    </row>
    <row r="9" spans="2:10" ht="16.5" thickBot="1" x14ac:dyDescent="0.3">
      <c r="B9" s="682" t="s">
        <v>8</v>
      </c>
      <c r="C9" s="683"/>
      <c r="D9" s="683"/>
      <c r="E9" s="683"/>
      <c r="F9" s="17"/>
      <c r="G9" s="684" t="str">
        <f>"FONE: (45)3242-2210         V.:"&amp;GERAL!C26</f>
        <v>FONE: (45)3242-2210         V.:Versão: 45791</v>
      </c>
      <c r="H9" s="684"/>
      <c r="I9" s="684"/>
      <c r="J9" s="685"/>
    </row>
    <row r="10" spans="2:10" ht="16.5" thickBot="1" x14ac:dyDescent="0.3">
      <c r="E10" s="18"/>
      <c r="F10" s="18"/>
      <c r="G10" s="18"/>
      <c r="H10" s="19"/>
    </row>
    <row r="11" spans="2:10" x14ac:dyDescent="0.25">
      <c r="B11" s="20"/>
      <c r="C11" s="103" t="s">
        <v>143</v>
      </c>
      <c r="D11" s="21"/>
      <c r="E11" s="22"/>
      <c r="F11" s="22"/>
      <c r="G11" s="22"/>
      <c r="H11" s="23" t="s">
        <v>9</v>
      </c>
      <c r="I11" s="24">
        <f ca="1">TODAY()</f>
        <v>45828</v>
      </c>
      <c r="J11" s="25"/>
    </row>
    <row r="12" spans="2:10" x14ac:dyDescent="0.25">
      <c r="B12" s="26"/>
      <c r="J12" s="27"/>
    </row>
    <row r="13" spans="2:10" x14ac:dyDescent="0.25">
      <c r="B13" s="26"/>
      <c r="C13" s="28" t="s">
        <v>37</v>
      </c>
      <c r="D13" s="29"/>
      <c r="E13" s="660"/>
      <c r="F13" s="661"/>
      <c r="G13" s="661"/>
      <c r="H13" s="661"/>
      <c r="I13" s="662"/>
      <c r="J13" s="30"/>
    </row>
    <row r="14" spans="2:10" x14ac:dyDescent="0.25">
      <c r="B14" s="26"/>
      <c r="C14" s="28" t="s">
        <v>38</v>
      </c>
      <c r="D14" s="29"/>
      <c r="E14" s="660"/>
      <c r="F14" s="661"/>
      <c r="G14" s="661"/>
      <c r="H14" s="661"/>
      <c r="I14" s="662"/>
      <c r="J14" s="30"/>
    </row>
    <row r="15" spans="2:10" x14ac:dyDescent="0.25">
      <c r="B15" s="26"/>
      <c r="C15" s="31" t="s">
        <v>39</v>
      </c>
      <c r="E15" s="660"/>
      <c r="F15" s="661"/>
      <c r="G15" s="661"/>
      <c r="H15" s="661"/>
      <c r="I15" s="662"/>
      <c r="J15" s="30"/>
    </row>
    <row r="16" spans="2:10" x14ac:dyDescent="0.25">
      <c r="B16" s="26"/>
      <c r="C16" s="28" t="s">
        <v>40</v>
      </c>
      <c r="D16" s="29"/>
      <c r="E16" s="1"/>
      <c r="F16" s="543" t="s">
        <v>367</v>
      </c>
      <c r="G16" s="661"/>
      <c r="H16" s="661"/>
      <c r="I16" s="662"/>
      <c r="J16" s="30"/>
    </row>
    <row r="17" spans="2:23" x14ac:dyDescent="0.25">
      <c r="B17" s="26"/>
      <c r="C17" s="31" t="s">
        <v>41</v>
      </c>
      <c r="E17" s="861"/>
      <c r="F17" s="861"/>
      <c r="G17" s="861"/>
      <c r="H17" s="235" t="s">
        <v>113</v>
      </c>
      <c r="I17" s="170"/>
      <c r="J17" s="30"/>
      <c r="K17" s="471"/>
    </row>
    <row r="18" spans="2:23" x14ac:dyDescent="0.25">
      <c r="B18" s="26"/>
      <c r="C18" s="28" t="s">
        <v>42</v>
      </c>
      <c r="D18" s="29"/>
      <c r="E18" s="661"/>
      <c r="F18" s="661"/>
      <c r="G18" s="661"/>
      <c r="H18" s="661"/>
      <c r="I18" s="662"/>
      <c r="J18" s="30"/>
    </row>
    <row r="19" spans="2:23" x14ac:dyDescent="0.25">
      <c r="B19" s="26"/>
      <c r="C19" s="28" t="s">
        <v>43</v>
      </c>
      <c r="D19" s="29"/>
      <c r="E19" s="660"/>
      <c r="F19" s="661"/>
      <c r="G19" s="661"/>
      <c r="H19" s="661"/>
      <c r="I19" s="662"/>
      <c r="J19" s="30"/>
    </row>
    <row r="20" spans="2:23" x14ac:dyDescent="0.25">
      <c r="B20" s="26"/>
      <c r="E20" s="54"/>
      <c r="F20" s="54"/>
      <c r="G20" s="863" t="s">
        <v>377</v>
      </c>
      <c r="H20" s="863"/>
      <c r="I20" s="863"/>
      <c r="J20" s="864"/>
    </row>
    <row r="21" spans="2:23" ht="16.5" thickBot="1" x14ac:dyDescent="0.3">
      <c r="B21" s="33"/>
      <c r="C21" s="17"/>
      <c r="D21" s="17"/>
      <c r="E21" s="58"/>
      <c r="F21" s="58"/>
      <c r="G21" s="58"/>
      <c r="H21" s="58"/>
      <c r="I21" s="58"/>
      <c r="J21" s="34"/>
    </row>
    <row r="22" spans="2:23" ht="16.5" thickBot="1" x14ac:dyDescent="0.3">
      <c r="E22" s="54"/>
      <c r="F22" s="54"/>
      <c r="G22" s="54"/>
      <c r="H22" s="54"/>
      <c r="I22" s="54"/>
    </row>
    <row r="23" spans="2:23" x14ac:dyDescent="0.25">
      <c r="B23" s="20"/>
      <c r="C23" s="21"/>
      <c r="D23" s="21"/>
      <c r="E23" s="59"/>
      <c r="F23" s="59"/>
      <c r="G23" s="59"/>
      <c r="H23" s="59"/>
      <c r="I23" s="59"/>
      <c r="J23" s="25"/>
    </row>
    <row r="24" spans="2:23" x14ac:dyDescent="0.25">
      <c r="B24" s="26"/>
      <c r="C24" s="28" t="s">
        <v>10</v>
      </c>
      <c r="D24" s="29"/>
      <c r="E24" s="660"/>
      <c r="F24" s="660"/>
      <c r="G24" s="660"/>
      <c r="H24" s="660"/>
      <c r="I24" s="672"/>
      <c r="J24" s="27"/>
    </row>
    <row r="25" spans="2:23" x14ac:dyDescent="0.25">
      <c r="B25" s="26"/>
      <c r="C25" s="28" t="s">
        <v>11</v>
      </c>
      <c r="D25" s="35"/>
      <c r="E25" s="673"/>
      <c r="F25" s="673"/>
      <c r="G25" s="673"/>
      <c r="H25" s="673"/>
      <c r="I25" s="674"/>
      <c r="J25" s="27"/>
      <c r="K25" s="474"/>
      <c r="L25" s="474"/>
      <c r="M25" s="474"/>
      <c r="N25" s="474"/>
      <c r="O25" s="474"/>
      <c r="P25" s="474"/>
      <c r="Q25" s="474"/>
      <c r="R25" s="474"/>
      <c r="S25" s="474"/>
      <c r="T25" s="474"/>
      <c r="U25" s="474"/>
      <c r="V25" s="474"/>
    </row>
    <row r="26" spans="2:23" x14ac:dyDescent="0.25">
      <c r="B26" s="26"/>
      <c r="C26" s="28" t="s">
        <v>12</v>
      </c>
      <c r="D26" s="35"/>
      <c r="E26" s="661"/>
      <c r="F26" s="661"/>
      <c r="G26" s="661"/>
      <c r="H26" s="661"/>
      <c r="I26" s="662"/>
      <c r="J26" s="27"/>
      <c r="K26" s="474"/>
      <c r="L26" s="474"/>
      <c r="M26" s="474"/>
      <c r="N26" s="474"/>
      <c r="O26" s="474"/>
      <c r="P26" s="474"/>
      <c r="Q26" s="474"/>
      <c r="R26" s="474"/>
      <c r="S26" s="474"/>
      <c r="T26" s="474"/>
      <c r="U26" s="474"/>
      <c r="V26" s="474"/>
    </row>
    <row r="27" spans="2:23" x14ac:dyDescent="0.25">
      <c r="B27" s="26"/>
      <c r="C27" s="28" t="s">
        <v>13</v>
      </c>
      <c r="D27" s="35"/>
      <c r="E27" s="673"/>
      <c r="F27" s="673"/>
      <c r="G27" s="673"/>
      <c r="H27" s="673"/>
      <c r="I27" s="674"/>
      <c r="J27" s="27"/>
      <c r="K27" s="474"/>
      <c r="L27" s="474"/>
      <c r="M27" s="474"/>
      <c r="N27" s="474"/>
      <c r="O27" s="474"/>
      <c r="P27" s="474"/>
      <c r="Q27" s="474"/>
      <c r="R27" s="474"/>
      <c r="S27" s="474"/>
      <c r="T27" s="474"/>
      <c r="U27" s="474"/>
      <c r="V27" s="474"/>
    </row>
    <row r="28" spans="2:23" x14ac:dyDescent="0.25">
      <c r="B28" s="26"/>
      <c r="C28" s="28" t="s">
        <v>14</v>
      </c>
      <c r="D28" s="35"/>
      <c r="E28" s="660"/>
      <c r="F28" s="661"/>
      <c r="G28" s="661"/>
      <c r="H28" s="661"/>
      <c r="I28" s="662"/>
      <c r="J28" s="27"/>
      <c r="K28" s="474"/>
      <c r="L28" s="474"/>
      <c r="M28" s="474"/>
      <c r="N28" s="474"/>
      <c r="O28" s="474"/>
      <c r="P28" s="474"/>
      <c r="Q28" s="474"/>
      <c r="R28" s="474"/>
      <c r="S28" s="474"/>
      <c r="T28" s="474"/>
      <c r="U28" s="474"/>
      <c r="V28" s="474"/>
    </row>
    <row r="29" spans="2:23" ht="16.5" thickBot="1" x14ac:dyDescent="0.3">
      <c r="B29" s="33"/>
      <c r="C29" s="17"/>
      <c r="D29" s="17"/>
      <c r="E29" s="17"/>
      <c r="F29" s="17"/>
      <c r="G29" s="17"/>
      <c r="H29" s="17"/>
      <c r="I29" s="17"/>
      <c r="J29" s="34"/>
      <c r="K29" s="474"/>
      <c r="L29" s="474"/>
      <c r="M29" s="474"/>
      <c r="N29" s="474"/>
      <c r="O29" s="474"/>
      <c r="P29" s="474"/>
      <c r="Q29" s="474"/>
      <c r="R29" s="474"/>
      <c r="S29" s="474"/>
      <c r="T29" s="474"/>
      <c r="U29" s="474"/>
      <c r="V29" s="474"/>
    </row>
    <row r="30" spans="2:23" ht="16.5" thickBot="1" x14ac:dyDescent="0.3">
      <c r="K30" s="474"/>
      <c r="L30" s="474"/>
      <c r="M30" s="474"/>
      <c r="N30" s="474"/>
      <c r="O30" s="474"/>
      <c r="P30" s="474"/>
      <c r="Q30" s="474"/>
      <c r="R30" s="474"/>
      <c r="S30" s="474"/>
      <c r="T30" s="474"/>
      <c r="U30" s="474"/>
      <c r="V30" s="474"/>
    </row>
    <row r="31" spans="2:23" ht="16.5" thickBot="1" x14ac:dyDescent="0.3">
      <c r="B31" s="20"/>
      <c r="C31" s="21"/>
      <c r="D31" s="36"/>
      <c r="E31" s="21"/>
      <c r="F31" s="546"/>
      <c r="G31" s="21"/>
      <c r="H31" s="21"/>
      <c r="I31" s="21"/>
      <c r="J31" s="25"/>
      <c r="K31" s="474"/>
      <c r="L31" s="474"/>
      <c r="M31" s="474"/>
      <c r="N31" s="474"/>
      <c r="P31" s="428">
        <f ca="1">DATE(YEAR(E32),MONTH(E32),DAY(E32))</f>
        <v>45899</v>
      </c>
      <c r="Q31" s="355" t="str">
        <f ca="1">IF(AND(P31=P32,P31=P33,IF(H35&lt;&gt;0,P31=P34,P31),'INPUT DADOS'!B17&gt;=30),"verdadeiro","falso")</f>
        <v>falso</v>
      </c>
      <c r="R31" s="474"/>
      <c r="S31" s="474"/>
      <c r="T31" s="474"/>
      <c r="U31" s="474"/>
      <c r="V31" s="474"/>
    </row>
    <row r="32" spans="2:23" ht="15.75" customHeight="1" x14ac:dyDescent="0.25">
      <c r="B32" s="228" t="s">
        <v>144</v>
      </c>
      <c r="C32" s="216"/>
      <c r="E32" s="548" t="str">
        <f ca="1">"30/"&amp;IF(MONTH(TODAY())&gt;8,"03/"&amp;YEAR(TODAY())+1,IF(MONTH(TODAY())&lt;=2,"03/"&amp;YEAR(TODAY()),"08/"&amp;YEAR(TODAY())))</f>
        <v>30/08/2025</v>
      </c>
      <c r="F32" s="547"/>
      <c r="G32" s="346" t="s">
        <v>184</v>
      </c>
      <c r="H32" s="347" t="s">
        <v>221</v>
      </c>
      <c r="I32" s="348" t="s">
        <v>152</v>
      </c>
      <c r="J32" s="27"/>
      <c r="K32" s="475">
        <f>INT(1/H33)</f>
        <v>3</v>
      </c>
      <c r="L32" s="475" t="s">
        <v>296</v>
      </c>
      <c r="M32" s="474"/>
      <c r="N32" s="474"/>
      <c r="P32" s="428">
        <f>'INPUT DADOS'!C8</f>
        <v>45838</v>
      </c>
      <c r="Q32" s="355" t="str">
        <f>"&gt;&gt; Data AP"</f>
        <v>&gt;&gt; Data AP</v>
      </c>
      <c r="R32" s="55"/>
      <c r="S32" s="55"/>
      <c r="T32" s="55"/>
      <c r="U32" s="55"/>
      <c r="V32" s="55"/>
      <c r="W32" s="55"/>
    </row>
    <row r="33" spans="2:23" x14ac:dyDescent="0.25">
      <c r="B33" s="26"/>
      <c r="D33" s="545"/>
      <c r="E33" s="219"/>
      <c r="F33" s="462"/>
      <c r="G33" s="285" t="s">
        <v>185</v>
      </c>
      <c r="H33" s="351">
        <v>0.33</v>
      </c>
      <c r="I33" s="349">
        <f>ROUND(H33*'BANCO DE DADOS'!H23,0)</f>
        <v>153</v>
      </c>
      <c r="J33" s="287"/>
      <c r="K33" s="55" t="str">
        <f>IFERROR("Grid da AP: "&amp;ROUND('INPUT DADOS'!B5*2.42/'INPUT DADOS'!B6,1)&amp;" Ha/análise","Preencha na tabela de AP, o tamanho do grid e as determinações desejadas (Alq e numero de análises)")</f>
        <v>Grid da AP: 3 Ha/análise</v>
      </c>
      <c r="L33" s="474"/>
      <c r="M33" s="474"/>
      <c r="N33" s="474"/>
      <c r="P33" s="428">
        <f>'INPUT CONFERENCIA'!E5</f>
        <v>45868</v>
      </c>
      <c r="Q33" s="355" t="str">
        <f>"&gt;&gt; Data Confere"</f>
        <v>&gt;&gt; Data Confere</v>
      </c>
      <c r="R33" s="55"/>
      <c r="S33" s="55"/>
      <c r="T33" s="55"/>
      <c r="U33" s="55"/>
      <c r="V33" s="55"/>
      <c r="W33" s="55"/>
    </row>
    <row r="34" spans="2:23" x14ac:dyDescent="0.25">
      <c r="B34" s="26"/>
      <c r="F34" s="463"/>
      <c r="G34" s="285" t="s">
        <v>186</v>
      </c>
      <c r="H34" s="352">
        <f>100%-H33</f>
        <v>0.66999999999999993</v>
      </c>
      <c r="I34" s="349">
        <f>ROUND(H34*'BANCO DE DADOS'!H24,0)</f>
        <v>768</v>
      </c>
      <c r="J34" s="287"/>
      <c r="K34" s="55" t="str">
        <f>IFERROR("Grid da Conferência: "&amp;ROUND('INPUT CONFERENCIA'!B29/'INPUT CONFERENCIA'!C29,1)&amp;" Alq/análise ("&amp;'INPUT CONFERENCIA'!E7*100&amp;"% 20-40cm)","Na tabela de conferência, preencha o tamanho do grid desejado")</f>
        <v>Grid da Conferência: 0,5 Alq/análise (0% 20-40cm)</v>
      </c>
      <c r="L34" s="474"/>
      <c r="M34" s="474"/>
      <c r="N34" s="474"/>
      <c r="P34" s="428">
        <f>'INPUT FOLHA '!E2</f>
        <v>0</v>
      </c>
      <c r="Q34" s="355" t="str">
        <f>"&gt;&gt; Data Folha"</f>
        <v>&gt;&gt; Data Folha</v>
      </c>
      <c r="R34" s="55"/>
      <c r="S34" s="55"/>
      <c r="T34" s="55"/>
      <c r="U34" s="55"/>
      <c r="V34" s="55"/>
      <c r="W34" s="55"/>
    </row>
    <row r="35" spans="2:23" x14ac:dyDescent="0.25">
      <c r="B35" s="288" t="s">
        <v>24</v>
      </c>
      <c r="D35" s="862" t="str">
        <f>'PEDIDO VIA CLIENTE'!D36</f>
        <v>VICTOR</v>
      </c>
      <c r="E35" s="862"/>
      <c r="F35" s="463"/>
      <c r="G35" s="285" t="s">
        <v>187</v>
      </c>
      <c r="H35" s="351">
        <v>0</v>
      </c>
      <c r="I35" s="349">
        <f>IFERROR(ROUND(H35*'BANCO DE DADOS'!H25,0),0)</f>
        <v>0</v>
      </c>
      <c r="J35" s="287"/>
      <c r="K35" s="55" t="str">
        <f>IF(H35&gt;0,IFERROR("Grid da Análise Foliar: "&amp;ROUND('INPUT FOLHA '!B7/'INPUT FOLHA '!C7,1)&amp;" Alq/análise","Preencha na 1a linha da tabela de análise foliar, o tamanho do grid desejado"),"")</f>
        <v/>
      </c>
      <c r="L35" s="474"/>
      <c r="M35" s="474"/>
      <c r="N35" s="474"/>
      <c r="O35" s="474"/>
      <c r="P35" s="474"/>
      <c r="Q35" s="474"/>
      <c r="R35" s="55"/>
      <c r="S35" s="55"/>
      <c r="T35" s="55"/>
      <c r="U35" s="55"/>
      <c r="V35" s="55"/>
      <c r="W35" s="55"/>
    </row>
    <row r="36" spans="2:23" x14ac:dyDescent="0.25">
      <c r="B36" s="228"/>
      <c r="C36" s="216"/>
      <c r="E36" s="219"/>
      <c r="F36" s="215"/>
      <c r="G36" s="285" t="s">
        <v>188</v>
      </c>
      <c r="H36" s="351">
        <v>0</v>
      </c>
      <c r="I36" s="349">
        <f>ROUND(H36*'BANCO DE DADOS'!H26,0)</f>
        <v>0</v>
      </c>
      <c r="J36" s="287"/>
      <c r="K36" s="474"/>
      <c r="L36" s="474"/>
      <c r="M36" s="55" t="str">
        <f>"Serviço a ser executado em "&amp;INT(1/H33)&amp;" anos"</f>
        <v>Serviço a ser executado em 3 anos</v>
      </c>
      <c r="N36" s="474"/>
      <c r="O36" s="474"/>
      <c r="R36" s="55"/>
      <c r="S36" s="55"/>
      <c r="T36" s="55"/>
      <c r="U36" s="55"/>
      <c r="V36" s="55"/>
      <c r="W36" s="55"/>
    </row>
    <row r="37" spans="2:23" ht="16.5" thickBot="1" x14ac:dyDescent="0.3">
      <c r="B37" s="26" t="s">
        <v>226</v>
      </c>
      <c r="E37" s="392">
        <v>0.5</v>
      </c>
      <c r="G37" s="286" t="s">
        <v>189</v>
      </c>
      <c r="H37" s="353">
        <v>0</v>
      </c>
      <c r="I37" s="350">
        <f>ROUND(H37*'BANCO DE DADOS'!H27,0)</f>
        <v>0</v>
      </c>
      <c r="J37" s="27"/>
      <c r="K37" s="55" t="str">
        <f>IF(H37&gt;0,IF(H37&lt;&gt;H33,"OBS: Geralmente se faz a compactação, na mesma área que fizer AP. Sugiro essas % serem iguais",""),"")</f>
        <v/>
      </c>
      <c r="L37" s="474"/>
      <c r="M37" s="474"/>
      <c r="N37" s="474"/>
      <c r="O37" s="474"/>
      <c r="R37" s="55"/>
      <c r="S37" s="55"/>
      <c r="T37" s="55"/>
      <c r="U37" s="55"/>
      <c r="V37" s="55"/>
      <c r="W37" s="55"/>
    </row>
    <row r="38" spans="2:23" ht="16.5" thickBot="1" x14ac:dyDescent="0.3">
      <c r="B38" s="33"/>
      <c r="C38" s="17"/>
      <c r="D38" s="17"/>
      <c r="E38" s="17"/>
      <c r="F38" s="17"/>
      <c r="G38" s="17"/>
      <c r="H38" s="17"/>
      <c r="I38" s="17"/>
      <c r="J38" s="34"/>
      <c r="K38" s="474"/>
      <c r="L38" s="474"/>
      <c r="M38" s="474"/>
      <c r="N38" s="474"/>
      <c r="O38" s="474"/>
      <c r="P38" s="474"/>
      <c r="Q38" s="474"/>
      <c r="R38" s="55"/>
      <c r="S38" s="545" t="s">
        <v>201</v>
      </c>
      <c r="T38" s="55">
        <f>INT(1/H33)</f>
        <v>3</v>
      </c>
      <c r="U38" s="55"/>
      <c r="V38" s="55"/>
      <c r="W38" s="55"/>
    </row>
    <row r="39" spans="2:23" ht="16.5" thickBot="1" x14ac:dyDescent="0.3">
      <c r="K39" s="474"/>
      <c r="L39" s="474"/>
      <c r="M39" s="474"/>
      <c r="N39" s="474"/>
      <c r="O39" s="474"/>
      <c r="P39" s="474"/>
      <c r="Q39" s="474"/>
      <c r="R39" s="55"/>
      <c r="S39" s="545" t="s">
        <v>200</v>
      </c>
      <c r="T39" s="55">
        <f>T38*2</f>
        <v>6</v>
      </c>
      <c r="U39" s="55"/>
      <c r="V39" s="55"/>
      <c r="W39" s="55"/>
    </row>
    <row r="40" spans="2:23" x14ac:dyDescent="0.25">
      <c r="B40" s="859" t="s">
        <v>25</v>
      </c>
      <c r="C40" s="860"/>
      <c r="D40" s="233" t="s">
        <v>26</v>
      </c>
      <c r="E40" s="860" t="s">
        <v>27</v>
      </c>
      <c r="F40" s="860"/>
      <c r="G40" s="860"/>
      <c r="H40" s="860"/>
      <c r="I40" s="233" t="s">
        <v>28</v>
      </c>
      <c r="J40" s="227" t="s">
        <v>46</v>
      </c>
      <c r="K40" s="474"/>
      <c r="L40" s="474"/>
      <c r="M40" s="474"/>
      <c r="N40" s="474"/>
      <c r="O40" s="474"/>
      <c r="P40" s="474"/>
      <c r="Q40" s="474"/>
      <c r="R40" s="55"/>
      <c r="S40" s="55"/>
      <c r="T40" s="55"/>
      <c r="U40" s="55"/>
      <c r="V40" s="55"/>
      <c r="W40" s="55"/>
    </row>
    <row r="41" spans="2:23" ht="16.5" thickBot="1" x14ac:dyDescent="0.3">
      <c r="B41" s="740">
        <v>120</v>
      </c>
      <c r="C41" s="741"/>
      <c r="D41" s="47" t="s">
        <v>30</v>
      </c>
      <c r="E41" s="877" t="s">
        <v>165</v>
      </c>
      <c r="F41" s="877"/>
      <c r="G41" s="877"/>
      <c r="H41" s="877"/>
      <c r="I41" s="270">
        <f>IF(B41&gt;=100,SUM(I33:I37)*0.95,SUM(I33:I37))</f>
        <v>874.94999999999993</v>
      </c>
      <c r="J41" s="271">
        <f>I41*B41</f>
        <v>104993.99999999999</v>
      </c>
      <c r="K41" s="474"/>
      <c r="L41" s="474"/>
      <c r="M41" s="474"/>
      <c r="N41" s="474"/>
      <c r="O41" s="474"/>
      <c r="P41" s="474"/>
      <c r="Q41" s="474"/>
      <c r="R41" s="55"/>
      <c r="S41" s="55"/>
      <c r="T41" s="55"/>
      <c r="U41" s="55"/>
      <c r="V41" s="55"/>
      <c r="W41" s="55"/>
    </row>
    <row r="42" spans="2:23" ht="15.75" customHeight="1" x14ac:dyDescent="0.25">
      <c r="B42" s="781"/>
      <c r="C42" s="782"/>
      <c r="D42" s="272"/>
      <c r="E42" s="840" t="str">
        <f>"PAGAMENTO "&amp;E37*100&amp;"% EM 30/AGOSTO"</f>
        <v>PAGAMENTO 50% EM 30/AGOSTO</v>
      </c>
      <c r="F42" s="841"/>
      <c r="G42" s="841"/>
      <c r="H42" s="841"/>
      <c r="I42" s="275">
        <f>J45/B41*E37</f>
        <v>437.06666666666661</v>
      </c>
      <c r="J42" s="276">
        <f>I42*B41</f>
        <v>52447.999999999993</v>
      </c>
      <c r="K42" s="838" t="str">
        <f>"Ou se preferir, pagamento em "&amp;T39&amp;" parcelas iguais, no valor de R$ "&amp; ROUND(J46/T39,2)</f>
        <v>Ou se preferir, pagamento em 6 parcelas iguais, no valor de R$ 52448</v>
      </c>
      <c r="L42" s="839"/>
      <c r="M42" s="839"/>
      <c r="N42" s="839"/>
      <c r="O42" s="839"/>
      <c r="P42" s="474"/>
      <c r="Q42" s="474"/>
      <c r="R42" s="55"/>
      <c r="S42" s="55"/>
      <c r="T42" s="55"/>
      <c r="U42" s="55"/>
      <c r="V42" s="55"/>
      <c r="W42" s="55"/>
    </row>
    <row r="43" spans="2:23" ht="16.5" thickBot="1" x14ac:dyDescent="0.3">
      <c r="B43" s="781"/>
      <c r="C43" s="782"/>
      <c r="D43" s="272"/>
      <c r="E43" s="857" t="str">
        <f>"PAGAMENTO "&amp;(1-E37)*100&amp;"% EM 30/MARÇO"</f>
        <v>PAGAMENTO 50% EM 30/MARÇO</v>
      </c>
      <c r="F43" s="858"/>
      <c r="G43" s="858"/>
      <c r="H43" s="858"/>
      <c r="I43" s="277">
        <f>J45/B41*(1-E37)</f>
        <v>437.06666666666661</v>
      </c>
      <c r="J43" s="240">
        <f>I43*B41</f>
        <v>52447.999999999993</v>
      </c>
      <c r="K43" s="838"/>
      <c r="L43" s="839"/>
      <c r="M43" s="839"/>
      <c r="N43" s="839"/>
      <c r="O43" s="839"/>
      <c r="P43" s="474"/>
      <c r="Q43" s="474"/>
      <c r="R43" s="55"/>
      <c r="S43" s="55"/>
      <c r="T43" s="55"/>
      <c r="U43" s="55"/>
      <c r="V43" s="55"/>
      <c r="W43" s="55"/>
    </row>
    <row r="44" spans="2:23" ht="16.5" thickBot="1" x14ac:dyDescent="0.3">
      <c r="B44" s="853">
        <v>-1</v>
      </c>
      <c r="C44" s="854"/>
      <c r="D44" s="236"/>
      <c r="E44" s="852" t="s">
        <v>387</v>
      </c>
      <c r="F44" s="852"/>
      <c r="G44" s="852"/>
      <c r="H44" s="852"/>
      <c r="I44" s="273">
        <v>98</v>
      </c>
      <c r="J44" s="274">
        <f>I44*B44</f>
        <v>-98</v>
      </c>
      <c r="K44" s="474"/>
      <c r="L44" s="474"/>
      <c r="M44" s="474"/>
      <c r="N44" s="474"/>
      <c r="O44" s="474"/>
      <c r="P44" s="474"/>
      <c r="Q44" s="474"/>
      <c r="R44" s="55"/>
      <c r="S44" s="55"/>
      <c r="T44" s="55"/>
      <c r="U44" s="55"/>
      <c r="V44" s="55"/>
      <c r="W44" s="55"/>
    </row>
    <row r="45" spans="2:23" ht="17.25" thickTop="1" thickBot="1" x14ac:dyDescent="0.3">
      <c r="B45" s="645" t="str">
        <f>"R$/Alq: "&amp;ROUND(J45/B41,2)</f>
        <v>R$/Alq: 874,13</v>
      </c>
      <c r="C45" s="646"/>
      <c r="E45" s="846" t="s">
        <v>147</v>
      </c>
      <c r="F45" s="847"/>
      <c r="G45" s="847"/>
      <c r="H45" s="847"/>
      <c r="I45" s="848"/>
      <c r="J45" s="234">
        <f>J41+J44</f>
        <v>104895.99999999999</v>
      </c>
      <c r="K45" s="474" t="str">
        <f>"Valor mensal de R$ "&amp;ROUND(J45/12,2)</f>
        <v>Valor mensal de R$ 8741,33</v>
      </c>
      <c r="L45" s="474"/>
      <c r="M45" s="474"/>
      <c r="N45" s="474"/>
      <c r="O45" s="474"/>
      <c r="P45" s="474"/>
      <c r="Q45" s="474"/>
      <c r="R45" s="55"/>
      <c r="S45" s="55"/>
      <c r="T45" s="55"/>
      <c r="U45" s="55"/>
      <c r="V45" s="55"/>
      <c r="W45" s="55"/>
    </row>
    <row r="46" spans="2:23" ht="16.5" thickBot="1" x14ac:dyDescent="0.3">
      <c r="B46" s="216"/>
      <c r="C46" s="216"/>
      <c r="E46" s="849" t="str">
        <f>"VALOR TOTAL DO CONTRATO (NO PERÍODO DE "&amp;INT(1/H33)&amp;" ANOS):"</f>
        <v>VALOR TOTAL DO CONTRATO (NO PERÍODO DE 3 ANOS):</v>
      </c>
      <c r="F46" s="850"/>
      <c r="G46" s="850"/>
      <c r="H46" s="850"/>
      <c r="I46" s="851"/>
      <c r="J46" s="354">
        <f>J45*T38</f>
        <v>314687.99999999994</v>
      </c>
      <c r="R46" s="55"/>
      <c r="S46" s="55"/>
      <c r="T46" s="55"/>
      <c r="U46" s="55"/>
      <c r="V46" s="55"/>
      <c r="W46" s="55"/>
    </row>
    <row r="47" spans="2:23" x14ac:dyDescent="0.25">
      <c r="B47" s="216"/>
      <c r="C47" s="216"/>
      <c r="E47" s="215"/>
      <c r="F47" s="215"/>
      <c r="G47" s="215"/>
      <c r="H47" s="215"/>
      <c r="I47" s="217"/>
      <c r="J47" s="217"/>
      <c r="R47" s="55"/>
      <c r="S47" s="55"/>
      <c r="T47" s="55"/>
      <c r="U47" s="55"/>
      <c r="V47" s="55"/>
      <c r="W47" s="55"/>
    </row>
    <row r="48" spans="2:23" s="55" customFormat="1" ht="16.5" thickBot="1" x14ac:dyDescent="0.3">
      <c r="B48" s="218"/>
      <c r="C48" s="216"/>
      <c r="E48" s="219"/>
      <c r="F48" s="215"/>
      <c r="G48" s="215"/>
      <c r="H48" s="218"/>
      <c r="I48" s="217"/>
      <c r="J48" s="220"/>
      <c r="K48" s="470"/>
      <c r="L48" s="470"/>
      <c r="M48" s="470"/>
      <c r="N48" s="470"/>
      <c r="O48" s="470"/>
      <c r="P48" s="470"/>
      <c r="Q48" s="470"/>
    </row>
    <row r="49" spans="2:19" s="55" customFormat="1" ht="16.5" thickBot="1" x14ac:dyDescent="0.3">
      <c r="B49" s="224" t="s">
        <v>145</v>
      </c>
      <c r="C49" s="843" t="s">
        <v>164</v>
      </c>
      <c r="D49" s="844"/>
      <c r="E49" s="844"/>
      <c r="F49" s="844"/>
      <c r="G49" s="844"/>
      <c r="H49" s="844"/>
      <c r="I49" s="845"/>
      <c r="J49" s="225" t="s">
        <v>146</v>
      </c>
      <c r="K49" s="470"/>
      <c r="L49" s="470"/>
      <c r="M49" s="470"/>
      <c r="N49" s="470"/>
      <c r="O49" s="470"/>
      <c r="P49" s="470"/>
      <c r="Q49" s="470"/>
      <c r="R49" s="470"/>
      <c r="S49" s="470"/>
    </row>
    <row r="50" spans="2:19" s="55" customFormat="1" ht="16.5" thickTop="1" x14ac:dyDescent="0.25">
      <c r="B50" s="223" t="s">
        <v>197</v>
      </c>
      <c r="C50" s="855"/>
      <c r="D50" s="855"/>
      <c r="E50" s="855"/>
      <c r="F50" s="855"/>
      <c r="G50" s="855"/>
      <c r="H50" s="855"/>
      <c r="I50" s="855"/>
      <c r="J50" s="237"/>
      <c r="K50" s="470"/>
      <c r="L50" s="470"/>
      <c r="M50" s="470"/>
      <c r="N50" s="470"/>
      <c r="O50" s="470"/>
      <c r="P50" s="470"/>
      <c r="Q50" s="470"/>
      <c r="R50" s="470"/>
      <c r="S50" s="470"/>
    </row>
    <row r="51" spans="2:19" s="55" customFormat="1" x14ac:dyDescent="0.25">
      <c r="B51" s="221" t="s">
        <v>198</v>
      </c>
      <c r="C51" s="856"/>
      <c r="D51" s="856"/>
      <c r="E51" s="856"/>
      <c r="F51" s="856"/>
      <c r="G51" s="856"/>
      <c r="H51" s="856"/>
      <c r="I51" s="856"/>
      <c r="J51" s="238"/>
      <c r="K51" s="470"/>
      <c r="L51" s="470"/>
      <c r="M51" s="470"/>
      <c r="N51" s="470"/>
      <c r="O51" s="470"/>
      <c r="P51" s="470"/>
      <c r="Q51" s="470"/>
      <c r="R51" s="470"/>
      <c r="S51" s="470"/>
    </row>
    <row r="52" spans="2:19" s="55" customFormat="1" ht="16.5" thickBot="1" x14ac:dyDescent="0.3">
      <c r="B52" s="222" t="s">
        <v>199</v>
      </c>
      <c r="C52" s="842"/>
      <c r="D52" s="842"/>
      <c r="E52" s="842"/>
      <c r="F52" s="842"/>
      <c r="G52" s="842"/>
      <c r="H52" s="842"/>
      <c r="I52" s="842"/>
      <c r="J52" s="226">
        <f>B41-J50-J51</f>
        <v>120</v>
      </c>
      <c r="K52" s="470"/>
      <c r="L52" s="470"/>
      <c r="M52" s="470"/>
      <c r="N52" s="470"/>
      <c r="O52" s="470"/>
      <c r="P52" s="470"/>
      <c r="Q52" s="470"/>
      <c r="R52" s="470"/>
      <c r="S52" s="470"/>
    </row>
    <row r="53" spans="2:19" s="55" customFormat="1" x14ac:dyDescent="0.25">
      <c r="B53" s="229"/>
      <c r="C53" s="230"/>
      <c r="D53" s="231"/>
      <c r="E53" s="232"/>
      <c r="F53" s="232"/>
      <c r="G53" s="232"/>
      <c r="H53" s="232"/>
      <c r="I53" s="231"/>
      <c r="J53" s="231"/>
      <c r="K53" s="470"/>
      <c r="L53" s="470"/>
      <c r="M53" s="470"/>
      <c r="N53" s="470"/>
      <c r="O53" s="470"/>
      <c r="P53" s="470"/>
      <c r="Q53" s="470"/>
      <c r="R53" s="470"/>
      <c r="S53" s="470"/>
    </row>
    <row r="54" spans="2:19" ht="16.5" thickBot="1" x14ac:dyDescent="0.3">
      <c r="B54" s="53" t="s">
        <v>148</v>
      </c>
      <c r="C54" s="54"/>
      <c r="D54" s="54"/>
      <c r="E54" s="54"/>
      <c r="F54" s="54"/>
      <c r="G54" s="54"/>
      <c r="H54" s="54"/>
      <c r="I54" s="54"/>
      <c r="J54" s="54"/>
    </row>
    <row r="55" spans="2:19" x14ac:dyDescent="0.25">
      <c r="B55" s="865" t="str">
        <f>IF(H33&gt;0,K33&amp;" //  ","")&amp;IF(H34&gt;0,K34,"")&amp;IF(H35&gt;0," // "&amp;K35,"")</f>
        <v>Grid da AP: 3 Ha/análise //  Grid da Conferência: 0,5 Alq/análise (0% 20-40cm)</v>
      </c>
      <c r="C55" s="866"/>
      <c r="D55" s="866"/>
      <c r="E55" s="866"/>
      <c r="F55" s="866"/>
      <c r="G55" s="866"/>
      <c r="H55" s="866"/>
      <c r="I55" s="866"/>
      <c r="J55" s="867"/>
    </row>
    <row r="56" spans="2:19" x14ac:dyDescent="0.25">
      <c r="B56" s="868"/>
      <c r="C56" s="869"/>
      <c r="D56" s="869"/>
      <c r="E56" s="869"/>
      <c r="F56" s="869"/>
      <c r="G56" s="869"/>
      <c r="H56" s="869"/>
      <c r="I56" s="869"/>
      <c r="J56" s="870"/>
    </row>
    <row r="57" spans="2:19" x14ac:dyDescent="0.25">
      <c r="B57" s="871"/>
      <c r="C57" s="872"/>
      <c r="D57" s="872"/>
      <c r="E57" s="872"/>
      <c r="F57" s="872"/>
      <c r="G57" s="872"/>
      <c r="H57" s="872"/>
      <c r="I57" s="872"/>
      <c r="J57" s="873"/>
    </row>
    <row r="58" spans="2:19" ht="16.5" thickBot="1" x14ac:dyDescent="0.3">
      <c r="B58" s="874"/>
      <c r="C58" s="875"/>
      <c r="D58" s="875"/>
      <c r="E58" s="875"/>
      <c r="F58" s="875"/>
      <c r="G58" s="875"/>
      <c r="H58" s="875"/>
      <c r="I58" s="875"/>
      <c r="J58" s="876"/>
    </row>
    <row r="59" spans="2:19" x14ac:dyDescent="0.25">
      <c r="B59" s="345" t="s">
        <v>196</v>
      </c>
    </row>
    <row r="60" spans="2:19" x14ac:dyDescent="0.25">
      <c r="B60" s="345"/>
    </row>
    <row r="61" spans="2:19" x14ac:dyDescent="0.25">
      <c r="B61" s="55" t="s">
        <v>32</v>
      </c>
      <c r="G61" s="55" t="s">
        <v>33</v>
      </c>
    </row>
    <row r="62" spans="2:19" x14ac:dyDescent="0.25">
      <c r="B62" s="55" t="s">
        <v>34</v>
      </c>
      <c r="G62" s="16">
        <f>E13</f>
        <v>0</v>
      </c>
    </row>
  </sheetData>
  <sheetProtection selectLockedCells="1"/>
  <mergeCells count="42">
    <mergeCell ref="B55:J55"/>
    <mergeCell ref="B56:J56"/>
    <mergeCell ref="B57:J57"/>
    <mergeCell ref="B58:J58"/>
    <mergeCell ref="E28:I28"/>
    <mergeCell ref="B41:C41"/>
    <mergeCell ref="E41:H41"/>
    <mergeCell ref="B7:J7"/>
    <mergeCell ref="B8:D8"/>
    <mergeCell ref="E8:G8"/>
    <mergeCell ref="H8:J8"/>
    <mergeCell ref="B9:E9"/>
    <mergeCell ref="G9:J9"/>
    <mergeCell ref="E13:I13"/>
    <mergeCell ref="E14:I14"/>
    <mergeCell ref="E15:I15"/>
    <mergeCell ref="E17:G17"/>
    <mergeCell ref="E40:H40"/>
    <mergeCell ref="E18:I18"/>
    <mergeCell ref="E19:I19"/>
    <mergeCell ref="E24:I24"/>
    <mergeCell ref="E25:I25"/>
    <mergeCell ref="E26:I26"/>
    <mergeCell ref="D35:E35"/>
    <mergeCell ref="G16:I16"/>
    <mergeCell ref="G20:J20"/>
    <mergeCell ref="K42:O43"/>
    <mergeCell ref="B42:C42"/>
    <mergeCell ref="E42:H42"/>
    <mergeCell ref="E27:I27"/>
    <mergeCell ref="C52:I52"/>
    <mergeCell ref="C49:I49"/>
    <mergeCell ref="E45:I45"/>
    <mergeCell ref="E46:I46"/>
    <mergeCell ref="B45:C45"/>
    <mergeCell ref="E44:H44"/>
    <mergeCell ref="B44:C44"/>
    <mergeCell ref="C50:I50"/>
    <mergeCell ref="C51:I51"/>
    <mergeCell ref="B43:C43"/>
    <mergeCell ref="E43:H43"/>
    <mergeCell ref="B40:C40"/>
  </mergeCells>
  <conditionalFormatting sqref="K33">
    <cfRule type="expression" dxfId="11" priority="9">
      <formula>$I$33=0</formula>
    </cfRule>
  </conditionalFormatting>
  <conditionalFormatting sqref="K34">
    <cfRule type="expression" dxfId="10" priority="8">
      <formula>AND($I$34=0,$H$34&gt;0)</formula>
    </cfRule>
  </conditionalFormatting>
  <conditionalFormatting sqref="K35">
    <cfRule type="expression" dxfId="9" priority="7">
      <formula>AND($H$35&gt;0,$I$35=0)</formula>
    </cfRule>
  </conditionalFormatting>
  <conditionalFormatting sqref="I34">
    <cfRule type="expression" dxfId="8" priority="6">
      <formula>AND($H$34&gt;0,$I$34=0)</formula>
    </cfRule>
  </conditionalFormatting>
  <conditionalFormatting sqref="I35">
    <cfRule type="expression" dxfId="7" priority="5">
      <formula>AND($H$35&gt;0,$I$35=0)</formula>
    </cfRule>
  </conditionalFormatting>
  <conditionalFormatting sqref="Q31">
    <cfRule type="expression" dxfId="6" priority="3">
      <formula>$Q$31="verdadeiro"</formula>
    </cfRule>
  </conditionalFormatting>
  <conditionalFormatting sqref="K42:O43">
    <cfRule type="expression" dxfId="5" priority="1">
      <formula>$E$37&lt;&gt;0.5</formula>
    </cfRule>
  </conditionalFormatting>
  <conditionalFormatting sqref="G20">
    <cfRule type="expression" dxfId="4" priority="17">
      <formula>$Q$31&lt;&gt;"verdadeiro"</formula>
    </cfRule>
  </conditionalFormatting>
  <dataValidations count="3">
    <dataValidation type="decimal" operator="greaterThanOrEqual" allowBlank="1" showInputMessage="1" showErrorMessage="1" promptTitle="ATENÇÃO!!" prompt="Área mínima de 20 Alq no sistema Equaliza" sqref="B41:C41" xr:uid="{00000000-0002-0000-1000-000000000000}">
      <formula1>20</formula1>
    </dataValidation>
    <dataValidation allowBlank="1" showInputMessage="1" showErrorMessage="1" promptTitle="Atenção!" prompt="Março ou Agosto" sqref="E32" xr:uid="{E5B82A3B-32EC-4677-8601-6F39B2A32068}"/>
    <dataValidation type="list" allowBlank="1" showInputMessage="1" showErrorMessage="1" errorTitle="Atenção!" error="Altere valor conforme indicado." prompt="100%_x000a_50%_x000a_33%_x000a_25%_x000a_20%" sqref="H33" xr:uid="{AB398827-5945-4E41-B5AA-825173ECDBAB}">
      <mc:AlternateContent xmlns:x12ac="http://schemas.microsoft.com/office/spreadsheetml/2011/1/ac" xmlns:mc="http://schemas.openxmlformats.org/markup-compatibility/2006">
        <mc:Choice Requires="x12ac">
          <x12ac:list>"0,2",",25",",33",",5",1</x12ac:list>
        </mc:Choice>
        <mc:Fallback>
          <formula1>"0,2,,25,,33,,5,1"</formula1>
        </mc:Fallback>
      </mc:AlternateContent>
    </dataValidation>
  </dataValidations>
  <pageMargins left="0.511811024" right="0.511811024" top="0.78740157499999996" bottom="0.78740157499999996" header="0.31496062000000002" footer="0.31496062000000002"/>
  <pageSetup paperSize="9" scale="73" orientation="portrait" horizontalDpi="360" verticalDpi="360" r:id="rId1"/>
  <colBreaks count="1" manualBreakCount="1">
    <brk id="10" max="1048575" man="1"/>
  </colBreaks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A9648-7414-44C4-89E6-39BE82E53051}">
  <sheetPr codeName="Plan16"/>
  <dimension ref="B6:U56"/>
  <sheetViews>
    <sheetView showGridLines="0" zoomScaleNormal="100" workbookViewId="0">
      <selection activeCell="E13" sqref="E13:I13"/>
    </sheetView>
  </sheetViews>
  <sheetFormatPr defaultColWidth="9.140625" defaultRowHeight="15.75" x14ac:dyDescent="0.25"/>
  <cols>
    <col min="1" max="1" width="9.140625" style="16"/>
    <col min="2" max="2" width="12.7109375" style="16" customWidth="1"/>
    <col min="3" max="3" width="7.140625" style="16" customWidth="1"/>
    <col min="4" max="4" width="13.28515625" style="16" customWidth="1"/>
    <col min="5" max="6" width="11.85546875" style="16" bestFit="1" customWidth="1"/>
    <col min="7" max="7" width="10.28515625" style="16" customWidth="1"/>
    <col min="8" max="8" width="13.7109375" style="16" customWidth="1"/>
    <col min="9" max="9" width="14.42578125" style="16" bestFit="1" customWidth="1"/>
    <col min="10" max="10" width="15.7109375" style="16" bestFit="1" customWidth="1"/>
    <col min="11" max="11" width="9.28515625" style="16" customWidth="1"/>
    <col min="12" max="12" width="9.140625" style="16"/>
    <col min="13" max="13" width="16.140625" style="16" customWidth="1"/>
    <col min="14" max="14" width="16" style="16" customWidth="1"/>
    <col min="15" max="20" width="9.140625" style="16"/>
    <col min="21" max="21" width="11.85546875" style="16" bestFit="1" customWidth="1"/>
    <col min="22" max="257" width="9.140625" style="16"/>
    <col min="258" max="258" width="8" style="16" customWidth="1"/>
    <col min="259" max="259" width="6.85546875" style="16" customWidth="1"/>
    <col min="260" max="260" width="14" style="16" bestFit="1" customWidth="1"/>
    <col min="261" max="262" width="9.140625" style="16"/>
    <col min="263" max="263" width="10.28515625" style="16" customWidth="1"/>
    <col min="264" max="264" width="13" style="16" customWidth="1"/>
    <col min="265" max="265" width="14.42578125" style="16" bestFit="1" customWidth="1"/>
    <col min="266" max="266" width="15.7109375" style="16" bestFit="1" customWidth="1"/>
    <col min="267" max="513" width="9.140625" style="16"/>
    <col min="514" max="514" width="8" style="16" customWidth="1"/>
    <col min="515" max="515" width="6.85546875" style="16" customWidth="1"/>
    <col min="516" max="516" width="14" style="16" bestFit="1" customWidth="1"/>
    <col min="517" max="518" width="9.140625" style="16"/>
    <col min="519" max="519" width="10.28515625" style="16" customWidth="1"/>
    <col min="520" max="520" width="13" style="16" customWidth="1"/>
    <col min="521" max="521" width="14.42578125" style="16" bestFit="1" customWidth="1"/>
    <col min="522" max="522" width="15.7109375" style="16" bestFit="1" customWidth="1"/>
    <col min="523" max="769" width="9.140625" style="16"/>
    <col min="770" max="770" width="8" style="16" customWidth="1"/>
    <col min="771" max="771" width="6.85546875" style="16" customWidth="1"/>
    <col min="772" max="772" width="14" style="16" bestFit="1" customWidth="1"/>
    <col min="773" max="774" width="9.140625" style="16"/>
    <col min="775" max="775" width="10.28515625" style="16" customWidth="1"/>
    <col min="776" max="776" width="13" style="16" customWidth="1"/>
    <col min="777" max="777" width="14.42578125" style="16" bestFit="1" customWidth="1"/>
    <col min="778" max="778" width="15.7109375" style="16" bestFit="1" customWidth="1"/>
    <col min="779" max="1025" width="9.140625" style="16"/>
    <col min="1026" max="1026" width="8" style="16" customWidth="1"/>
    <col min="1027" max="1027" width="6.85546875" style="16" customWidth="1"/>
    <col min="1028" max="1028" width="14" style="16" bestFit="1" customWidth="1"/>
    <col min="1029" max="1030" width="9.140625" style="16"/>
    <col min="1031" max="1031" width="10.28515625" style="16" customWidth="1"/>
    <col min="1032" max="1032" width="13" style="16" customWidth="1"/>
    <col min="1033" max="1033" width="14.42578125" style="16" bestFit="1" customWidth="1"/>
    <col min="1034" max="1034" width="15.7109375" style="16" bestFit="1" customWidth="1"/>
    <col min="1035" max="1281" width="9.140625" style="16"/>
    <col min="1282" max="1282" width="8" style="16" customWidth="1"/>
    <col min="1283" max="1283" width="6.85546875" style="16" customWidth="1"/>
    <col min="1284" max="1284" width="14" style="16" bestFit="1" customWidth="1"/>
    <col min="1285" max="1286" width="9.140625" style="16"/>
    <col min="1287" max="1287" width="10.28515625" style="16" customWidth="1"/>
    <col min="1288" max="1288" width="13" style="16" customWidth="1"/>
    <col min="1289" max="1289" width="14.42578125" style="16" bestFit="1" customWidth="1"/>
    <col min="1290" max="1290" width="15.7109375" style="16" bestFit="1" customWidth="1"/>
    <col min="1291" max="1537" width="9.140625" style="16"/>
    <col min="1538" max="1538" width="8" style="16" customWidth="1"/>
    <col min="1539" max="1539" width="6.85546875" style="16" customWidth="1"/>
    <col min="1540" max="1540" width="14" style="16" bestFit="1" customWidth="1"/>
    <col min="1541" max="1542" width="9.140625" style="16"/>
    <col min="1543" max="1543" width="10.28515625" style="16" customWidth="1"/>
    <col min="1544" max="1544" width="13" style="16" customWidth="1"/>
    <col min="1545" max="1545" width="14.42578125" style="16" bestFit="1" customWidth="1"/>
    <col min="1546" max="1546" width="15.7109375" style="16" bestFit="1" customWidth="1"/>
    <col min="1547" max="1793" width="9.140625" style="16"/>
    <col min="1794" max="1794" width="8" style="16" customWidth="1"/>
    <col min="1795" max="1795" width="6.85546875" style="16" customWidth="1"/>
    <col min="1796" max="1796" width="14" style="16" bestFit="1" customWidth="1"/>
    <col min="1797" max="1798" width="9.140625" style="16"/>
    <col min="1799" max="1799" width="10.28515625" style="16" customWidth="1"/>
    <col min="1800" max="1800" width="13" style="16" customWidth="1"/>
    <col min="1801" max="1801" width="14.42578125" style="16" bestFit="1" customWidth="1"/>
    <col min="1802" max="1802" width="15.7109375" style="16" bestFit="1" customWidth="1"/>
    <col min="1803" max="2049" width="9.140625" style="16"/>
    <col min="2050" max="2050" width="8" style="16" customWidth="1"/>
    <col min="2051" max="2051" width="6.85546875" style="16" customWidth="1"/>
    <col min="2052" max="2052" width="14" style="16" bestFit="1" customWidth="1"/>
    <col min="2053" max="2054" width="9.140625" style="16"/>
    <col min="2055" max="2055" width="10.28515625" style="16" customWidth="1"/>
    <col min="2056" max="2056" width="13" style="16" customWidth="1"/>
    <col min="2057" max="2057" width="14.42578125" style="16" bestFit="1" customWidth="1"/>
    <col min="2058" max="2058" width="15.7109375" style="16" bestFit="1" customWidth="1"/>
    <col min="2059" max="2305" width="9.140625" style="16"/>
    <col min="2306" max="2306" width="8" style="16" customWidth="1"/>
    <col min="2307" max="2307" width="6.85546875" style="16" customWidth="1"/>
    <col min="2308" max="2308" width="14" style="16" bestFit="1" customWidth="1"/>
    <col min="2309" max="2310" width="9.140625" style="16"/>
    <col min="2311" max="2311" width="10.28515625" style="16" customWidth="1"/>
    <col min="2312" max="2312" width="13" style="16" customWidth="1"/>
    <col min="2313" max="2313" width="14.42578125" style="16" bestFit="1" customWidth="1"/>
    <col min="2314" max="2314" width="15.7109375" style="16" bestFit="1" customWidth="1"/>
    <col min="2315" max="2561" width="9.140625" style="16"/>
    <col min="2562" max="2562" width="8" style="16" customWidth="1"/>
    <col min="2563" max="2563" width="6.85546875" style="16" customWidth="1"/>
    <col min="2564" max="2564" width="14" style="16" bestFit="1" customWidth="1"/>
    <col min="2565" max="2566" width="9.140625" style="16"/>
    <col min="2567" max="2567" width="10.28515625" style="16" customWidth="1"/>
    <col min="2568" max="2568" width="13" style="16" customWidth="1"/>
    <col min="2569" max="2569" width="14.42578125" style="16" bestFit="1" customWidth="1"/>
    <col min="2570" max="2570" width="15.7109375" style="16" bestFit="1" customWidth="1"/>
    <col min="2571" max="2817" width="9.140625" style="16"/>
    <col min="2818" max="2818" width="8" style="16" customWidth="1"/>
    <col min="2819" max="2819" width="6.85546875" style="16" customWidth="1"/>
    <col min="2820" max="2820" width="14" style="16" bestFit="1" customWidth="1"/>
    <col min="2821" max="2822" width="9.140625" style="16"/>
    <col min="2823" max="2823" width="10.28515625" style="16" customWidth="1"/>
    <col min="2824" max="2824" width="13" style="16" customWidth="1"/>
    <col min="2825" max="2825" width="14.42578125" style="16" bestFit="1" customWidth="1"/>
    <col min="2826" max="2826" width="15.7109375" style="16" bestFit="1" customWidth="1"/>
    <col min="2827" max="3073" width="9.140625" style="16"/>
    <col min="3074" max="3074" width="8" style="16" customWidth="1"/>
    <col min="3075" max="3075" width="6.85546875" style="16" customWidth="1"/>
    <col min="3076" max="3076" width="14" style="16" bestFit="1" customWidth="1"/>
    <col min="3077" max="3078" width="9.140625" style="16"/>
    <col min="3079" max="3079" width="10.28515625" style="16" customWidth="1"/>
    <col min="3080" max="3080" width="13" style="16" customWidth="1"/>
    <col min="3081" max="3081" width="14.42578125" style="16" bestFit="1" customWidth="1"/>
    <col min="3082" max="3082" width="15.7109375" style="16" bestFit="1" customWidth="1"/>
    <col min="3083" max="3329" width="9.140625" style="16"/>
    <col min="3330" max="3330" width="8" style="16" customWidth="1"/>
    <col min="3331" max="3331" width="6.85546875" style="16" customWidth="1"/>
    <col min="3332" max="3332" width="14" style="16" bestFit="1" customWidth="1"/>
    <col min="3333" max="3334" width="9.140625" style="16"/>
    <col min="3335" max="3335" width="10.28515625" style="16" customWidth="1"/>
    <col min="3336" max="3336" width="13" style="16" customWidth="1"/>
    <col min="3337" max="3337" width="14.42578125" style="16" bestFit="1" customWidth="1"/>
    <col min="3338" max="3338" width="15.7109375" style="16" bestFit="1" customWidth="1"/>
    <col min="3339" max="3585" width="9.140625" style="16"/>
    <col min="3586" max="3586" width="8" style="16" customWidth="1"/>
    <col min="3587" max="3587" width="6.85546875" style="16" customWidth="1"/>
    <col min="3588" max="3588" width="14" style="16" bestFit="1" customWidth="1"/>
    <col min="3589" max="3590" width="9.140625" style="16"/>
    <col min="3591" max="3591" width="10.28515625" style="16" customWidth="1"/>
    <col min="3592" max="3592" width="13" style="16" customWidth="1"/>
    <col min="3593" max="3593" width="14.42578125" style="16" bestFit="1" customWidth="1"/>
    <col min="3594" max="3594" width="15.7109375" style="16" bestFit="1" customWidth="1"/>
    <col min="3595" max="3841" width="9.140625" style="16"/>
    <col min="3842" max="3842" width="8" style="16" customWidth="1"/>
    <col min="3843" max="3843" width="6.85546875" style="16" customWidth="1"/>
    <col min="3844" max="3844" width="14" style="16" bestFit="1" customWidth="1"/>
    <col min="3845" max="3846" width="9.140625" style="16"/>
    <col min="3847" max="3847" width="10.28515625" style="16" customWidth="1"/>
    <col min="3848" max="3848" width="13" style="16" customWidth="1"/>
    <col min="3849" max="3849" width="14.42578125" style="16" bestFit="1" customWidth="1"/>
    <col min="3850" max="3850" width="15.7109375" style="16" bestFit="1" customWidth="1"/>
    <col min="3851" max="4097" width="9.140625" style="16"/>
    <col min="4098" max="4098" width="8" style="16" customWidth="1"/>
    <col min="4099" max="4099" width="6.85546875" style="16" customWidth="1"/>
    <col min="4100" max="4100" width="14" style="16" bestFit="1" customWidth="1"/>
    <col min="4101" max="4102" width="9.140625" style="16"/>
    <col min="4103" max="4103" width="10.28515625" style="16" customWidth="1"/>
    <col min="4104" max="4104" width="13" style="16" customWidth="1"/>
    <col min="4105" max="4105" width="14.42578125" style="16" bestFit="1" customWidth="1"/>
    <col min="4106" max="4106" width="15.7109375" style="16" bestFit="1" customWidth="1"/>
    <col min="4107" max="4353" width="9.140625" style="16"/>
    <col min="4354" max="4354" width="8" style="16" customWidth="1"/>
    <col min="4355" max="4355" width="6.85546875" style="16" customWidth="1"/>
    <col min="4356" max="4356" width="14" style="16" bestFit="1" customWidth="1"/>
    <col min="4357" max="4358" width="9.140625" style="16"/>
    <col min="4359" max="4359" width="10.28515625" style="16" customWidth="1"/>
    <col min="4360" max="4360" width="13" style="16" customWidth="1"/>
    <col min="4361" max="4361" width="14.42578125" style="16" bestFit="1" customWidth="1"/>
    <col min="4362" max="4362" width="15.7109375" style="16" bestFit="1" customWidth="1"/>
    <col min="4363" max="4609" width="9.140625" style="16"/>
    <col min="4610" max="4610" width="8" style="16" customWidth="1"/>
    <col min="4611" max="4611" width="6.85546875" style="16" customWidth="1"/>
    <col min="4612" max="4612" width="14" style="16" bestFit="1" customWidth="1"/>
    <col min="4613" max="4614" width="9.140625" style="16"/>
    <col min="4615" max="4615" width="10.28515625" style="16" customWidth="1"/>
    <col min="4616" max="4616" width="13" style="16" customWidth="1"/>
    <col min="4617" max="4617" width="14.42578125" style="16" bestFit="1" customWidth="1"/>
    <col min="4618" max="4618" width="15.7109375" style="16" bestFit="1" customWidth="1"/>
    <col min="4619" max="4865" width="9.140625" style="16"/>
    <col min="4866" max="4866" width="8" style="16" customWidth="1"/>
    <col min="4867" max="4867" width="6.85546875" style="16" customWidth="1"/>
    <col min="4868" max="4868" width="14" style="16" bestFit="1" customWidth="1"/>
    <col min="4869" max="4870" width="9.140625" style="16"/>
    <col min="4871" max="4871" width="10.28515625" style="16" customWidth="1"/>
    <col min="4872" max="4872" width="13" style="16" customWidth="1"/>
    <col min="4873" max="4873" width="14.42578125" style="16" bestFit="1" customWidth="1"/>
    <col min="4874" max="4874" width="15.7109375" style="16" bestFit="1" customWidth="1"/>
    <col min="4875" max="5121" width="9.140625" style="16"/>
    <col min="5122" max="5122" width="8" style="16" customWidth="1"/>
    <col min="5123" max="5123" width="6.85546875" style="16" customWidth="1"/>
    <col min="5124" max="5124" width="14" style="16" bestFit="1" customWidth="1"/>
    <col min="5125" max="5126" width="9.140625" style="16"/>
    <col min="5127" max="5127" width="10.28515625" style="16" customWidth="1"/>
    <col min="5128" max="5128" width="13" style="16" customWidth="1"/>
    <col min="5129" max="5129" width="14.42578125" style="16" bestFit="1" customWidth="1"/>
    <col min="5130" max="5130" width="15.7109375" style="16" bestFit="1" customWidth="1"/>
    <col min="5131" max="5377" width="9.140625" style="16"/>
    <col min="5378" max="5378" width="8" style="16" customWidth="1"/>
    <col min="5379" max="5379" width="6.85546875" style="16" customWidth="1"/>
    <col min="5380" max="5380" width="14" style="16" bestFit="1" customWidth="1"/>
    <col min="5381" max="5382" width="9.140625" style="16"/>
    <col min="5383" max="5383" width="10.28515625" style="16" customWidth="1"/>
    <col min="5384" max="5384" width="13" style="16" customWidth="1"/>
    <col min="5385" max="5385" width="14.42578125" style="16" bestFit="1" customWidth="1"/>
    <col min="5386" max="5386" width="15.7109375" style="16" bestFit="1" customWidth="1"/>
    <col min="5387" max="5633" width="9.140625" style="16"/>
    <col min="5634" max="5634" width="8" style="16" customWidth="1"/>
    <col min="5635" max="5635" width="6.85546875" style="16" customWidth="1"/>
    <col min="5636" max="5636" width="14" style="16" bestFit="1" customWidth="1"/>
    <col min="5637" max="5638" width="9.140625" style="16"/>
    <col min="5639" max="5639" width="10.28515625" style="16" customWidth="1"/>
    <col min="5640" max="5640" width="13" style="16" customWidth="1"/>
    <col min="5641" max="5641" width="14.42578125" style="16" bestFit="1" customWidth="1"/>
    <col min="5642" max="5642" width="15.7109375" style="16" bestFit="1" customWidth="1"/>
    <col min="5643" max="5889" width="9.140625" style="16"/>
    <col min="5890" max="5890" width="8" style="16" customWidth="1"/>
    <col min="5891" max="5891" width="6.85546875" style="16" customWidth="1"/>
    <col min="5892" max="5892" width="14" style="16" bestFit="1" customWidth="1"/>
    <col min="5893" max="5894" width="9.140625" style="16"/>
    <col min="5895" max="5895" width="10.28515625" style="16" customWidth="1"/>
    <col min="5896" max="5896" width="13" style="16" customWidth="1"/>
    <col min="5897" max="5897" width="14.42578125" style="16" bestFit="1" customWidth="1"/>
    <col min="5898" max="5898" width="15.7109375" style="16" bestFit="1" customWidth="1"/>
    <col min="5899" max="6145" width="9.140625" style="16"/>
    <col min="6146" max="6146" width="8" style="16" customWidth="1"/>
    <col min="6147" max="6147" width="6.85546875" style="16" customWidth="1"/>
    <col min="6148" max="6148" width="14" style="16" bestFit="1" customWidth="1"/>
    <col min="6149" max="6150" width="9.140625" style="16"/>
    <col min="6151" max="6151" width="10.28515625" style="16" customWidth="1"/>
    <col min="6152" max="6152" width="13" style="16" customWidth="1"/>
    <col min="6153" max="6153" width="14.42578125" style="16" bestFit="1" customWidth="1"/>
    <col min="6154" max="6154" width="15.7109375" style="16" bestFit="1" customWidth="1"/>
    <col min="6155" max="6401" width="9.140625" style="16"/>
    <col min="6402" max="6402" width="8" style="16" customWidth="1"/>
    <col min="6403" max="6403" width="6.85546875" style="16" customWidth="1"/>
    <col min="6404" max="6404" width="14" style="16" bestFit="1" customWidth="1"/>
    <col min="6405" max="6406" width="9.140625" style="16"/>
    <col min="6407" max="6407" width="10.28515625" style="16" customWidth="1"/>
    <col min="6408" max="6408" width="13" style="16" customWidth="1"/>
    <col min="6409" max="6409" width="14.42578125" style="16" bestFit="1" customWidth="1"/>
    <col min="6410" max="6410" width="15.7109375" style="16" bestFit="1" customWidth="1"/>
    <col min="6411" max="6657" width="9.140625" style="16"/>
    <col min="6658" max="6658" width="8" style="16" customWidth="1"/>
    <col min="6659" max="6659" width="6.85546875" style="16" customWidth="1"/>
    <col min="6660" max="6660" width="14" style="16" bestFit="1" customWidth="1"/>
    <col min="6661" max="6662" width="9.140625" style="16"/>
    <col min="6663" max="6663" width="10.28515625" style="16" customWidth="1"/>
    <col min="6664" max="6664" width="13" style="16" customWidth="1"/>
    <col min="6665" max="6665" width="14.42578125" style="16" bestFit="1" customWidth="1"/>
    <col min="6666" max="6666" width="15.7109375" style="16" bestFit="1" customWidth="1"/>
    <col min="6667" max="6913" width="9.140625" style="16"/>
    <col min="6914" max="6914" width="8" style="16" customWidth="1"/>
    <col min="6915" max="6915" width="6.85546875" style="16" customWidth="1"/>
    <col min="6916" max="6916" width="14" style="16" bestFit="1" customWidth="1"/>
    <col min="6917" max="6918" width="9.140625" style="16"/>
    <col min="6919" max="6919" width="10.28515625" style="16" customWidth="1"/>
    <col min="6920" max="6920" width="13" style="16" customWidth="1"/>
    <col min="6921" max="6921" width="14.42578125" style="16" bestFit="1" customWidth="1"/>
    <col min="6922" max="6922" width="15.7109375" style="16" bestFit="1" customWidth="1"/>
    <col min="6923" max="7169" width="9.140625" style="16"/>
    <col min="7170" max="7170" width="8" style="16" customWidth="1"/>
    <col min="7171" max="7171" width="6.85546875" style="16" customWidth="1"/>
    <col min="7172" max="7172" width="14" style="16" bestFit="1" customWidth="1"/>
    <col min="7173" max="7174" width="9.140625" style="16"/>
    <col min="7175" max="7175" width="10.28515625" style="16" customWidth="1"/>
    <col min="7176" max="7176" width="13" style="16" customWidth="1"/>
    <col min="7177" max="7177" width="14.42578125" style="16" bestFit="1" customWidth="1"/>
    <col min="7178" max="7178" width="15.7109375" style="16" bestFit="1" customWidth="1"/>
    <col min="7179" max="7425" width="9.140625" style="16"/>
    <col min="7426" max="7426" width="8" style="16" customWidth="1"/>
    <col min="7427" max="7427" width="6.85546875" style="16" customWidth="1"/>
    <col min="7428" max="7428" width="14" style="16" bestFit="1" customWidth="1"/>
    <col min="7429" max="7430" width="9.140625" style="16"/>
    <col min="7431" max="7431" width="10.28515625" style="16" customWidth="1"/>
    <col min="7432" max="7432" width="13" style="16" customWidth="1"/>
    <col min="7433" max="7433" width="14.42578125" style="16" bestFit="1" customWidth="1"/>
    <col min="7434" max="7434" width="15.7109375" style="16" bestFit="1" customWidth="1"/>
    <col min="7435" max="7681" width="9.140625" style="16"/>
    <col min="7682" max="7682" width="8" style="16" customWidth="1"/>
    <col min="7683" max="7683" width="6.85546875" style="16" customWidth="1"/>
    <col min="7684" max="7684" width="14" style="16" bestFit="1" customWidth="1"/>
    <col min="7685" max="7686" width="9.140625" style="16"/>
    <col min="7687" max="7687" width="10.28515625" style="16" customWidth="1"/>
    <col min="7688" max="7688" width="13" style="16" customWidth="1"/>
    <col min="7689" max="7689" width="14.42578125" style="16" bestFit="1" customWidth="1"/>
    <col min="7690" max="7690" width="15.7109375" style="16" bestFit="1" customWidth="1"/>
    <col min="7691" max="7937" width="9.140625" style="16"/>
    <col min="7938" max="7938" width="8" style="16" customWidth="1"/>
    <col min="7939" max="7939" width="6.85546875" style="16" customWidth="1"/>
    <col min="7940" max="7940" width="14" style="16" bestFit="1" customWidth="1"/>
    <col min="7941" max="7942" width="9.140625" style="16"/>
    <col min="7943" max="7943" width="10.28515625" style="16" customWidth="1"/>
    <col min="7944" max="7944" width="13" style="16" customWidth="1"/>
    <col min="7945" max="7945" width="14.42578125" style="16" bestFit="1" customWidth="1"/>
    <col min="7946" max="7946" width="15.7109375" style="16" bestFit="1" customWidth="1"/>
    <col min="7947" max="8193" width="9.140625" style="16"/>
    <col min="8194" max="8194" width="8" style="16" customWidth="1"/>
    <col min="8195" max="8195" width="6.85546875" style="16" customWidth="1"/>
    <col min="8196" max="8196" width="14" style="16" bestFit="1" customWidth="1"/>
    <col min="8197" max="8198" width="9.140625" style="16"/>
    <col min="8199" max="8199" width="10.28515625" style="16" customWidth="1"/>
    <col min="8200" max="8200" width="13" style="16" customWidth="1"/>
    <col min="8201" max="8201" width="14.42578125" style="16" bestFit="1" customWidth="1"/>
    <col min="8202" max="8202" width="15.7109375" style="16" bestFit="1" customWidth="1"/>
    <col min="8203" max="8449" width="9.140625" style="16"/>
    <col min="8450" max="8450" width="8" style="16" customWidth="1"/>
    <col min="8451" max="8451" width="6.85546875" style="16" customWidth="1"/>
    <col min="8452" max="8452" width="14" style="16" bestFit="1" customWidth="1"/>
    <col min="8453" max="8454" width="9.140625" style="16"/>
    <col min="8455" max="8455" width="10.28515625" style="16" customWidth="1"/>
    <col min="8456" max="8456" width="13" style="16" customWidth="1"/>
    <col min="8457" max="8457" width="14.42578125" style="16" bestFit="1" customWidth="1"/>
    <col min="8458" max="8458" width="15.7109375" style="16" bestFit="1" customWidth="1"/>
    <col min="8459" max="8705" width="9.140625" style="16"/>
    <col min="8706" max="8706" width="8" style="16" customWidth="1"/>
    <col min="8707" max="8707" width="6.85546875" style="16" customWidth="1"/>
    <col min="8708" max="8708" width="14" style="16" bestFit="1" customWidth="1"/>
    <col min="8709" max="8710" width="9.140625" style="16"/>
    <col min="8711" max="8711" width="10.28515625" style="16" customWidth="1"/>
    <col min="8712" max="8712" width="13" style="16" customWidth="1"/>
    <col min="8713" max="8713" width="14.42578125" style="16" bestFit="1" customWidth="1"/>
    <col min="8714" max="8714" width="15.7109375" style="16" bestFit="1" customWidth="1"/>
    <col min="8715" max="8961" width="9.140625" style="16"/>
    <col min="8962" max="8962" width="8" style="16" customWidth="1"/>
    <col min="8963" max="8963" width="6.85546875" style="16" customWidth="1"/>
    <col min="8964" max="8964" width="14" style="16" bestFit="1" customWidth="1"/>
    <col min="8965" max="8966" width="9.140625" style="16"/>
    <col min="8967" max="8967" width="10.28515625" style="16" customWidth="1"/>
    <col min="8968" max="8968" width="13" style="16" customWidth="1"/>
    <col min="8969" max="8969" width="14.42578125" style="16" bestFit="1" customWidth="1"/>
    <col min="8970" max="8970" width="15.7109375" style="16" bestFit="1" customWidth="1"/>
    <col min="8971" max="9217" width="9.140625" style="16"/>
    <col min="9218" max="9218" width="8" style="16" customWidth="1"/>
    <col min="9219" max="9219" width="6.85546875" style="16" customWidth="1"/>
    <col min="9220" max="9220" width="14" style="16" bestFit="1" customWidth="1"/>
    <col min="9221" max="9222" width="9.140625" style="16"/>
    <col min="9223" max="9223" width="10.28515625" style="16" customWidth="1"/>
    <col min="9224" max="9224" width="13" style="16" customWidth="1"/>
    <col min="9225" max="9225" width="14.42578125" style="16" bestFit="1" customWidth="1"/>
    <col min="9226" max="9226" width="15.7109375" style="16" bestFit="1" customWidth="1"/>
    <col min="9227" max="9473" width="9.140625" style="16"/>
    <col min="9474" max="9474" width="8" style="16" customWidth="1"/>
    <col min="9475" max="9475" width="6.85546875" style="16" customWidth="1"/>
    <col min="9476" max="9476" width="14" style="16" bestFit="1" customWidth="1"/>
    <col min="9477" max="9478" width="9.140625" style="16"/>
    <col min="9479" max="9479" width="10.28515625" style="16" customWidth="1"/>
    <col min="9480" max="9480" width="13" style="16" customWidth="1"/>
    <col min="9481" max="9481" width="14.42578125" style="16" bestFit="1" customWidth="1"/>
    <col min="9482" max="9482" width="15.7109375" style="16" bestFit="1" customWidth="1"/>
    <col min="9483" max="9729" width="9.140625" style="16"/>
    <col min="9730" max="9730" width="8" style="16" customWidth="1"/>
    <col min="9731" max="9731" width="6.85546875" style="16" customWidth="1"/>
    <col min="9732" max="9732" width="14" style="16" bestFit="1" customWidth="1"/>
    <col min="9733" max="9734" width="9.140625" style="16"/>
    <col min="9735" max="9735" width="10.28515625" style="16" customWidth="1"/>
    <col min="9736" max="9736" width="13" style="16" customWidth="1"/>
    <col min="9737" max="9737" width="14.42578125" style="16" bestFit="1" customWidth="1"/>
    <col min="9738" max="9738" width="15.7109375" style="16" bestFit="1" customWidth="1"/>
    <col min="9739" max="9985" width="9.140625" style="16"/>
    <col min="9986" max="9986" width="8" style="16" customWidth="1"/>
    <col min="9987" max="9987" width="6.85546875" style="16" customWidth="1"/>
    <col min="9988" max="9988" width="14" style="16" bestFit="1" customWidth="1"/>
    <col min="9989" max="9990" width="9.140625" style="16"/>
    <col min="9991" max="9991" width="10.28515625" style="16" customWidth="1"/>
    <col min="9992" max="9992" width="13" style="16" customWidth="1"/>
    <col min="9993" max="9993" width="14.42578125" style="16" bestFit="1" customWidth="1"/>
    <col min="9994" max="9994" width="15.7109375" style="16" bestFit="1" customWidth="1"/>
    <col min="9995" max="10241" width="9.140625" style="16"/>
    <col min="10242" max="10242" width="8" style="16" customWidth="1"/>
    <col min="10243" max="10243" width="6.85546875" style="16" customWidth="1"/>
    <col min="10244" max="10244" width="14" style="16" bestFit="1" customWidth="1"/>
    <col min="10245" max="10246" width="9.140625" style="16"/>
    <col min="10247" max="10247" width="10.28515625" style="16" customWidth="1"/>
    <col min="10248" max="10248" width="13" style="16" customWidth="1"/>
    <col min="10249" max="10249" width="14.42578125" style="16" bestFit="1" customWidth="1"/>
    <col min="10250" max="10250" width="15.7109375" style="16" bestFit="1" customWidth="1"/>
    <col min="10251" max="10497" width="9.140625" style="16"/>
    <col min="10498" max="10498" width="8" style="16" customWidth="1"/>
    <col min="10499" max="10499" width="6.85546875" style="16" customWidth="1"/>
    <col min="10500" max="10500" width="14" style="16" bestFit="1" customWidth="1"/>
    <col min="10501" max="10502" width="9.140625" style="16"/>
    <col min="10503" max="10503" width="10.28515625" style="16" customWidth="1"/>
    <col min="10504" max="10504" width="13" style="16" customWidth="1"/>
    <col min="10505" max="10505" width="14.42578125" style="16" bestFit="1" customWidth="1"/>
    <col min="10506" max="10506" width="15.7109375" style="16" bestFit="1" customWidth="1"/>
    <col min="10507" max="10753" width="9.140625" style="16"/>
    <col min="10754" max="10754" width="8" style="16" customWidth="1"/>
    <col min="10755" max="10755" width="6.85546875" style="16" customWidth="1"/>
    <col min="10756" max="10756" width="14" style="16" bestFit="1" customWidth="1"/>
    <col min="10757" max="10758" width="9.140625" style="16"/>
    <col min="10759" max="10759" width="10.28515625" style="16" customWidth="1"/>
    <col min="10760" max="10760" width="13" style="16" customWidth="1"/>
    <col min="10761" max="10761" width="14.42578125" style="16" bestFit="1" customWidth="1"/>
    <col min="10762" max="10762" width="15.7109375" style="16" bestFit="1" customWidth="1"/>
    <col min="10763" max="11009" width="9.140625" style="16"/>
    <col min="11010" max="11010" width="8" style="16" customWidth="1"/>
    <col min="11011" max="11011" width="6.85546875" style="16" customWidth="1"/>
    <col min="11012" max="11012" width="14" style="16" bestFit="1" customWidth="1"/>
    <col min="11013" max="11014" width="9.140625" style="16"/>
    <col min="11015" max="11015" width="10.28515625" style="16" customWidth="1"/>
    <col min="11016" max="11016" width="13" style="16" customWidth="1"/>
    <col min="11017" max="11017" width="14.42578125" style="16" bestFit="1" customWidth="1"/>
    <col min="11018" max="11018" width="15.7109375" style="16" bestFit="1" customWidth="1"/>
    <col min="11019" max="11265" width="9.140625" style="16"/>
    <col min="11266" max="11266" width="8" style="16" customWidth="1"/>
    <col min="11267" max="11267" width="6.85546875" style="16" customWidth="1"/>
    <col min="11268" max="11268" width="14" style="16" bestFit="1" customWidth="1"/>
    <col min="11269" max="11270" width="9.140625" style="16"/>
    <col min="11271" max="11271" width="10.28515625" style="16" customWidth="1"/>
    <col min="11272" max="11272" width="13" style="16" customWidth="1"/>
    <col min="11273" max="11273" width="14.42578125" style="16" bestFit="1" customWidth="1"/>
    <col min="11274" max="11274" width="15.7109375" style="16" bestFit="1" customWidth="1"/>
    <col min="11275" max="11521" width="9.140625" style="16"/>
    <col min="11522" max="11522" width="8" style="16" customWidth="1"/>
    <col min="11523" max="11523" width="6.85546875" style="16" customWidth="1"/>
    <col min="11524" max="11524" width="14" style="16" bestFit="1" customWidth="1"/>
    <col min="11525" max="11526" width="9.140625" style="16"/>
    <col min="11527" max="11527" width="10.28515625" style="16" customWidth="1"/>
    <col min="11528" max="11528" width="13" style="16" customWidth="1"/>
    <col min="11529" max="11529" width="14.42578125" style="16" bestFit="1" customWidth="1"/>
    <col min="11530" max="11530" width="15.7109375" style="16" bestFit="1" customWidth="1"/>
    <col min="11531" max="11777" width="9.140625" style="16"/>
    <col min="11778" max="11778" width="8" style="16" customWidth="1"/>
    <col min="11779" max="11779" width="6.85546875" style="16" customWidth="1"/>
    <col min="11780" max="11780" width="14" style="16" bestFit="1" customWidth="1"/>
    <col min="11781" max="11782" width="9.140625" style="16"/>
    <col min="11783" max="11783" width="10.28515625" style="16" customWidth="1"/>
    <col min="11784" max="11784" width="13" style="16" customWidth="1"/>
    <col min="11785" max="11785" width="14.42578125" style="16" bestFit="1" customWidth="1"/>
    <col min="11786" max="11786" width="15.7109375" style="16" bestFit="1" customWidth="1"/>
    <col min="11787" max="12033" width="9.140625" style="16"/>
    <col min="12034" max="12034" width="8" style="16" customWidth="1"/>
    <col min="12035" max="12035" width="6.85546875" style="16" customWidth="1"/>
    <col min="12036" max="12036" width="14" style="16" bestFit="1" customWidth="1"/>
    <col min="12037" max="12038" width="9.140625" style="16"/>
    <col min="12039" max="12039" width="10.28515625" style="16" customWidth="1"/>
    <col min="12040" max="12040" width="13" style="16" customWidth="1"/>
    <col min="12041" max="12041" width="14.42578125" style="16" bestFit="1" customWidth="1"/>
    <col min="12042" max="12042" width="15.7109375" style="16" bestFit="1" customWidth="1"/>
    <col min="12043" max="12289" width="9.140625" style="16"/>
    <col min="12290" max="12290" width="8" style="16" customWidth="1"/>
    <col min="12291" max="12291" width="6.85546875" style="16" customWidth="1"/>
    <col min="12292" max="12292" width="14" style="16" bestFit="1" customWidth="1"/>
    <col min="12293" max="12294" width="9.140625" style="16"/>
    <col min="12295" max="12295" width="10.28515625" style="16" customWidth="1"/>
    <col min="12296" max="12296" width="13" style="16" customWidth="1"/>
    <col min="12297" max="12297" width="14.42578125" style="16" bestFit="1" customWidth="1"/>
    <col min="12298" max="12298" width="15.7109375" style="16" bestFit="1" customWidth="1"/>
    <col min="12299" max="12545" width="9.140625" style="16"/>
    <col min="12546" max="12546" width="8" style="16" customWidth="1"/>
    <col min="12547" max="12547" width="6.85546875" style="16" customWidth="1"/>
    <col min="12548" max="12548" width="14" style="16" bestFit="1" customWidth="1"/>
    <col min="12549" max="12550" width="9.140625" style="16"/>
    <col min="12551" max="12551" width="10.28515625" style="16" customWidth="1"/>
    <col min="12552" max="12552" width="13" style="16" customWidth="1"/>
    <col min="12553" max="12553" width="14.42578125" style="16" bestFit="1" customWidth="1"/>
    <col min="12554" max="12554" width="15.7109375" style="16" bestFit="1" customWidth="1"/>
    <col min="12555" max="12801" width="9.140625" style="16"/>
    <col min="12802" max="12802" width="8" style="16" customWidth="1"/>
    <col min="12803" max="12803" width="6.85546875" style="16" customWidth="1"/>
    <col min="12804" max="12804" width="14" style="16" bestFit="1" customWidth="1"/>
    <col min="12805" max="12806" width="9.140625" style="16"/>
    <col min="12807" max="12807" width="10.28515625" style="16" customWidth="1"/>
    <col min="12808" max="12808" width="13" style="16" customWidth="1"/>
    <col min="12809" max="12809" width="14.42578125" style="16" bestFit="1" customWidth="1"/>
    <col min="12810" max="12810" width="15.7109375" style="16" bestFit="1" customWidth="1"/>
    <col min="12811" max="13057" width="9.140625" style="16"/>
    <col min="13058" max="13058" width="8" style="16" customWidth="1"/>
    <col min="13059" max="13059" width="6.85546875" style="16" customWidth="1"/>
    <col min="13060" max="13060" width="14" style="16" bestFit="1" customWidth="1"/>
    <col min="13061" max="13062" width="9.140625" style="16"/>
    <col min="13063" max="13063" width="10.28515625" style="16" customWidth="1"/>
    <col min="13064" max="13064" width="13" style="16" customWidth="1"/>
    <col min="13065" max="13065" width="14.42578125" style="16" bestFit="1" customWidth="1"/>
    <col min="13066" max="13066" width="15.7109375" style="16" bestFit="1" customWidth="1"/>
    <col min="13067" max="13313" width="9.140625" style="16"/>
    <col min="13314" max="13314" width="8" style="16" customWidth="1"/>
    <col min="13315" max="13315" width="6.85546875" style="16" customWidth="1"/>
    <col min="13316" max="13316" width="14" style="16" bestFit="1" customWidth="1"/>
    <col min="13317" max="13318" width="9.140625" style="16"/>
    <col min="13319" max="13319" width="10.28515625" style="16" customWidth="1"/>
    <col min="13320" max="13320" width="13" style="16" customWidth="1"/>
    <col min="13321" max="13321" width="14.42578125" style="16" bestFit="1" customWidth="1"/>
    <col min="13322" max="13322" width="15.7109375" style="16" bestFit="1" customWidth="1"/>
    <col min="13323" max="13569" width="9.140625" style="16"/>
    <col min="13570" max="13570" width="8" style="16" customWidth="1"/>
    <col min="13571" max="13571" width="6.85546875" style="16" customWidth="1"/>
    <col min="13572" max="13572" width="14" style="16" bestFit="1" customWidth="1"/>
    <col min="13573" max="13574" width="9.140625" style="16"/>
    <col min="13575" max="13575" width="10.28515625" style="16" customWidth="1"/>
    <col min="13576" max="13576" width="13" style="16" customWidth="1"/>
    <col min="13577" max="13577" width="14.42578125" style="16" bestFit="1" customWidth="1"/>
    <col min="13578" max="13578" width="15.7109375" style="16" bestFit="1" customWidth="1"/>
    <col min="13579" max="13825" width="9.140625" style="16"/>
    <col min="13826" max="13826" width="8" style="16" customWidth="1"/>
    <col min="13827" max="13827" width="6.85546875" style="16" customWidth="1"/>
    <col min="13828" max="13828" width="14" style="16" bestFit="1" customWidth="1"/>
    <col min="13829" max="13830" width="9.140625" style="16"/>
    <col min="13831" max="13831" width="10.28515625" style="16" customWidth="1"/>
    <col min="13832" max="13832" width="13" style="16" customWidth="1"/>
    <col min="13833" max="13833" width="14.42578125" style="16" bestFit="1" customWidth="1"/>
    <col min="13834" max="13834" width="15.7109375" style="16" bestFit="1" customWidth="1"/>
    <col min="13835" max="14081" width="9.140625" style="16"/>
    <col min="14082" max="14082" width="8" style="16" customWidth="1"/>
    <col min="14083" max="14083" width="6.85546875" style="16" customWidth="1"/>
    <col min="14084" max="14084" width="14" style="16" bestFit="1" customWidth="1"/>
    <col min="14085" max="14086" width="9.140625" style="16"/>
    <col min="14087" max="14087" width="10.28515625" style="16" customWidth="1"/>
    <col min="14088" max="14088" width="13" style="16" customWidth="1"/>
    <col min="14089" max="14089" width="14.42578125" style="16" bestFit="1" customWidth="1"/>
    <col min="14090" max="14090" width="15.7109375" style="16" bestFit="1" customWidth="1"/>
    <col min="14091" max="14337" width="9.140625" style="16"/>
    <col min="14338" max="14338" width="8" style="16" customWidth="1"/>
    <col min="14339" max="14339" width="6.85546875" style="16" customWidth="1"/>
    <col min="14340" max="14340" width="14" style="16" bestFit="1" customWidth="1"/>
    <col min="14341" max="14342" width="9.140625" style="16"/>
    <col min="14343" max="14343" width="10.28515625" style="16" customWidth="1"/>
    <col min="14344" max="14344" width="13" style="16" customWidth="1"/>
    <col min="14345" max="14345" width="14.42578125" style="16" bestFit="1" customWidth="1"/>
    <col min="14346" max="14346" width="15.7109375" style="16" bestFit="1" customWidth="1"/>
    <col min="14347" max="14593" width="9.140625" style="16"/>
    <col min="14594" max="14594" width="8" style="16" customWidth="1"/>
    <col min="14595" max="14595" width="6.85546875" style="16" customWidth="1"/>
    <col min="14596" max="14596" width="14" style="16" bestFit="1" customWidth="1"/>
    <col min="14597" max="14598" width="9.140625" style="16"/>
    <col min="14599" max="14599" width="10.28515625" style="16" customWidth="1"/>
    <col min="14600" max="14600" width="13" style="16" customWidth="1"/>
    <col min="14601" max="14601" width="14.42578125" style="16" bestFit="1" customWidth="1"/>
    <col min="14602" max="14602" width="15.7109375" style="16" bestFit="1" customWidth="1"/>
    <col min="14603" max="14849" width="9.140625" style="16"/>
    <col min="14850" max="14850" width="8" style="16" customWidth="1"/>
    <col min="14851" max="14851" width="6.85546875" style="16" customWidth="1"/>
    <col min="14852" max="14852" width="14" style="16" bestFit="1" customWidth="1"/>
    <col min="14853" max="14854" width="9.140625" style="16"/>
    <col min="14855" max="14855" width="10.28515625" style="16" customWidth="1"/>
    <col min="14856" max="14856" width="13" style="16" customWidth="1"/>
    <col min="14857" max="14857" width="14.42578125" style="16" bestFit="1" customWidth="1"/>
    <col min="14858" max="14858" width="15.7109375" style="16" bestFit="1" customWidth="1"/>
    <col min="14859" max="15105" width="9.140625" style="16"/>
    <col min="15106" max="15106" width="8" style="16" customWidth="1"/>
    <col min="15107" max="15107" width="6.85546875" style="16" customWidth="1"/>
    <col min="15108" max="15108" width="14" style="16" bestFit="1" customWidth="1"/>
    <col min="15109" max="15110" width="9.140625" style="16"/>
    <col min="15111" max="15111" width="10.28515625" style="16" customWidth="1"/>
    <col min="15112" max="15112" width="13" style="16" customWidth="1"/>
    <col min="15113" max="15113" width="14.42578125" style="16" bestFit="1" customWidth="1"/>
    <col min="15114" max="15114" width="15.7109375" style="16" bestFit="1" customWidth="1"/>
    <col min="15115" max="15361" width="9.140625" style="16"/>
    <col min="15362" max="15362" width="8" style="16" customWidth="1"/>
    <col min="15363" max="15363" width="6.85546875" style="16" customWidth="1"/>
    <col min="15364" max="15364" width="14" style="16" bestFit="1" customWidth="1"/>
    <col min="15365" max="15366" width="9.140625" style="16"/>
    <col min="15367" max="15367" width="10.28515625" style="16" customWidth="1"/>
    <col min="15368" max="15368" width="13" style="16" customWidth="1"/>
    <col min="15369" max="15369" width="14.42578125" style="16" bestFit="1" customWidth="1"/>
    <col min="15370" max="15370" width="15.7109375" style="16" bestFit="1" customWidth="1"/>
    <col min="15371" max="15617" width="9.140625" style="16"/>
    <col min="15618" max="15618" width="8" style="16" customWidth="1"/>
    <col min="15619" max="15619" width="6.85546875" style="16" customWidth="1"/>
    <col min="15620" max="15620" width="14" style="16" bestFit="1" customWidth="1"/>
    <col min="15621" max="15622" width="9.140625" style="16"/>
    <col min="15623" max="15623" width="10.28515625" style="16" customWidth="1"/>
    <col min="15624" max="15624" width="13" style="16" customWidth="1"/>
    <col min="15625" max="15625" width="14.42578125" style="16" bestFit="1" customWidth="1"/>
    <col min="15626" max="15626" width="15.7109375" style="16" bestFit="1" customWidth="1"/>
    <col min="15627" max="15873" width="9.140625" style="16"/>
    <col min="15874" max="15874" width="8" style="16" customWidth="1"/>
    <col min="15875" max="15875" width="6.85546875" style="16" customWidth="1"/>
    <col min="15876" max="15876" width="14" style="16" bestFit="1" customWidth="1"/>
    <col min="15877" max="15878" width="9.140625" style="16"/>
    <col min="15879" max="15879" width="10.28515625" style="16" customWidth="1"/>
    <col min="15880" max="15880" width="13" style="16" customWidth="1"/>
    <col min="15881" max="15881" width="14.42578125" style="16" bestFit="1" customWidth="1"/>
    <col min="15882" max="15882" width="15.7109375" style="16" bestFit="1" customWidth="1"/>
    <col min="15883" max="16129" width="9.140625" style="16"/>
    <col min="16130" max="16130" width="8" style="16" customWidth="1"/>
    <col min="16131" max="16131" width="6.85546875" style="16" customWidth="1"/>
    <col min="16132" max="16132" width="14" style="16" bestFit="1" customWidth="1"/>
    <col min="16133" max="16134" width="9.140625" style="16"/>
    <col min="16135" max="16135" width="10.28515625" style="16" customWidth="1"/>
    <col min="16136" max="16136" width="13" style="16" customWidth="1"/>
    <col min="16137" max="16137" width="14.42578125" style="16" bestFit="1" customWidth="1"/>
    <col min="16138" max="16138" width="15.7109375" style="16" bestFit="1" customWidth="1"/>
    <col min="16139" max="16384" width="9.140625" style="16"/>
  </cols>
  <sheetData>
    <row r="6" spans="2:10" ht="16.5" thickBot="1" x14ac:dyDescent="0.3"/>
    <row r="7" spans="2:10" x14ac:dyDescent="0.25">
      <c r="B7" s="676" t="s">
        <v>4</v>
      </c>
      <c r="C7" s="677"/>
      <c r="D7" s="677"/>
      <c r="E7" s="677"/>
      <c r="F7" s="677"/>
      <c r="G7" s="677"/>
      <c r="H7" s="677"/>
      <c r="I7" s="677"/>
      <c r="J7" s="678"/>
    </row>
    <row r="8" spans="2:10" x14ac:dyDescent="0.25">
      <c r="B8" s="679" t="s">
        <v>5</v>
      </c>
      <c r="C8" s="630"/>
      <c r="D8" s="630"/>
      <c r="E8" s="680" t="s">
        <v>6</v>
      </c>
      <c r="F8" s="630"/>
      <c r="G8" s="630"/>
      <c r="H8" s="680" t="s">
        <v>7</v>
      </c>
      <c r="I8" s="630"/>
      <c r="J8" s="681"/>
    </row>
    <row r="9" spans="2:10" ht="16.5" thickBot="1" x14ac:dyDescent="0.3">
      <c r="B9" s="682" t="s">
        <v>8</v>
      </c>
      <c r="C9" s="683"/>
      <c r="D9" s="683"/>
      <c r="E9" s="683"/>
      <c r="F9" s="17"/>
      <c r="G9" s="684" t="str">
        <f>"FONE: (45)3242-2210         V.:"&amp;GERAL!C26</f>
        <v>FONE: (45)3242-2210         V.:Versão: 45791</v>
      </c>
      <c r="H9" s="684"/>
      <c r="I9" s="684"/>
      <c r="J9" s="685"/>
    </row>
    <row r="10" spans="2:10" ht="16.5" thickBot="1" x14ac:dyDescent="0.3">
      <c r="E10" s="18"/>
      <c r="F10" s="18"/>
      <c r="G10" s="18"/>
      <c r="H10" s="19"/>
    </row>
    <row r="11" spans="2:10" x14ac:dyDescent="0.25">
      <c r="B11" s="20"/>
      <c r="C11" s="103" t="s">
        <v>265</v>
      </c>
      <c r="D11" s="21"/>
      <c r="E11" s="22"/>
      <c r="F11" s="22"/>
      <c r="G11" s="22"/>
      <c r="H11" s="23" t="s">
        <v>9</v>
      </c>
      <c r="I11" s="24">
        <f ca="1">TODAY()</f>
        <v>45828</v>
      </c>
      <c r="J11" s="25"/>
    </row>
    <row r="12" spans="2:10" x14ac:dyDescent="0.25">
      <c r="B12" s="26"/>
      <c r="J12" s="27"/>
    </row>
    <row r="13" spans="2:10" x14ac:dyDescent="0.25">
      <c r="B13" s="26"/>
      <c r="C13" s="28" t="s">
        <v>37</v>
      </c>
      <c r="D13" s="29"/>
      <c r="E13" s="660"/>
      <c r="F13" s="661"/>
      <c r="G13" s="661"/>
      <c r="H13" s="661"/>
      <c r="I13" s="662"/>
      <c r="J13" s="30"/>
    </row>
    <row r="14" spans="2:10" x14ac:dyDescent="0.25">
      <c r="B14" s="26"/>
      <c r="C14" s="28" t="s">
        <v>38</v>
      </c>
      <c r="D14" s="29"/>
      <c r="E14" s="660"/>
      <c r="F14" s="661"/>
      <c r="G14" s="661"/>
      <c r="H14" s="661"/>
      <c r="I14" s="662"/>
      <c r="J14" s="30"/>
    </row>
    <row r="15" spans="2:10" x14ac:dyDescent="0.25">
      <c r="B15" s="26"/>
      <c r="C15" s="31" t="s">
        <v>39</v>
      </c>
      <c r="E15" s="660"/>
      <c r="F15" s="661"/>
      <c r="G15" s="661"/>
      <c r="H15" s="661"/>
      <c r="I15" s="662"/>
      <c r="J15" s="30"/>
    </row>
    <row r="16" spans="2:10" x14ac:dyDescent="0.25">
      <c r="B16" s="26"/>
      <c r="C16" s="28" t="s">
        <v>40</v>
      </c>
      <c r="D16" s="29"/>
      <c r="E16" s="661"/>
      <c r="F16" s="661"/>
      <c r="G16" s="661"/>
      <c r="H16" s="661"/>
      <c r="I16" s="662"/>
      <c r="J16" s="30"/>
    </row>
    <row r="17" spans="2:21" x14ac:dyDescent="0.25">
      <c r="B17" s="26"/>
      <c r="C17" s="31" t="s">
        <v>41</v>
      </c>
      <c r="E17" s="888"/>
      <c r="F17" s="888"/>
      <c r="G17" s="888"/>
      <c r="H17" s="172" t="s">
        <v>113</v>
      </c>
      <c r="I17" s="170"/>
      <c r="J17" s="30"/>
      <c r="K17" s="32"/>
    </row>
    <row r="18" spans="2:21" x14ac:dyDescent="0.25">
      <c r="B18" s="26"/>
      <c r="C18" s="28" t="s">
        <v>42</v>
      </c>
      <c r="D18" s="29"/>
      <c r="E18" s="661"/>
      <c r="F18" s="661"/>
      <c r="G18" s="661"/>
      <c r="H18" s="661"/>
      <c r="I18" s="662"/>
      <c r="J18" s="30"/>
    </row>
    <row r="19" spans="2:21" x14ac:dyDescent="0.25">
      <c r="B19" s="26"/>
      <c r="C19" s="28" t="s">
        <v>43</v>
      </c>
      <c r="D19" s="29"/>
      <c r="E19" s="660"/>
      <c r="F19" s="661"/>
      <c r="G19" s="661"/>
      <c r="H19" s="661"/>
      <c r="I19" s="662"/>
      <c r="J19" s="30"/>
    </row>
    <row r="20" spans="2:21" x14ac:dyDescent="0.25">
      <c r="B20" s="26"/>
      <c r="E20" s="54"/>
      <c r="F20" s="54"/>
      <c r="G20" s="54"/>
      <c r="H20" s="54"/>
      <c r="I20" s="54"/>
      <c r="J20" s="27"/>
    </row>
    <row r="21" spans="2:21" ht="16.5" thickBot="1" x14ac:dyDescent="0.3">
      <c r="B21" s="33"/>
      <c r="C21" s="17"/>
      <c r="D21" s="17"/>
      <c r="E21" s="58"/>
      <c r="F21" s="58"/>
      <c r="G21" s="58"/>
      <c r="H21" s="58"/>
      <c r="I21" s="58"/>
      <c r="J21" s="34"/>
    </row>
    <row r="22" spans="2:21" ht="16.5" thickBot="1" x14ac:dyDescent="0.3">
      <c r="E22" s="54"/>
      <c r="F22" s="54"/>
      <c r="G22" s="54"/>
      <c r="H22" s="54"/>
      <c r="I22" s="54"/>
    </row>
    <row r="23" spans="2:21" x14ac:dyDescent="0.25">
      <c r="B23" s="20"/>
      <c r="C23" s="21"/>
      <c r="D23" s="21"/>
      <c r="E23" s="59"/>
      <c r="F23" s="59"/>
      <c r="G23" s="59"/>
      <c r="H23" s="59"/>
      <c r="I23" s="59"/>
      <c r="J23" s="25"/>
    </row>
    <row r="24" spans="2:21" x14ac:dyDescent="0.25">
      <c r="B24" s="26"/>
      <c r="C24" s="28" t="s">
        <v>10</v>
      </c>
      <c r="D24" s="29"/>
      <c r="E24" s="660"/>
      <c r="F24" s="660"/>
      <c r="G24" s="660"/>
      <c r="H24" s="660"/>
      <c r="I24" s="672"/>
      <c r="J24" s="27"/>
    </row>
    <row r="25" spans="2:21" x14ac:dyDescent="0.25">
      <c r="B25" s="26"/>
      <c r="C25" s="28" t="s">
        <v>298</v>
      </c>
      <c r="D25" s="35"/>
      <c r="E25" s="666"/>
      <c r="F25" s="666"/>
      <c r="G25" s="666"/>
      <c r="H25" s="666"/>
      <c r="I25" s="667"/>
      <c r="J25" s="27"/>
    </row>
    <row r="26" spans="2:21" ht="16.5" thickBot="1" x14ac:dyDescent="0.3">
      <c r="B26" s="33"/>
      <c r="C26" s="209"/>
      <c r="D26" s="245"/>
      <c r="E26" s="246"/>
      <c r="F26" s="246"/>
      <c r="G26" s="246"/>
      <c r="H26" s="246"/>
      <c r="I26" s="246"/>
      <c r="J26" s="34"/>
      <c r="K26" s="439"/>
      <c r="L26" s="439"/>
      <c r="M26" s="439"/>
      <c r="N26" s="439"/>
      <c r="O26" s="439"/>
    </row>
    <row r="27" spans="2:21" ht="16.5" thickBot="1" x14ac:dyDescent="0.3">
      <c r="K27" s="439"/>
      <c r="L27" s="439"/>
      <c r="M27" s="439"/>
      <c r="N27" s="439"/>
      <c r="O27" s="439"/>
    </row>
    <row r="28" spans="2:21" x14ac:dyDescent="0.25">
      <c r="B28" s="20"/>
      <c r="C28" s="21"/>
      <c r="D28" s="36"/>
      <c r="E28" s="21"/>
      <c r="F28" s="21"/>
      <c r="G28" s="21"/>
      <c r="H28" s="21"/>
      <c r="I28" s="21"/>
      <c r="J28" s="25"/>
      <c r="K28" s="439"/>
      <c r="L28" s="439"/>
      <c r="M28" s="439"/>
      <c r="N28" s="439"/>
      <c r="O28" s="439"/>
      <c r="U28" s="396"/>
    </row>
    <row r="29" spans="2:21" x14ac:dyDescent="0.25">
      <c r="B29" s="37" t="s">
        <v>266</v>
      </c>
      <c r="D29" s="9"/>
      <c r="E29" s="395"/>
      <c r="F29" s="394"/>
      <c r="G29" s="39" t="s">
        <v>16</v>
      </c>
      <c r="H29" s="10"/>
      <c r="J29" s="27"/>
      <c r="K29" s="439"/>
      <c r="L29" s="439"/>
      <c r="M29" s="418" t="s">
        <v>267</v>
      </c>
      <c r="N29" s="418"/>
      <c r="O29" s="439"/>
      <c r="P29" s="439"/>
    </row>
    <row r="30" spans="2:21" x14ac:dyDescent="0.25">
      <c r="B30" s="37" t="s">
        <v>268</v>
      </c>
      <c r="D30" s="8"/>
      <c r="G30" s="39" t="s">
        <v>18</v>
      </c>
      <c r="H30" s="10"/>
      <c r="J30" s="27"/>
      <c r="K30" s="439"/>
      <c r="L30" s="439"/>
      <c r="M30" s="418" t="s">
        <v>269</v>
      </c>
      <c r="N30" s="431">
        <v>250</v>
      </c>
      <c r="O30" s="439"/>
      <c r="P30" s="439"/>
    </row>
    <row r="31" spans="2:21" x14ac:dyDescent="0.25">
      <c r="B31" s="37" t="s">
        <v>45</v>
      </c>
      <c r="D31" s="11"/>
      <c r="E31" s="41" t="s">
        <v>128</v>
      </c>
      <c r="G31" s="39" t="s">
        <v>21</v>
      </c>
      <c r="H31" s="12"/>
      <c r="J31" s="27"/>
      <c r="K31" s="439"/>
      <c r="L31" s="439"/>
      <c r="M31" s="418" t="s">
        <v>270</v>
      </c>
      <c r="N31" s="432" t="str">
        <f>Tabela4[[#Headers],[30/11/2023]]</f>
        <v>30/11/2023</v>
      </c>
      <c r="O31" s="439"/>
      <c r="P31" s="439"/>
    </row>
    <row r="32" spans="2:21" x14ac:dyDescent="0.25">
      <c r="B32" s="37" t="s">
        <v>23</v>
      </c>
      <c r="D32" s="13"/>
      <c r="E32" s="42"/>
      <c r="G32" s="43" t="str">
        <f>IF('[1]INPUT DADOS'!B4="n","(**)"," ")</f>
        <v xml:space="preserve"> </v>
      </c>
      <c r="H32" s="44"/>
      <c r="J32" s="27"/>
      <c r="K32" s="439"/>
      <c r="L32" s="439"/>
      <c r="M32" s="418" t="s">
        <v>271</v>
      </c>
      <c r="N32" s="461">
        <f>D29</f>
        <v>0</v>
      </c>
      <c r="O32" s="439"/>
      <c r="P32" s="439"/>
    </row>
    <row r="33" spans="2:18" x14ac:dyDescent="0.25">
      <c r="B33" s="37" t="s">
        <v>24</v>
      </c>
      <c r="D33" s="433" t="str">
        <f>'PEDIDO VIA CLIENTE'!D36</f>
        <v>VICTOR</v>
      </c>
      <c r="E33" s="42"/>
      <c r="G33" s="39"/>
      <c r="H33" s="434" t="str">
        <f>IF(AND($B$37&lt;&gt;"",$E$37&lt;&gt;"",$D$29=""),"ADICIONE VENCIMENTO","")</f>
        <v/>
      </c>
      <c r="J33" s="27"/>
      <c r="K33" s="439"/>
      <c r="L33" s="439"/>
      <c r="M33" s="418" t="s">
        <v>272</v>
      </c>
      <c r="N33" s="435">
        <v>1.2E-2</v>
      </c>
      <c r="O33" s="439"/>
      <c r="P33" s="439"/>
    </row>
    <row r="34" spans="2:18" ht="16.5" thickBot="1" x14ac:dyDescent="0.3">
      <c r="B34" s="33"/>
      <c r="C34" s="17"/>
      <c r="D34" s="17"/>
      <c r="E34" s="17"/>
      <c r="F34" s="17"/>
      <c r="G34" s="17" t="str">
        <f ca="1">IF(AND(D29&lt;&gt;"",D29&lt;TODAY()),"DATA INVÁLIDA","")</f>
        <v/>
      </c>
      <c r="H34" s="17"/>
      <c r="I34" s="17"/>
      <c r="J34" s="34"/>
      <c r="K34" s="439"/>
      <c r="L34" s="439"/>
      <c r="M34" s="418" t="s">
        <v>273</v>
      </c>
      <c r="N34" s="418">
        <f>POWER(1+N33,_xlfn.DAYS(N32,N31)/30)</f>
        <v>1.5287394371740807E-8</v>
      </c>
      <c r="O34" s="439"/>
      <c r="P34" s="439"/>
      <c r="Q34" s="439"/>
      <c r="R34" s="439"/>
    </row>
    <row r="35" spans="2:18" ht="16.5" thickBot="1" x14ac:dyDescent="0.3">
      <c r="K35" s="439"/>
      <c r="L35" s="439"/>
      <c r="M35" s="418" t="s">
        <v>274</v>
      </c>
      <c r="N35" s="436">
        <f>N34*N30</f>
        <v>3.8218485929352019E-6</v>
      </c>
      <c r="O35" s="439"/>
      <c r="P35" s="439"/>
      <c r="Q35" s="439"/>
      <c r="R35" s="439"/>
    </row>
    <row r="36" spans="2:18" x14ac:dyDescent="0.25">
      <c r="B36" s="440" t="s">
        <v>25</v>
      </c>
      <c r="C36" s="880" t="s">
        <v>26</v>
      </c>
      <c r="D36" s="881"/>
      <c r="E36" s="669" t="s">
        <v>27</v>
      </c>
      <c r="F36" s="669"/>
      <c r="G36" s="669"/>
      <c r="H36" s="669"/>
      <c r="I36" s="45" t="s">
        <v>28</v>
      </c>
      <c r="J36" s="46" t="s">
        <v>46</v>
      </c>
      <c r="K36" s="439"/>
      <c r="L36" s="439"/>
      <c r="M36" s="439"/>
      <c r="N36" s="439"/>
      <c r="O36" s="439"/>
      <c r="P36" s="439"/>
      <c r="Q36" s="439"/>
      <c r="R36" s="439"/>
    </row>
    <row r="37" spans="2:18" x14ac:dyDescent="0.25">
      <c r="B37" s="417"/>
      <c r="C37" s="879" t="str">
        <f>IFERROR(INDEX(Tabela4[[NOME]:[30/11/2023]],MATCH('PEDIDO LALLEMAND'!E37,Tabela4[NOME],0),2),"")</f>
        <v/>
      </c>
      <c r="D37" s="879"/>
      <c r="E37" s="878"/>
      <c r="F37" s="878"/>
      <c r="G37" s="878"/>
      <c r="H37" s="878"/>
      <c r="I37" s="437">
        <f>ROUND(IFERROR(INDEX(Tabela4[[NOME]:[30/11/2023]],MATCH('PEDIDO LALLEMAND'!E37,Tabela4[NOME],0),3),0)*$N$34,0)</f>
        <v>0</v>
      </c>
      <c r="J37" s="438">
        <f t="shared" ref="J37:J44" si="0">IFERROR(I37*B37,0)</f>
        <v>0</v>
      </c>
      <c r="K37" s="439"/>
      <c r="L37" s="439"/>
      <c r="M37" s="439"/>
      <c r="N37" s="439"/>
      <c r="O37" s="439"/>
      <c r="P37" s="439"/>
      <c r="Q37" s="439"/>
      <c r="R37" s="439"/>
    </row>
    <row r="38" spans="2:18" x14ac:dyDescent="0.25">
      <c r="B38" s="417"/>
      <c r="C38" s="879" t="str">
        <f>IFERROR(INDEX(Tabela4[[NOME]:[30/11/2023]],MATCH('PEDIDO LALLEMAND'!E38,Tabela4[NOME],0),2),"")</f>
        <v/>
      </c>
      <c r="D38" s="879"/>
      <c r="E38" s="878"/>
      <c r="F38" s="878"/>
      <c r="G38" s="878"/>
      <c r="H38" s="878"/>
      <c r="I38" s="437">
        <f>ROUND(IFERROR(INDEX(Tabela4[[NOME]:[30/11/2023]],MATCH('PEDIDO LALLEMAND'!E38,Tabela4[NOME],0),3),0)*$N$34,0)</f>
        <v>0</v>
      </c>
      <c r="J38" s="438">
        <f t="shared" si="0"/>
        <v>0</v>
      </c>
      <c r="K38" s="439"/>
      <c r="L38" s="439"/>
      <c r="M38" s="439"/>
      <c r="N38" s="439"/>
      <c r="O38" s="439"/>
      <c r="P38" s="439"/>
      <c r="Q38" s="439"/>
      <c r="R38" s="439"/>
    </row>
    <row r="39" spans="2:18" x14ac:dyDescent="0.25">
      <c r="B39" s="417"/>
      <c r="C39" s="879" t="str">
        <f>IFERROR(INDEX(Tabela4[[NOME]:[30/11/2023]],MATCH('PEDIDO LALLEMAND'!E39,Tabela4[NOME],0),2),"")</f>
        <v/>
      </c>
      <c r="D39" s="879"/>
      <c r="E39" s="878"/>
      <c r="F39" s="878"/>
      <c r="G39" s="878"/>
      <c r="H39" s="878"/>
      <c r="I39" s="437">
        <f>ROUND(IFERROR(INDEX(Tabela4[[NOME]:[30/11/2023]],MATCH('PEDIDO LALLEMAND'!E39,Tabela4[NOME],0),3),0)*$N$34,0)</f>
        <v>0</v>
      </c>
      <c r="J39" s="438">
        <f t="shared" si="0"/>
        <v>0</v>
      </c>
      <c r="L39" s="439"/>
      <c r="M39" s="439"/>
      <c r="N39" s="439"/>
      <c r="O39" s="439"/>
      <c r="P39" s="439"/>
      <c r="Q39" s="439"/>
      <c r="R39" s="439"/>
    </row>
    <row r="40" spans="2:18" x14ac:dyDescent="0.25">
      <c r="B40" s="417"/>
      <c r="C40" s="879" t="str">
        <f>IFERROR(INDEX(Tabela4[[NOME]:[30/11/2023]],MATCH('PEDIDO LALLEMAND'!E40,Tabela4[NOME],0),2),"")</f>
        <v/>
      </c>
      <c r="D40" s="879"/>
      <c r="E40" s="878"/>
      <c r="F40" s="878"/>
      <c r="G40" s="878"/>
      <c r="H40" s="878"/>
      <c r="I40" s="437">
        <f>ROUND(IFERROR(INDEX(Tabela4[[NOME]:[30/11/2023]],MATCH('PEDIDO LALLEMAND'!E40,Tabela4[NOME],0),3),0)*$N$34,0)</f>
        <v>0</v>
      </c>
      <c r="J40" s="438">
        <f t="shared" si="0"/>
        <v>0</v>
      </c>
      <c r="L40" s="439"/>
      <c r="M40" s="439"/>
      <c r="N40" s="439"/>
      <c r="O40" s="439"/>
      <c r="P40" s="439"/>
      <c r="Q40" s="439"/>
      <c r="R40" s="439"/>
    </row>
    <row r="41" spans="2:18" x14ac:dyDescent="0.25">
      <c r="B41" s="417"/>
      <c r="C41" s="879" t="str">
        <f>IFERROR(INDEX(Tabela4[[NOME]:[30/11/2023]],MATCH('PEDIDO LALLEMAND'!E41,Tabela4[NOME],0),2),"")</f>
        <v/>
      </c>
      <c r="D41" s="879"/>
      <c r="E41" s="885"/>
      <c r="F41" s="878"/>
      <c r="G41" s="878"/>
      <c r="H41" s="878"/>
      <c r="I41" s="437">
        <f>ROUND(IFERROR(INDEX(Tabela4[[NOME]:[30/11/2023]],MATCH('PEDIDO LALLEMAND'!E41,Tabela4[NOME],0),3),0)*$N$34,0)</f>
        <v>0</v>
      </c>
      <c r="J41" s="438">
        <f t="shared" si="0"/>
        <v>0</v>
      </c>
      <c r="L41" s="439"/>
      <c r="M41" s="439"/>
      <c r="N41" s="439"/>
      <c r="O41" s="439"/>
      <c r="P41" s="439"/>
      <c r="Q41" s="439"/>
      <c r="R41" s="439"/>
    </row>
    <row r="42" spans="2:18" x14ac:dyDescent="0.25">
      <c r="B42" s="417"/>
      <c r="C42" s="879" t="str">
        <f>IFERROR(INDEX(Tabela4[[NOME]:[30/11/2023]],MATCH('PEDIDO LALLEMAND'!E42,Tabela4[NOME],0),2),"")</f>
        <v/>
      </c>
      <c r="D42" s="879"/>
      <c r="E42" s="882"/>
      <c r="F42" s="882"/>
      <c r="G42" s="882"/>
      <c r="H42" s="882"/>
      <c r="I42" s="437">
        <f>ROUND(IFERROR(INDEX(Tabela4[[NOME]:[30/11/2023]],MATCH('PEDIDO LALLEMAND'!E42,Tabela4[NOME],0),3),0)*$N$34,0)</f>
        <v>0</v>
      </c>
      <c r="J42" s="438">
        <f t="shared" si="0"/>
        <v>0</v>
      </c>
      <c r="L42" s="439"/>
      <c r="M42" s="439"/>
      <c r="N42" s="439"/>
      <c r="O42" s="439"/>
      <c r="P42" s="439"/>
      <c r="Q42" s="439"/>
      <c r="R42" s="439"/>
    </row>
    <row r="43" spans="2:18" x14ac:dyDescent="0.25">
      <c r="B43" s="417"/>
      <c r="C43" s="879" t="str">
        <f>IFERROR(INDEX(Tabela4[[NOME]:[30/11/2023]],MATCH('PEDIDO LALLEMAND'!E43,Tabela4[NOME],0),2),"")</f>
        <v/>
      </c>
      <c r="D43" s="879"/>
      <c r="E43" s="882"/>
      <c r="F43" s="882"/>
      <c r="G43" s="882"/>
      <c r="H43" s="882"/>
      <c r="I43" s="437">
        <f>ROUND(IFERROR(INDEX(Tabela4[[NOME]:[30/11/2023]],MATCH('PEDIDO LALLEMAND'!E43,Tabela4[NOME],0),3),0)*$N$34,0)</f>
        <v>0</v>
      </c>
      <c r="J43" s="438">
        <f t="shared" si="0"/>
        <v>0</v>
      </c>
      <c r="L43" s="439"/>
      <c r="M43" s="439"/>
      <c r="N43" s="439"/>
      <c r="O43" s="439"/>
      <c r="P43" s="439"/>
      <c r="Q43" s="439"/>
      <c r="R43" s="439"/>
    </row>
    <row r="44" spans="2:18" x14ac:dyDescent="0.25">
      <c r="B44" s="417"/>
      <c r="C44" s="879" t="str">
        <f>IFERROR(INDEX(Tabela4[[NOME]:[30/11/2023]],MATCH('PEDIDO LALLEMAND'!E44,Tabela4[NOME],0),2),"")</f>
        <v/>
      </c>
      <c r="D44" s="879"/>
      <c r="E44" s="882"/>
      <c r="F44" s="882"/>
      <c r="G44" s="882"/>
      <c r="H44" s="882"/>
      <c r="I44" s="437">
        <f>ROUND(IFERROR(INDEX(Tabela4[[NOME]:[30/11/2023]],MATCH('PEDIDO LALLEMAND'!E44,Tabela4[NOME],0),3),0)*$N$34,0)</f>
        <v>0</v>
      </c>
      <c r="J44" s="438">
        <f t="shared" si="0"/>
        <v>0</v>
      </c>
      <c r="L44" s="439"/>
      <c r="M44" s="439"/>
      <c r="N44" s="439"/>
      <c r="O44" s="439"/>
      <c r="P44" s="439"/>
      <c r="Q44" s="439"/>
      <c r="R44" s="439"/>
    </row>
    <row r="45" spans="2:18" ht="16.5" thickBot="1" x14ac:dyDescent="0.3">
      <c r="B45" s="457"/>
      <c r="C45" s="887"/>
      <c r="D45" s="887"/>
      <c r="E45" s="886"/>
      <c r="F45" s="886"/>
      <c r="G45" s="886"/>
      <c r="H45" s="886"/>
      <c r="I45" s="458"/>
      <c r="J45" s="459">
        <f>IFERROR(I45*B45,0)</f>
        <v>0</v>
      </c>
      <c r="L45" s="439"/>
      <c r="M45" s="439"/>
      <c r="N45" s="439"/>
      <c r="O45" s="439"/>
      <c r="P45" s="439"/>
      <c r="Q45" s="439"/>
      <c r="R45" s="439"/>
    </row>
    <row r="46" spans="2:18" ht="16.5" thickBot="1" x14ac:dyDescent="0.3">
      <c r="B46" s="442">
        <f>SUMIF(I37:I45,"&gt;0",B37:B45)</f>
        <v>0</v>
      </c>
      <c r="C46" s="441"/>
      <c r="E46" s="647" t="s">
        <v>31</v>
      </c>
      <c r="F46" s="647"/>
      <c r="G46" s="647"/>
      <c r="H46" s="647"/>
      <c r="I46" s="883">
        <f>SUM(J37:J45)</f>
        <v>0</v>
      </c>
      <c r="J46" s="884"/>
      <c r="L46" s="439"/>
      <c r="M46" s="439"/>
      <c r="N46" s="439"/>
      <c r="O46" s="439"/>
      <c r="P46" s="439"/>
      <c r="Q46" s="439"/>
      <c r="R46" s="439"/>
    </row>
    <row r="47" spans="2:18" x14ac:dyDescent="0.25">
      <c r="B47" s="629"/>
      <c r="C47" s="629"/>
      <c r="D47" s="32"/>
      <c r="E47" s="630"/>
      <c r="F47" s="630"/>
      <c r="G47" s="630"/>
      <c r="H47" s="630"/>
    </row>
    <row r="48" spans="2:18" x14ac:dyDescent="0.25">
      <c r="B48" s="51"/>
      <c r="C48" s="51"/>
      <c r="E48" s="52"/>
      <c r="F48" s="52"/>
      <c r="G48" s="52"/>
      <c r="H48" s="52"/>
    </row>
    <row r="49" spans="2:10" x14ac:dyDescent="0.25">
      <c r="B49" s="623"/>
      <c r="C49" s="624"/>
      <c r="D49" s="624"/>
      <c r="E49" s="624"/>
      <c r="F49" s="624"/>
      <c r="G49" s="624"/>
      <c r="H49" s="624"/>
      <c r="I49" s="624"/>
      <c r="J49" s="625"/>
    </row>
    <row r="50" spans="2:10" x14ac:dyDescent="0.25">
      <c r="B50" s="626"/>
      <c r="C50" s="627"/>
      <c r="D50" s="627"/>
      <c r="E50" s="627"/>
      <c r="F50" s="627"/>
      <c r="G50" s="627"/>
      <c r="H50" s="627"/>
      <c r="I50" s="627"/>
      <c r="J50" s="628"/>
    </row>
    <row r="51" spans="2:10" x14ac:dyDescent="0.25">
      <c r="B51" s="626"/>
      <c r="C51" s="627"/>
      <c r="D51" s="627"/>
      <c r="E51" s="627"/>
      <c r="F51" s="627"/>
      <c r="G51" s="627"/>
      <c r="H51" s="627"/>
      <c r="I51" s="627"/>
      <c r="J51" s="628"/>
    </row>
    <row r="52" spans="2:10" x14ac:dyDescent="0.25">
      <c r="B52" s="626"/>
      <c r="C52" s="627"/>
      <c r="D52" s="627"/>
      <c r="E52" s="627"/>
      <c r="F52" s="627"/>
      <c r="G52" s="627"/>
      <c r="H52" s="627"/>
      <c r="I52" s="627"/>
      <c r="J52" s="628"/>
    </row>
    <row r="53" spans="2:10" x14ac:dyDescent="0.25">
      <c r="B53" s="344" t="s">
        <v>196</v>
      </c>
      <c r="C53" s="54"/>
      <c r="D53" s="54"/>
      <c r="E53" s="54"/>
      <c r="F53" s="54"/>
      <c r="G53" s="54"/>
      <c r="H53" s="54"/>
      <c r="I53" s="54"/>
      <c r="J53" s="54"/>
    </row>
    <row r="55" spans="2:10" x14ac:dyDescent="0.25">
      <c r="B55" s="55" t="s">
        <v>32</v>
      </c>
      <c r="G55" s="55" t="s">
        <v>33</v>
      </c>
    </row>
    <row r="56" spans="2:10" x14ac:dyDescent="0.25">
      <c r="B56" s="55" t="s">
        <v>34</v>
      </c>
      <c r="G56" s="16">
        <f>E13</f>
        <v>0</v>
      </c>
    </row>
  </sheetData>
  <sheetProtection algorithmName="SHA-512" hashValue="9UR2Zf2Xo2+ANGXbzTwWtH+c1Ds7CNT/3G2P1pC1pom5eZ8q5kQMPmYDfQ0bcnejT/Uzt3Iaohj1ds4LTwxUNw==" saltValue="JkPHtxw8Em+T0yccYxU1QQ==" spinCount="100000" sheet="1" selectLockedCells="1"/>
  <mergeCells count="43">
    <mergeCell ref="E13:I13"/>
    <mergeCell ref="E14:I14"/>
    <mergeCell ref="E15:I15"/>
    <mergeCell ref="E16:I16"/>
    <mergeCell ref="E17:G17"/>
    <mergeCell ref="B7:J7"/>
    <mergeCell ref="B8:D8"/>
    <mergeCell ref="E8:G8"/>
    <mergeCell ref="H8:J8"/>
    <mergeCell ref="B9:E9"/>
    <mergeCell ref="G9:J9"/>
    <mergeCell ref="E36:H36"/>
    <mergeCell ref="E37:H37"/>
    <mergeCell ref="E18:I18"/>
    <mergeCell ref="E19:I19"/>
    <mergeCell ref="E24:I24"/>
    <mergeCell ref="E25:I25"/>
    <mergeCell ref="B52:J52"/>
    <mergeCell ref="E39:H39"/>
    <mergeCell ref="E40:H40"/>
    <mergeCell ref="E44:H44"/>
    <mergeCell ref="I46:J46"/>
    <mergeCell ref="B47:C47"/>
    <mergeCell ref="E47:H47"/>
    <mergeCell ref="B49:J49"/>
    <mergeCell ref="B50:J50"/>
    <mergeCell ref="B51:J51"/>
    <mergeCell ref="E46:H46"/>
    <mergeCell ref="E41:H41"/>
    <mergeCell ref="E42:H42"/>
    <mergeCell ref="E43:H43"/>
    <mergeCell ref="E45:H45"/>
    <mergeCell ref="C45:D45"/>
    <mergeCell ref="C36:D36"/>
    <mergeCell ref="C37:D37"/>
    <mergeCell ref="C38:D38"/>
    <mergeCell ref="C39:D39"/>
    <mergeCell ref="C40:D40"/>
    <mergeCell ref="E38:H38"/>
    <mergeCell ref="C41:D41"/>
    <mergeCell ref="C42:D42"/>
    <mergeCell ref="C43:D43"/>
    <mergeCell ref="C44:D44"/>
  </mergeCells>
  <conditionalFormatting sqref="D29">
    <cfRule type="expression" dxfId="3" priority="2">
      <formula>AND($B$37&lt;&gt;"",$E$37&lt;&gt;"",$D$29="")</formula>
    </cfRule>
  </conditionalFormatting>
  <conditionalFormatting sqref="G34">
    <cfRule type="expression" dxfId="2" priority="1">
      <formula>$G$34&lt;&gt;""</formula>
    </cfRule>
  </conditionalFormatting>
  <dataValidations count="4">
    <dataValidation type="whole" allowBlank="1" showInputMessage="1" showErrorMessage="1" sqref="B37:B44" xr:uid="{FD1FFF9E-EB60-4EBC-957E-84F11476C837}">
      <formula1>1</formula1>
      <formula2>1000</formula2>
    </dataValidation>
    <dataValidation type="date" allowBlank="1" showInputMessage="1" showErrorMessage="1" errorTitle="Data Inválida!" promptTitle="DD/MM/AA" prompt="Data limite de venda: 30/Out/23" sqref="D29" xr:uid="{646B297F-E59C-404A-A309-C6624DDDC4F5}">
      <formula1>44927</formula1>
      <formula2>47572</formula2>
    </dataValidation>
    <dataValidation allowBlank="1" showInputMessage="1" showErrorMessage="1" prompt="Selecione na lista suspensa." sqref="E45:H45" xr:uid="{C406194C-9E6C-4C10-A607-91D53217891E}"/>
    <dataValidation type="whole" allowBlank="1" showInputMessage="1" showErrorMessage="1" sqref="B45" xr:uid="{D9291DB5-5E0F-470F-880E-787034D17F30}">
      <formula1>1</formula1>
      <formula2>100000000</formula2>
    </dataValidation>
  </dataValidations>
  <printOptions horizontalCentered="1"/>
  <pageMargins left="0.51181102362204722" right="0.51181102362204722" top="0.6692913385826772" bottom="0.78740157480314965" header="0.31496062992125984" footer="0.31496062992125984"/>
  <pageSetup paperSize="9" scale="8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Selecione na lista suspensa." xr:uid="{6B970658-9524-42A4-9E82-7E942FF9196F}">
          <x14:formula1>
            <xm:f>LALLEMAND!$C$2:$C$15</xm:f>
          </x14:formula1>
          <xm:sqref>E37:H44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07B686-644A-47E2-890C-CF45A3699B17}">
  <sheetPr codeName="Planilha6"/>
  <dimension ref="A1:K48"/>
  <sheetViews>
    <sheetView showGridLines="0" zoomScale="95" zoomScaleNormal="95" workbookViewId="0">
      <selection activeCell="B3" activeCellId="1" sqref="B4:B14 B3"/>
    </sheetView>
  </sheetViews>
  <sheetFormatPr defaultColWidth="9.140625" defaultRowHeight="15" x14ac:dyDescent="0.25"/>
  <cols>
    <col min="1" max="1" width="54.140625" style="479" bestFit="1" customWidth="1"/>
    <col min="2" max="2" width="18.28515625" style="69" bestFit="1" customWidth="1"/>
    <col min="3" max="3" width="14.28515625" style="69" bestFit="1" customWidth="1"/>
    <col min="4" max="7" width="9.140625" style="69"/>
    <col min="8" max="8" width="10.5703125" style="69" bestFit="1" customWidth="1"/>
    <col min="9" max="16384" width="9.140625" style="69"/>
  </cols>
  <sheetData>
    <row r="1" spans="1:8" ht="18.75" x14ac:dyDescent="0.3">
      <c r="A1" s="889" t="s">
        <v>303</v>
      </c>
      <c r="B1" s="889"/>
      <c r="C1" s="889"/>
      <c r="D1" s="889"/>
      <c r="E1" s="889"/>
      <c r="F1" s="889"/>
      <c r="G1" s="889"/>
      <c r="H1" s="889"/>
    </row>
    <row r="2" spans="1:8" ht="15.75" thickBot="1" x14ac:dyDescent="0.3"/>
    <row r="3" spans="1:8" s="482" customFormat="1" ht="17.25" x14ac:dyDescent="0.3">
      <c r="A3" s="480" t="s">
        <v>304</v>
      </c>
      <c r="B3" s="526"/>
      <c r="C3" s="481" t="str">
        <f>IF(B3&gt;0,ROUND(B3/2.42,1)&amp;" Alq","")</f>
        <v/>
      </c>
    </row>
    <row r="4" spans="1:8" s="482" customFormat="1" ht="17.25" x14ac:dyDescent="0.3">
      <c r="A4" s="483" t="s">
        <v>305</v>
      </c>
      <c r="B4" s="495"/>
    </row>
    <row r="5" spans="1:8" s="482" customFormat="1" ht="17.25" x14ac:dyDescent="0.3">
      <c r="A5" s="483" t="s">
        <v>306</v>
      </c>
      <c r="B5" s="496"/>
    </row>
    <row r="6" spans="1:8" s="482" customFormat="1" ht="17.25" x14ac:dyDescent="0.3">
      <c r="A6" s="483" t="s">
        <v>307</v>
      </c>
      <c r="B6" s="496"/>
    </row>
    <row r="7" spans="1:8" s="482" customFormat="1" ht="17.25" x14ac:dyDescent="0.3">
      <c r="A7" s="483" t="s">
        <v>308</v>
      </c>
      <c r="B7" s="495"/>
    </row>
    <row r="8" spans="1:8" s="482" customFormat="1" ht="17.25" x14ac:dyDescent="0.3">
      <c r="A8" s="483" t="s">
        <v>309</v>
      </c>
      <c r="B8" s="497"/>
    </row>
    <row r="9" spans="1:8" s="482" customFormat="1" ht="17.25" x14ac:dyDescent="0.3">
      <c r="A9" s="483" t="s">
        <v>353</v>
      </c>
      <c r="B9" s="534"/>
    </row>
    <row r="10" spans="1:8" s="482" customFormat="1" ht="17.25" x14ac:dyDescent="0.3">
      <c r="A10" s="483" t="s">
        <v>350</v>
      </c>
      <c r="B10" s="534"/>
    </row>
    <row r="11" spans="1:8" s="482" customFormat="1" ht="17.25" x14ac:dyDescent="0.3">
      <c r="A11" s="483" t="s">
        <v>329</v>
      </c>
      <c r="B11" s="534"/>
    </row>
    <row r="12" spans="1:8" s="482" customFormat="1" ht="17.25" x14ac:dyDescent="0.3">
      <c r="A12" s="499" t="s">
        <v>341</v>
      </c>
      <c r="B12" s="518"/>
    </row>
    <row r="13" spans="1:8" s="482" customFormat="1" ht="17.25" x14ac:dyDescent="0.3">
      <c r="A13" s="499" t="s">
        <v>346</v>
      </c>
      <c r="B13" s="535"/>
    </row>
    <row r="14" spans="1:8" s="482" customFormat="1" ht="18" thickBot="1" x14ac:dyDescent="0.35">
      <c r="A14" s="484" t="s">
        <v>333</v>
      </c>
      <c r="B14" s="498"/>
      <c r="F14" s="890"/>
      <c r="G14" s="890"/>
    </row>
    <row r="15" spans="1:8" s="482" customFormat="1" ht="17.25" hidden="1" x14ac:dyDescent="0.3">
      <c r="A15" s="481" t="s">
        <v>351</v>
      </c>
      <c r="B15" s="485">
        <f>B8*'BANCO DE DADOS'!B12</f>
        <v>0</v>
      </c>
      <c r="C15" s="485" t="e">
        <f>B15/B3*2.42</f>
        <v>#DIV/0!</v>
      </c>
      <c r="D15" s="482" t="s">
        <v>357</v>
      </c>
    </row>
    <row r="16" spans="1:8" s="482" customFormat="1" ht="17.25" hidden="1" x14ac:dyDescent="0.3">
      <c r="A16" s="481" t="s">
        <v>352</v>
      </c>
      <c r="B16" s="485">
        <f>IF(B10="n",(B8*'BANCO DE DADOS'!B12)+0.05*B21*B3/2.42+0.1*B17+0.1*B20,0)</f>
        <v>0</v>
      </c>
      <c r="C16" s="485" t="e">
        <f>B16/B3*2.42</f>
        <v>#DIV/0!</v>
      </c>
      <c r="D16" s="482" t="s">
        <v>357</v>
      </c>
    </row>
    <row r="17" spans="1:3" s="482" customFormat="1" ht="17.25" hidden="1" x14ac:dyDescent="0.3">
      <c r="A17" s="481" t="s">
        <v>310</v>
      </c>
      <c r="B17" s="485">
        <f>B4*'BANCO DE DADOS'!B30</f>
        <v>0</v>
      </c>
    </row>
    <row r="18" spans="1:3" s="482" customFormat="1" ht="17.25" hidden="1" x14ac:dyDescent="0.3">
      <c r="A18" s="481" t="s">
        <v>317</v>
      </c>
      <c r="B18" s="485">
        <f>B5*'BANCO DE DADOS'!B31</f>
        <v>0</v>
      </c>
    </row>
    <row r="19" spans="1:3" s="482" customFormat="1" ht="17.25" hidden="1" x14ac:dyDescent="0.3">
      <c r="A19" s="481" t="s">
        <v>318</v>
      </c>
      <c r="B19" s="485">
        <f>B6*'BANCO DE DADOS'!B32</f>
        <v>0</v>
      </c>
    </row>
    <row r="20" spans="1:3" s="482" customFormat="1" ht="17.25" hidden="1" x14ac:dyDescent="0.3">
      <c r="A20" s="481" t="s">
        <v>319</v>
      </c>
      <c r="B20" s="485">
        <f>B7*'BANCO DE DADOS'!B33</f>
        <v>0</v>
      </c>
    </row>
    <row r="21" spans="1:3" s="482" customFormat="1" ht="17.25" hidden="1" x14ac:dyDescent="0.3">
      <c r="A21" s="481" t="s">
        <v>320</v>
      </c>
      <c r="B21" s="485">
        <f>'BANCO DE DADOS'!B34</f>
        <v>240</v>
      </c>
    </row>
    <row r="22" spans="1:3" s="482" customFormat="1" ht="17.25" hidden="1" x14ac:dyDescent="0.3">
      <c r="A22" s="481" t="s">
        <v>322</v>
      </c>
      <c r="B22" s="485">
        <f>(B21*B3/2.42)+B20+B19+B18+B17+B15</f>
        <v>0</v>
      </c>
    </row>
    <row r="23" spans="1:3" s="482" customFormat="1" ht="17.25" hidden="1" x14ac:dyDescent="0.3">
      <c r="A23" s="481" t="s">
        <v>321</v>
      </c>
      <c r="B23" s="485" t="e">
        <f>B22/B3*2.42</f>
        <v>#DIV/0!</v>
      </c>
    </row>
    <row r="24" spans="1:3" s="482" customFormat="1" ht="17.25" hidden="1" x14ac:dyDescent="0.3">
      <c r="A24" s="481" t="s">
        <v>325</v>
      </c>
      <c r="B24" s="515" t="e">
        <f>IF(B9="N",IF(B23&lt;'BANCO DE DADOS'!B35,'BANCO DE DADOS'!B35+('INPUT PULVE_DRONE'!B16/'INPUT PULVE_DRONE'!B3*2.42),'INPUT PULVE_DRONE'!B23+('INPUT PULVE_DRONE'!B16/'INPUT PULVE_DRONE'!B3*2.42)),'BANCO DE DADOS'!B36+('INPUT PULVE_DRONE'!B15/'INPUT PULVE_DRONE'!B3*2.42))</f>
        <v>#DIV/0!</v>
      </c>
      <c r="C24" s="485"/>
    </row>
    <row r="25" spans="1:3" s="482" customFormat="1" ht="17.25" hidden="1" x14ac:dyDescent="0.3">
      <c r="A25" s="481" t="s">
        <v>340</v>
      </c>
      <c r="B25" s="517">
        <f>IF(AND(B11="S",B12=""),1,IF(B12&lt;='BANCO DE DADOS'!B41,1,IF(AND(B11="s",B12&gt;'BANCO DE DADOS'!B41),0.0055*B12+0.45,1)))</f>
        <v>1</v>
      </c>
    </row>
    <row r="26" spans="1:3" s="482" customFormat="1" ht="17.25" hidden="1" x14ac:dyDescent="0.3">
      <c r="A26" s="481" t="s">
        <v>354</v>
      </c>
      <c r="B26" s="516">
        <f ca="1">IF(B14&gt;EOMONTH(TODAY(),0),POWER(1+('BANCO DE DADOS'!B40/100),(B14-EOMONTH(TODAY(),0))/30),1)</f>
        <v>1</v>
      </c>
    </row>
    <row r="27" spans="1:3" s="482" customFormat="1" ht="17.25" hidden="1" x14ac:dyDescent="0.3">
      <c r="A27" s="481" t="s">
        <v>355</v>
      </c>
      <c r="B27" s="517">
        <f>IF(B11&lt;&gt;"s",1,'BANCO DE DADOS'!B38)</f>
        <v>1</v>
      </c>
    </row>
    <row r="28" spans="1:3" s="482" customFormat="1" ht="17.25" hidden="1" x14ac:dyDescent="0.3">
      <c r="A28" s="481" t="s">
        <v>356</v>
      </c>
      <c r="B28" s="517">
        <f>IF(B13="s",1,0.93)</f>
        <v>0.93</v>
      </c>
    </row>
    <row r="29" spans="1:3" s="482" customFormat="1" ht="18.75" x14ac:dyDescent="0.3">
      <c r="A29" s="486" t="s">
        <v>330</v>
      </c>
      <c r="B29" s="487" t="e">
        <f ca="1">B30*ROUND(B3/2.42,1)</f>
        <v>#DIV/0!</v>
      </c>
      <c r="C29" s="482" t="str">
        <f>IF(B9="s","/aplicação, na área total","")</f>
        <v/>
      </c>
    </row>
    <row r="30" spans="1:3" ht="18.75" x14ac:dyDescent="0.3">
      <c r="A30" s="486" t="s">
        <v>331</v>
      </c>
      <c r="B30" s="487" t="e">
        <f ca="1">B24*B25*B26*B27*B28+IF(B11="s",(C16*0.1),0)</f>
        <v>#DIV/0!</v>
      </c>
      <c r="C30" s="482" t="str">
        <f>IF(B9="s","/aplicação/alq)","")</f>
        <v/>
      </c>
    </row>
    <row r="31" spans="1:3" x14ac:dyDescent="0.25">
      <c r="B31" s="488"/>
    </row>
    <row r="32" spans="1:3" x14ac:dyDescent="0.25">
      <c r="B32" s="488"/>
    </row>
    <row r="33" spans="2:11" x14ac:dyDescent="0.25">
      <c r="B33" s="488"/>
    </row>
    <row r="34" spans="2:11" x14ac:dyDescent="0.25">
      <c r="B34" s="488"/>
    </row>
    <row r="35" spans="2:11" x14ac:dyDescent="0.25">
      <c r="B35" s="488"/>
    </row>
    <row r="48" spans="2:11" x14ac:dyDescent="0.25">
      <c r="K48" s="489" t="s">
        <v>332</v>
      </c>
    </row>
  </sheetData>
  <sheetProtection algorithmName="SHA-512" hashValue="PR1t4Ls3/99hIMFY6CDyhl/WeUeVn/dPQo8Y1pn7WbXQxhzxgmJwKZ3LDEMe9e3z0ODCiZBHRuHMHOcv+m92Ww==" saltValue="dsVJWtaYSu6IvZkOSk0qSw==" spinCount="100000" sheet="1" objects="1" scenarios="1" selectLockedCells="1"/>
  <mergeCells count="2">
    <mergeCell ref="A1:H1"/>
    <mergeCell ref="F14:G14"/>
  </mergeCells>
  <conditionalFormatting sqref="B29:B30">
    <cfRule type="expression" dxfId="1" priority="5">
      <formula>OR($B$3="",$B$4="",$B$5="",$B$6="",$B$7="",$B$8="",$B$9="",$B$10="",$B$11="",$B$14&lt;TODAY(),$B$14="")</formula>
    </cfRule>
  </conditionalFormatting>
  <conditionalFormatting sqref="B12">
    <cfRule type="expression" dxfId="0" priority="1">
      <formula>$B$11="s"</formula>
    </cfRule>
  </conditionalFormatting>
  <dataValidations count="5">
    <dataValidation type="whole" allowBlank="1" showInputMessage="1" showErrorMessage="1" sqref="B4" xr:uid="{6D624FB2-BBA9-482A-A19D-35CD724078AF}">
      <formula1>0</formula1>
      <formula2>100</formula2>
    </dataValidation>
    <dataValidation type="whole" allowBlank="1" showInputMessage="1" showErrorMessage="1" sqref="B7" xr:uid="{BDBCE943-E112-47A8-B2AA-DBE533C4452D}">
      <formula1>1</formula1>
      <formula2>500</formula2>
    </dataValidation>
    <dataValidation type="list" allowBlank="1" showInputMessage="1" showErrorMessage="1" sqref="B9:B10" xr:uid="{80222C10-0EBC-439E-A796-78CA781CF17F}">
      <formula1>"s,n,S,N"</formula1>
    </dataValidation>
    <dataValidation type="list" allowBlank="1" showInputMessage="1" showErrorMessage="1" sqref="B11" xr:uid="{B7E4C42F-5B2C-4C8B-870D-9E3352C06B34}">
      <formula1>"s,l,S,L"</formula1>
    </dataValidation>
    <dataValidation type="list" allowBlank="1" showInputMessage="1" showErrorMessage="1" sqref="B13" xr:uid="{7DFA7852-36F6-4AD6-A96D-2A8AA6450545}">
      <formula1>"S,N,s,n"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date" operator="lessThanOrEqual" allowBlank="1" showInputMessage="1" showErrorMessage="1" errorTitle="Prazo Maximo: 30/08/23" xr:uid="{26A3DA19-05BE-4A4A-980A-500736BC5057}">
          <x14:formula1>
            <xm:f>'BANCO DE DADOS'!B37</xm:f>
          </x14:formula1>
          <xm:sqref>B14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38C92-285F-487E-83C6-4043825698DB}">
  <sheetPr codeName="Plan17"/>
  <dimension ref="B6:U66"/>
  <sheetViews>
    <sheetView showGridLines="0" zoomScale="90" zoomScaleNormal="90" workbookViewId="0">
      <selection activeCell="E13" sqref="E13:I13"/>
    </sheetView>
  </sheetViews>
  <sheetFormatPr defaultColWidth="9.140625" defaultRowHeight="15.75" x14ac:dyDescent="0.25"/>
  <cols>
    <col min="1" max="1" width="9.140625" style="16"/>
    <col min="2" max="2" width="8" style="16" customWidth="1"/>
    <col min="3" max="3" width="6.85546875" style="16" customWidth="1"/>
    <col min="4" max="4" width="14.28515625" style="16" customWidth="1"/>
    <col min="5" max="6" width="11.85546875" style="16" bestFit="1" customWidth="1"/>
    <col min="7" max="7" width="10.28515625" style="16" customWidth="1"/>
    <col min="8" max="8" width="14.85546875" style="16" customWidth="1"/>
    <col min="9" max="9" width="14.42578125" style="16" bestFit="1" customWidth="1"/>
    <col min="10" max="10" width="15.7109375" style="16" bestFit="1" customWidth="1"/>
    <col min="11" max="11" width="9.28515625" style="16" customWidth="1"/>
    <col min="12" max="12" width="9.140625" style="16"/>
    <col min="13" max="13" width="16.140625" style="16" customWidth="1"/>
    <col min="14" max="14" width="16" style="16" customWidth="1"/>
    <col min="15" max="20" width="9.140625" style="16"/>
    <col min="21" max="21" width="11.85546875" style="16" bestFit="1" customWidth="1"/>
    <col min="22" max="257" width="9.140625" style="16"/>
    <col min="258" max="258" width="8" style="16" customWidth="1"/>
    <col min="259" max="259" width="6.85546875" style="16" customWidth="1"/>
    <col min="260" max="260" width="14" style="16" bestFit="1" customWidth="1"/>
    <col min="261" max="262" width="9.140625" style="16"/>
    <col min="263" max="263" width="10.28515625" style="16" customWidth="1"/>
    <col min="264" max="264" width="13" style="16" customWidth="1"/>
    <col min="265" max="265" width="14.42578125" style="16" bestFit="1" customWidth="1"/>
    <col min="266" max="266" width="15.7109375" style="16" bestFit="1" customWidth="1"/>
    <col min="267" max="513" width="9.140625" style="16"/>
    <col min="514" max="514" width="8" style="16" customWidth="1"/>
    <col min="515" max="515" width="6.85546875" style="16" customWidth="1"/>
    <col min="516" max="516" width="14" style="16" bestFit="1" customWidth="1"/>
    <col min="517" max="518" width="9.140625" style="16"/>
    <col min="519" max="519" width="10.28515625" style="16" customWidth="1"/>
    <col min="520" max="520" width="13" style="16" customWidth="1"/>
    <col min="521" max="521" width="14.42578125" style="16" bestFit="1" customWidth="1"/>
    <col min="522" max="522" width="15.7109375" style="16" bestFit="1" customWidth="1"/>
    <col min="523" max="769" width="9.140625" style="16"/>
    <col min="770" max="770" width="8" style="16" customWidth="1"/>
    <col min="771" max="771" width="6.85546875" style="16" customWidth="1"/>
    <col min="772" max="772" width="14" style="16" bestFit="1" customWidth="1"/>
    <col min="773" max="774" width="9.140625" style="16"/>
    <col min="775" max="775" width="10.28515625" style="16" customWidth="1"/>
    <col min="776" max="776" width="13" style="16" customWidth="1"/>
    <col min="777" max="777" width="14.42578125" style="16" bestFit="1" customWidth="1"/>
    <col min="778" max="778" width="15.7109375" style="16" bestFit="1" customWidth="1"/>
    <col min="779" max="1025" width="9.140625" style="16"/>
    <col min="1026" max="1026" width="8" style="16" customWidth="1"/>
    <col min="1027" max="1027" width="6.85546875" style="16" customWidth="1"/>
    <col min="1028" max="1028" width="14" style="16" bestFit="1" customWidth="1"/>
    <col min="1029" max="1030" width="9.140625" style="16"/>
    <col min="1031" max="1031" width="10.28515625" style="16" customWidth="1"/>
    <col min="1032" max="1032" width="13" style="16" customWidth="1"/>
    <col min="1033" max="1033" width="14.42578125" style="16" bestFit="1" customWidth="1"/>
    <col min="1034" max="1034" width="15.7109375" style="16" bestFit="1" customWidth="1"/>
    <col min="1035" max="1281" width="9.140625" style="16"/>
    <col min="1282" max="1282" width="8" style="16" customWidth="1"/>
    <col min="1283" max="1283" width="6.85546875" style="16" customWidth="1"/>
    <col min="1284" max="1284" width="14" style="16" bestFit="1" customWidth="1"/>
    <col min="1285" max="1286" width="9.140625" style="16"/>
    <col min="1287" max="1287" width="10.28515625" style="16" customWidth="1"/>
    <col min="1288" max="1288" width="13" style="16" customWidth="1"/>
    <col min="1289" max="1289" width="14.42578125" style="16" bestFit="1" customWidth="1"/>
    <col min="1290" max="1290" width="15.7109375" style="16" bestFit="1" customWidth="1"/>
    <col min="1291" max="1537" width="9.140625" style="16"/>
    <col min="1538" max="1538" width="8" style="16" customWidth="1"/>
    <col min="1539" max="1539" width="6.85546875" style="16" customWidth="1"/>
    <col min="1540" max="1540" width="14" style="16" bestFit="1" customWidth="1"/>
    <col min="1541" max="1542" width="9.140625" style="16"/>
    <col min="1543" max="1543" width="10.28515625" style="16" customWidth="1"/>
    <col min="1544" max="1544" width="13" style="16" customWidth="1"/>
    <col min="1545" max="1545" width="14.42578125" style="16" bestFit="1" customWidth="1"/>
    <col min="1546" max="1546" width="15.7109375" style="16" bestFit="1" customWidth="1"/>
    <col min="1547" max="1793" width="9.140625" style="16"/>
    <col min="1794" max="1794" width="8" style="16" customWidth="1"/>
    <col min="1795" max="1795" width="6.85546875" style="16" customWidth="1"/>
    <col min="1796" max="1796" width="14" style="16" bestFit="1" customWidth="1"/>
    <col min="1797" max="1798" width="9.140625" style="16"/>
    <col min="1799" max="1799" width="10.28515625" style="16" customWidth="1"/>
    <col min="1800" max="1800" width="13" style="16" customWidth="1"/>
    <col min="1801" max="1801" width="14.42578125" style="16" bestFit="1" customWidth="1"/>
    <col min="1802" max="1802" width="15.7109375" style="16" bestFit="1" customWidth="1"/>
    <col min="1803" max="2049" width="9.140625" style="16"/>
    <col min="2050" max="2050" width="8" style="16" customWidth="1"/>
    <col min="2051" max="2051" width="6.85546875" style="16" customWidth="1"/>
    <col min="2052" max="2052" width="14" style="16" bestFit="1" customWidth="1"/>
    <col min="2053" max="2054" width="9.140625" style="16"/>
    <col min="2055" max="2055" width="10.28515625" style="16" customWidth="1"/>
    <col min="2056" max="2056" width="13" style="16" customWidth="1"/>
    <col min="2057" max="2057" width="14.42578125" style="16" bestFit="1" customWidth="1"/>
    <col min="2058" max="2058" width="15.7109375" style="16" bestFit="1" customWidth="1"/>
    <col min="2059" max="2305" width="9.140625" style="16"/>
    <col min="2306" max="2306" width="8" style="16" customWidth="1"/>
    <col min="2307" max="2307" width="6.85546875" style="16" customWidth="1"/>
    <col min="2308" max="2308" width="14" style="16" bestFit="1" customWidth="1"/>
    <col min="2309" max="2310" width="9.140625" style="16"/>
    <col min="2311" max="2311" width="10.28515625" style="16" customWidth="1"/>
    <col min="2312" max="2312" width="13" style="16" customWidth="1"/>
    <col min="2313" max="2313" width="14.42578125" style="16" bestFit="1" customWidth="1"/>
    <col min="2314" max="2314" width="15.7109375" style="16" bestFit="1" customWidth="1"/>
    <col min="2315" max="2561" width="9.140625" style="16"/>
    <col min="2562" max="2562" width="8" style="16" customWidth="1"/>
    <col min="2563" max="2563" width="6.85546875" style="16" customWidth="1"/>
    <col min="2564" max="2564" width="14" style="16" bestFit="1" customWidth="1"/>
    <col min="2565" max="2566" width="9.140625" style="16"/>
    <col min="2567" max="2567" width="10.28515625" style="16" customWidth="1"/>
    <col min="2568" max="2568" width="13" style="16" customWidth="1"/>
    <col min="2569" max="2569" width="14.42578125" style="16" bestFit="1" customWidth="1"/>
    <col min="2570" max="2570" width="15.7109375" style="16" bestFit="1" customWidth="1"/>
    <col min="2571" max="2817" width="9.140625" style="16"/>
    <col min="2818" max="2818" width="8" style="16" customWidth="1"/>
    <col min="2819" max="2819" width="6.85546875" style="16" customWidth="1"/>
    <col min="2820" max="2820" width="14" style="16" bestFit="1" customWidth="1"/>
    <col min="2821" max="2822" width="9.140625" style="16"/>
    <col min="2823" max="2823" width="10.28515625" style="16" customWidth="1"/>
    <col min="2824" max="2824" width="13" style="16" customWidth="1"/>
    <col min="2825" max="2825" width="14.42578125" style="16" bestFit="1" customWidth="1"/>
    <col min="2826" max="2826" width="15.7109375" style="16" bestFit="1" customWidth="1"/>
    <col min="2827" max="3073" width="9.140625" style="16"/>
    <col min="3074" max="3074" width="8" style="16" customWidth="1"/>
    <col min="3075" max="3075" width="6.85546875" style="16" customWidth="1"/>
    <col min="3076" max="3076" width="14" style="16" bestFit="1" customWidth="1"/>
    <col min="3077" max="3078" width="9.140625" style="16"/>
    <col min="3079" max="3079" width="10.28515625" style="16" customWidth="1"/>
    <col min="3080" max="3080" width="13" style="16" customWidth="1"/>
    <col min="3081" max="3081" width="14.42578125" style="16" bestFit="1" customWidth="1"/>
    <col min="3082" max="3082" width="15.7109375" style="16" bestFit="1" customWidth="1"/>
    <col min="3083" max="3329" width="9.140625" style="16"/>
    <col min="3330" max="3330" width="8" style="16" customWidth="1"/>
    <col min="3331" max="3331" width="6.85546875" style="16" customWidth="1"/>
    <col min="3332" max="3332" width="14" style="16" bestFit="1" customWidth="1"/>
    <col min="3333" max="3334" width="9.140625" style="16"/>
    <col min="3335" max="3335" width="10.28515625" style="16" customWidth="1"/>
    <col min="3336" max="3336" width="13" style="16" customWidth="1"/>
    <col min="3337" max="3337" width="14.42578125" style="16" bestFit="1" customWidth="1"/>
    <col min="3338" max="3338" width="15.7109375" style="16" bestFit="1" customWidth="1"/>
    <col min="3339" max="3585" width="9.140625" style="16"/>
    <col min="3586" max="3586" width="8" style="16" customWidth="1"/>
    <col min="3587" max="3587" width="6.85546875" style="16" customWidth="1"/>
    <col min="3588" max="3588" width="14" style="16" bestFit="1" customWidth="1"/>
    <col min="3589" max="3590" width="9.140625" style="16"/>
    <col min="3591" max="3591" width="10.28515625" style="16" customWidth="1"/>
    <col min="3592" max="3592" width="13" style="16" customWidth="1"/>
    <col min="3593" max="3593" width="14.42578125" style="16" bestFit="1" customWidth="1"/>
    <col min="3594" max="3594" width="15.7109375" style="16" bestFit="1" customWidth="1"/>
    <col min="3595" max="3841" width="9.140625" style="16"/>
    <col min="3842" max="3842" width="8" style="16" customWidth="1"/>
    <col min="3843" max="3843" width="6.85546875" style="16" customWidth="1"/>
    <col min="3844" max="3844" width="14" style="16" bestFit="1" customWidth="1"/>
    <col min="3845" max="3846" width="9.140625" style="16"/>
    <col min="3847" max="3847" width="10.28515625" style="16" customWidth="1"/>
    <col min="3848" max="3848" width="13" style="16" customWidth="1"/>
    <col min="3849" max="3849" width="14.42578125" style="16" bestFit="1" customWidth="1"/>
    <col min="3850" max="3850" width="15.7109375" style="16" bestFit="1" customWidth="1"/>
    <col min="3851" max="4097" width="9.140625" style="16"/>
    <col min="4098" max="4098" width="8" style="16" customWidth="1"/>
    <col min="4099" max="4099" width="6.85546875" style="16" customWidth="1"/>
    <col min="4100" max="4100" width="14" style="16" bestFit="1" customWidth="1"/>
    <col min="4101" max="4102" width="9.140625" style="16"/>
    <col min="4103" max="4103" width="10.28515625" style="16" customWidth="1"/>
    <col min="4104" max="4104" width="13" style="16" customWidth="1"/>
    <col min="4105" max="4105" width="14.42578125" style="16" bestFit="1" customWidth="1"/>
    <col min="4106" max="4106" width="15.7109375" style="16" bestFit="1" customWidth="1"/>
    <col min="4107" max="4353" width="9.140625" style="16"/>
    <col min="4354" max="4354" width="8" style="16" customWidth="1"/>
    <col min="4355" max="4355" width="6.85546875" style="16" customWidth="1"/>
    <col min="4356" max="4356" width="14" style="16" bestFit="1" customWidth="1"/>
    <col min="4357" max="4358" width="9.140625" style="16"/>
    <col min="4359" max="4359" width="10.28515625" style="16" customWidth="1"/>
    <col min="4360" max="4360" width="13" style="16" customWidth="1"/>
    <col min="4361" max="4361" width="14.42578125" style="16" bestFit="1" customWidth="1"/>
    <col min="4362" max="4362" width="15.7109375" style="16" bestFit="1" customWidth="1"/>
    <col min="4363" max="4609" width="9.140625" style="16"/>
    <col min="4610" max="4610" width="8" style="16" customWidth="1"/>
    <col min="4611" max="4611" width="6.85546875" style="16" customWidth="1"/>
    <col min="4612" max="4612" width="14" style="16" bestFit="1" customWidth="1"/>
    <col min="4613" max="4614" width="9.140625" style="16"/>
    <col min="4615" max="4615" width="10.28515625" style="16" customWidth="1"/>
    <col min="4616" max="4616" width="13" style="16" customWidth="1"/>
    <col min="4617" max="4617" width="14.42578125" style="16" bestFit="1" customWidth="1"/>
    <col min="4618" max="4618" width="15.7109375" style="16" bestFit="1" customWidth="1"/>
    <col min="4619" max="4865" width="9.140625" style="16"/>
    <col min="4866" max="4866" width="8" style="16" customWidth="1"/>
    <col min="4867" max="4867" width="6.85546875" style="16" customWidth="1"/>
    <col min="4868" max="4868" width="14" style="16" bestFit="1" customWidth="1"/>
    <col min="4869" max="4870" width="9.140625" style="16"/>
    <col min="4871" max="4871" width="10.28515625" style="16" customWidth="1"/>
    <col min="4872" max="4872" width="13" style="16" customWidth="1"/>
    <col min="4873" max="4873" width="14.42578125" style="16" bestFit="1" customWidth="1"/>
    <col min="4874" max="4874" width="15.7109375" style="16" bestFit="1" customWidth="1"/>
    <col min="4875" max="5121" width="9.140625" style="16"/>
    <col min="5122" max="5122" width="8" style="16" customWidth="1"/>
    <col min="5123" max="5123" width="6.85546875" style="16" customWidth="1"/>
    <col min="5124" max="5124" width="14" style="16" bestFit="1" customWidth="1"/>
    <col min="5125" max="5126" width="9.140625" style="16"/>
    <col min="5127" max="5127" width="10.28515625" style="16" customWidth="1"/>
    <col min="5128" max="5128" width="13" style="16" customWidth="1"/>
    <col min="5129" max="5129" width="14.42578125" style="16" bestFit="1" customWidth="1"/>
    <col min="5130" max="5130" width="15.7109375" style="16" bestFit="1" customWidth="1"/>
    <col min="5131" max="5377" width="9.140625" style="16"/>
    <col min="5378" max="5378" width="8" style="16" customWidth="1"/>
    <col min="5379" max="5379" width="6.85546875" style="16" customWidth="1"/>
    <col min="5380" max="5380" width="14" style="16" bestFit="1" customWidth="1"/>
    <col min="5381" max="5382" width="9.140625" style="16"/>
    <col min="5383" max="5383" width="10.28515625" style="16" customWidth="1"/>
    <col min="5384" max="5384" width="13" style="16" customWidth="1"/>
    <col min="5385" max="5385" width="14.42578125" style="16" bestFit="1" customWidth="1"/>
    <col min="5386" max="5386" width="15.7109375" style="16" bestFit="1" customWidth="1"/>
    <col min="5387" max="5633" width="9.140625" style="16"/>
    <col min="5634" max="5634" width="8" style="16" customWidth="1"/>
    <col min="5635" max="5635" width="6.85546875" style="16" customWidth="1"/>
    <col min="5636" max="5636" width="14" style="16" bestFit="1" customWidth="1"/>
    <col min="5637" max="5638" width="9.140625" style="16"/>
    <col min="5639" max="5639" width="10.28515625" style="16" customWidth="1"/>
    <col min="5640" max="5640" width="13" style="16" customWidth="1"/>
    <col min="5641" max="5641" width="14.42578125" style="16" bestFit="1" customWidth="1"/>
    <col min="5642" max="5642" width="15.7109375" style="16" bestFit="1" customWidth="1"/>
    <col min="5643" max="5889" width="9.140625" style="16"/>
    <col min="5890" max="5890" width="8" style="16" customWidth="1"/>
    <col min="5891" max="5891" width="6.85546875" style="16" customWidth="1"/>
    <col min="5892" max="5892" width="14" style="16" bestFit="1" customWidth="1"/>
    <col min="5893" max="5894" width="9.140625" style="16"/>
    <col min="5895" max="5895" width="10.28515625" style="16" customWidth="1"/>
    <col min="5896" max="5896" width="13" style="16" customWidth="1"/>
    <col min="5897" max="5897" width="14.42578125" style="16" bestFit="1" customWidth="1"/>
    <col min="5898" max="5898" width="15.7109375" style="16" bestFit="1" customWidth="1"/>
    <col min="5899" max="6145" width="9.140625" style="16"/>
    <col min="6146" max="6146" width="8" style="16" customWidth="1"/>
    <col min="6147" max="6147" width="6.85546875" style="16" customWidth="1"/>
    <col min="6148" max="6148" width="14" style="16" bestFit="1" customWidth="1"/>
    <col min="6149" max="6150" width="9.140625" style="16"/>
    <col min="6151" max="6151" width="10.28515625" style="16" customWidth="1"/>
    <col min="6152" max="6152" width="13" style="16" customWidth="1"/>
    <col min="6153" max="6153" width="14.42578125" style="16" bestFit="1" customWidth="1"/>
    <col min="6154" max="6154" width="15.7109375" style="16" bestFit="1" customWidth="1"/>
    <col min="6155" max="6401" width="9.140625" style="16"/>
    <col min="6402" max="6402" width="8" style="16" customWidth="1"/>
    <col min="6403" max="6403" width="6.85546875" style="16" customWidth="1"/>
    <col min="6404" max="6404" width="14" style="16" bestFit="1" customWidth="1"/>
    <col min="6405" max="6406" width="9.140625" style="16"/>
    <col min="6407" max="6407" width="10.28515625" style="16" customWidth="1"/>
    <col min="6408" max="6408" width="13" style="16" customWidth="1"/>
    <col min="6409" max="6409" width="14.42578125" style="16" bestFit="1" customWidth="1"/>
    <col min="6410" max="6410" width="15.7109375" style="16" bestFit="1" customWidth="1"/>
    <col min="6411" max="6657" width="9.140625" style="16"/>
    <col min="6658" max="6658" width="8" style="16" customWidth="1"/>
    <col min="6659" max="6659" width="6.85546875" style="16" customWidth="1"/>
    <col min="6660" max="6660" width="14" style="16" bestFit="1" customWidth="1"/>
    <col min="6661" max="6662" width="9.140625" style="16"/>
    <col min="6663" max="6663" width="10.28515625" style="16" customWidth="1"/>
    <col min="6664" max="6664" width="13" style="16" customWidth="1"/>
    <col min="6665" max="6665" width="14.42578125" style="16" bestFit="1" customWidth="1"/>
    <col min="6666" max="6666" width="15.7109375" style="16" bestFit="1" customWidth="1"/>
    <col min="6667" max="6913" width="9.140625" style="16"/>
    <col min="6914" max="6914" width="8" style="16" customWidth="1"/>
    <col min="6915" max="6915" width="6.85546875" style="16" customWidth="1"/>
    <col min="6916" max="6916" width="14" style="16" bestFit="1" customWidth="1"/>
    <col min="6917" max="6918" width="9.140625" style="16"/>
    <col min="6919" max="6919" width="10.28515625" style="16" customWidth="1"/>
    <col min="6920" max="6920" width="13" style="16" customWidth="1"/>
    <col min="6921" max="6921" width="14.42578125" style="16" bestFit="1" customWidth="1"/>
    <col min="6922" max="6922" width="15.7109375" style="16" bestFit="1" customWidth="1"/>
    <col min="6923" max="7169" width="9.140625" style="16"/>
    <col min="7170" max="7170" width="8" style="16" customWidth="1"/>
    <col min="7171" max="7171" width="6.85546875" style="16" customWidth="1"/>
    <col min="7172" max="7172" width="14" style="16" bestFit="1" customWidth="1"/>
    <col min="7173" max="7174" width="9.140625" style="16"/>
    <col min="7175" max="7175" width="10.28515625" style="16" customWidth="1"/>
    <col min="7176" max="7176" width="13" style="16" customWidth="1"/>
    <col min="7177" max="7177" width="14.42578125" style="16" bestFit="1" customWidth="1"/>
    <col min="7178" max="7178" width="15.7109375" style="16" bestFit="1" customWidth="1"/>
    <col min="7179" max="7425" width="9.140625" style="16"/>
    <col min="7426" max="7426" width="8" style="16" customWidth="1"/>
    <col min="7427" max="7427" width="6.85546875" style="16" customWidth="1"/>
    <col min="7428" max="7428" width="14" style="16" bestFit="1" customWidth="1"/>
    <col min="7429" max="7430" width="9.140625" style="16"/>
    <col min="7431" max="7431" width="10.28515625" style="16" customWidth="1"/>
    <col min="7432" max="7432" width="13" style="16" customWidth="1"/>
    <col min="7433" max="7433" width="14.42578125" style="16" bestFit="1" customWidth="1"/>
    <col min="7434" max="7434" width="15.7109375" style="16" bestFit="1" customWidth="1"/>
    <col min="7435" max="7681" width="9.140625" style="16"/>
    <col min="7682" max="7682" width="8" style="16" customWidth="1"/>
    <col min="7683" max="7683" width="6.85546875" style="16" customWidth="1"/>
    <col min="7684" max="7684" width="14" style="16" bestFit="1" customWidth="1"/>
    <col min="7685" max="7686" width="9.140625" style="16"/>
    <col min="7687" max="7687" width="10.28515625" style="16" customWidth="1"/>
    <col min="7688" max="7688" width="13" style="16" customWidth="1"/>
    <col min="7689" max="7689" width="14.42578125" style="16" bestFit="1" customWidth="1"/>
    <col min="7690" max="7690" width="15.7109375" style="16" bestFit="1" customWidth="1"/>
    <col min="7691" max="7937" width="9.140625" style="16"/>
    <col min="7938" max="7938" width="8" style="16" customWidth="1"/>
    <col min="7939" max="7939" width="6.85546875" style="16" customWidth="1"/>
    <col min="7940" max="7940" width="14" style="16" bestFit="1" customWidth="1"/>
    <col min="7941" max="7942" width="9.140625" style="16"/>
    <col min="7943" max="7943" width="10.28515625" style="16" customWidth="1"/>
    <col min="7944" max="7944" width="13" style="16" customWidth="1"/>
    <col min="7945" max="7945" width="14.42578125" style="16" bestFit="1" customWidth="1"/>
    <col min="7946" max="7946" width="15.7109375" style="16" bestFit="1" customWidth="1"/>
    <col min="7947" max="8193" width="9.140625" style="16"/>
    <col min="8194" max="8194" width="8" style="16" customWidth="1"/>
    <col min="8195" max="8195" width="6.85546875" style="16" customWidth="1"/>
    <col min="8196" max="8196" width="14" style="16" bestFit="1" customWidth="1"/>
    <col min="8197" max="8198" width="9.140625" style="16"/>
    <col min="8199" max="8199" width="10.28515625" style="16" customWidth="1"/>
    <col min="8200" max="8200" width="13" style="16" customWidth="1"/>
    <col min="8201" max="8201" width="14.42578125" style="16" bestFit="1" customWidth="1"/>
    <col min="8202" max="8202" width="15.7109375" style="16" bestFit="1" customWidth="1"/>
    <col min="8203" max="8449" width="9.140625" style="16"/>
    <col min="8450" max="8450" width="8" style="16" customWidth="1"/>
    <col min="8451" max="8451" width="6.85546875" style="16" customWidth="1"/>
    <col min="8452" max="8452" width="14" style="16" bestFit="1" customWidth="1"/>
    <col min="8453" max="8454" width="9.140625" style="16"/>
    <col min="8455" max="8455" width="10.28515625" style="16" customWidth="1"/>
    <col min="8456" max="8456" width="13" style="16" customWidth="1"/>
    <col min="8457" max="8457" width="14.42578125" style="16" bestFit="1" customWidth="1"/>
    <col min="8458" max="8458" width="15.7109375" style="16" bestFit="1" customWidth="1"/>
    <col min="8459" max="8705" width="9.140625" style="16"/>
    <col min="8706" max="8706" width="8" style="16" customWidth="1"/>
    <col min="8707" max="8707" width="6.85546875" style="16" customWidth="1"/>
    <col min="8708" max="8708" width="14" style="16" bestFit="1" customWidth="1"/>
    <col min="8709" max="8710" width="9.140625" style="16"/>
    <col min="8711" max="8711" width="10.28515625" style="16" customWidth="1"/>
    <col min="8712" max="8712" width="13" style="16" customWidth="1"/>
    <col min="8713" max="8713" width="14.42578125" style="16" bestFit="1" customWidth="1"/>
    <col min="8714" max="8714" width="15.7109375" style="16" bestFit="1" customWidth="1"/>
    <col min="8715" max="8961" width="9.140625" style="16"/>
    <col min="8962" max="8962" width="8" style="16" customWidth="1"/>
    <col min="8963" max="8963" width="6.85546875" style="16" customWidth="1"/>
    <col min="8964" max="8964" width="14" style="16" bestFit="1" customWidth="1"/>
    <col min="8965" max="8966" width="9.140625" style="16"/>
    <col min="8967" max="8967" width="10.28515625" style="16" customWidth="1"/>
    <col min="8968" max="8968" width="13" style="16" customWidth="1"/>
    <col min="8969" max="8969" width="14.42578125" style="16" bestFit="1" customWidth="1"/>
    <col min="8970" max="8970" width="15.7109375" style="16" bestFit="1" customWidth="1"/>
    <col min="8971" max="9217" width="9.140625" style="16"/>
    <col min="9218" max="9218" width="8" style="16" customWidth="1"/>
    <col min="9219" max="9219" width="6.85546875" style="16" customWidth="1"/>
    <col min="9220" max="9220" width="14" style="16" bestFit="1" customWidth="1"/>
    <col min="9221" max="9222" width="9.140625" style="16"/>
    <col min="9223" max="9223" width="10.28515625" style="16" customWidth="1"/>
    <col min="9224" max="9224" width="13" style="16" customWidth="1"/>
    <col min="9225" max="9225" width="14.42578125" style="16" bestFit="1" customWidth="1"/>
    <col min="9226" max="9226" width="15.7109375" style="16" bestFit="1" customWidth="1"/>
    <col min="9227" max="9473" width="9.140625" style="16"/>
    <col min="9474" max="9474" width="8" style="16" customWidth="1"/>
    <col min="9475" max="9475" width="6.85546875" style="16" customWidth="1"/>
    <col min="9476" max="9476" width="14" style="16" bestFit="1" customWidth="1"/>
    <col min="9477" max="9478" width="9.140625" style="16"/>
    <col min="9479" max="9479" width="10.28515625" style="16" customWidth="1"/>
    <col min="9480" max="9480" width="13" style="16" customWidth="1"/>
    <col min="9481" max="9481" width="14.42578125" style="16" bestFit="1" customWidth="1"/>
    <col min="9482" max="9482" width="15.7109375" style="16" bestFit="1" customWidth="1"/>
    <col min="9483" max="9729" width="9.140625" style="16"/>
    <col min="9730" max="9730" width="8" style="16" customWidth="1"/>
    <col min="9731" max="9731" width="6.85546875" style="16" customWidth="1"/>
    <col min="9732" max="9732" width="14" style="16" bestFit="1" customWidth="1"/>
    <col min="9733" max="9734" width="9.140625" style="16"/>
    <col min="9735" max="9735" width="10.28515625" style="16" customWidth="1"/>
    <col min="9736" max="9736" width="13" style="16" customWidth="1"/>
    <col min="9737" max="9737" width="14.42578125" style="16" bestFit="1" customWidth="1"/>
    <col min="9738" max="9738" width="15.7109375" style="16" bestFit="1" customWidth="1"/>
    <col min="9739" max="9985" width="9.140625" style="16"/>
    <col min="9986" max="9986" width="8" style="16" customWidth="1"/>
    <col min="9987" max="9987" width="6.85546875" style="16" customWidth="1"/>
    <col min="9988" max="9988" width="14" style="16" bestFit="1" customWidth="1"/>
    <col min="9989" max="9990" width="9.140625" style="16"/>
    <col min="9991" max="9991" width="10.28515625" style="16" customWidth="1"/>
    <col min="9992" max="9992" width="13" style="16" customWidth="1"/>
    <col min="9993" max="9993" width="14.42578125" style="16" bestFit="1" customWidth="1"/>
    <col min="9994" max="9994" width="15.7109375" style="16" bestFit="1" customWidth="1"/>
    <col min="9995" max="10241" width="9.140625" style="16"/>
    <col min="10242" max="10242" width="8" style="16" customWidth="1"/>
    <col min="10243" max="10243" width="6.85546875" style="16" customWidth="1"/>
    <col min="10244" max="10244" width="14" style="16" bestFit="1" customWidth="1"/>
    <col min="10245" max="10246" width="9.140625" style="16"/>
    <col min="10247" max="10247" width="10.28515625" style="16" customWidth="1"/>
    <col min="10248" max="10248" width="13" style="16" customWidth="1"/>
    <col min="10249" max="10249" width="14.42578125" style="16" bestFit="1" customWidth="1"/>
    <col min="10250" max="10250" width="15.7109375" style="16" bestFit="1" customWidth="1"/>
    <col min="10251" max="10497" width="9.140625" style="16"/>
    <col min="10498" max="10498" width="8" style="16" customWidth="1"/>
    <col min="10499" max="10499" width="6.85546875" style="16" customWidth="1"/>
    <col min="10500" max="10500" width="14" style="16" bestFit="1" customWidth="1"/>
    <col min="10501" max="10502" width="9.140625" style="16"/>
    <col min="10503" max="10503" width="10.28515625" style="16" customWidth="1"/>
    <col min="10504" max="10504" width="13" style="16" customWidth="1"/>
    <col min="10505" max="10505" width="14.42578125" style="16" bestFit="1" customWidth="1"/>
    <col min="10506" max="10506" width="15.7109375" style="16" bestFit="1" customWidth="1"/>
    <col min="10507" max="10753" width="9.140625" style="16"/>
    <col min="10754" max="10754" width="8" style="16" customWidth="1"/>
    <col min="10755" max="10755" width="6.85546875" style="16" customWidth="1"/>
    <col min="10756" max="10756" width="14" style="16" bestFit="1" customWidth="1"/>
    <col min="10757" max="10758" width="9.140625" style="16"/>
    <col min="10759" max="10759" width="10.28515625" style="16" customWidth="1"/>
    <col min="10760" max="10760" width="13" style="16" customWidth="1"/>
    <col min="10761" max="10761" width="14.42578125" style="16" bestFit="1" customWidth="1"/>
    <col min="10762" max="10762" width="15.7109375" style="16" bestFit="1" customWidth="1"/>
    <col min="10763" max="11009" width="9.140625" style="16"/>
    <col min="11010" max="11010" width="8" style="16" customWidth="1"/>
    <col min="11011" max="11011" width="6.85546875" style="16" customWidth="1"/>
    <col min="11012" max="11012" width="14" style="16" bestFit="1" customWidth="1"/>
    <col min="11013" max="11014" width="9.140625" style="16"/>
    <col min="11015" max="11015" width="10.28515625" style="16" customWidth="1"/>
    <col min="11016" max="11016" width="13" style="16" customWidth="1"/>
    <col min="11017" max="11017" width="14.42578125" style="16" bestFit="1" customWidth="1"/>
    <col min="11018" max="11018" width="15.7109375" style="16" bestFit="1" customWidth="1"/>
    <col min="11019" max="11265" width="9.140625" style="16"/>
    <col min="11266" max="11266" width="8" style="16" customWidth="1"/>
    <col min="11267" max="11267" width="6.85546875" style="16" customWidth="1"/>
    <col min="11268" max="11268" width="14" style="16" bestFit="1" customWidth="1"/>
    <col min="11269" max="11270" width="9.140625" style="16"/>
    <col min="11271" max="11271" width="10.28515625" style="16" customWidth="1"/>
    <col min="11272" max="11272" width="13" style="16" customWidth="1"/>
    <col min="11273" max="11273" width="14.42578125" style="16" bestFit="1" customWidth="1"/>
    <col min="11274" max="11274" width="15.7109375" style="16" bestFit="1" customWidth="1"/>
    <col min="11275" max="11521" width="9.140625" style="16"/>
    <col min="11522" max="11522" width="8" style="16" customWidth="1"/>
    <col min="11523" max="11523" width="6.85546875" style="16" customWidth="1"/>
    <col min="11524" max="11524" width="14" style="16" bestFit="1" customWidth="1"/>
    <col min="11525" max="11526" width="9.140625" style="16"/>
    <col min="11527" max="11527" width="10.28515625" style="16" customWidth="1"/>
    <col min="11528" max="11528" width="13" style="16" customWidth="1"/>
    <col min="11529" max="11529" width="14.42578125" style="16" bestFit="1" customWidth="1"/>
    <col min="11530" max="11530" width="15.7109375" style="16" bestFit="1" customWidth="1"/>
    <col min="11531" max="11777" width="9.140625" style="16"/>
    <col min="11778" max="11778" width="8" style="16" customWidth="1"/>
    <col min="11779" max="11779" width="6.85546875" style="16" customWidth="1"/>
    <col min="11780" max="11780" width="14" style="16" bestFit="1" customWidth="1"/>
    <col min="11781" max="11782" width="9.140625" style="16"/>
    <col min="11783" max="11783" width="10.28515625" style="16" customWidth="1"/>
    <col min="11784" max="11784" width="13" style="16" customWidth="1"/>
    <col min="11785" max="11785" width="14.42578125" style="16" bestFit="1" customWidth="1"/>
    <col min="11786" max="11786" width="15.7109375" style="16" bestFit="1" customWidth="1"/>
    <col min="11787" max="12033" width="9.140625" style="16"/>
    <col min="12034" max="12034" width="8" style="16" customWidth="1"/>
    <col min="12035" max="12035" width="6.85546875" style="16" customWidth="1"/>
    <col min="12036" max="12036" width="14" style="16" bestFit="1" customWidth="1"/>
    <col min="12037" max="12038" width="9.140625" style="16"/>
    <col min="12039" max="12039" width="10.28515625" style="16" customWidth="1"/>
    <col min="12040" max="12040" width="13" style="16" customWidth="1"/>
    <col min="12041" max="12041" width="14.42578125" style="16" bestFit="1" customWidth="1"/>
    <col min="12042" max="12042" width="15.7109375" style="16" bestFit="1" customWidth="1"/>
    <col min="12043" max="12289" width="9.140625" style="16"/>
    <col min="12290" max="12290" width="8" style="16" customWidth="1"/>
    <col min="12291" max="12291" width="6.85546875" style="16" customWidth="1"/>
    <col min="12292" max="12292" width="14" style="16" bestFit="1" customWidth="1"/>
    <col min="12293" max="12294" width="9.140625" style="16"/>
    <col min="12295" max="12295" width="10.28515625" style="16" customWidth="1"/>
    <col min="12296" max="12296" width="13" style="16" customWidth="1"/>
    <col min="12297" max="12297" width="14.42578125" style="16" bestFit="1" customWidth="1"/>
    <col min="12298" max="12298" width="15.7109375" style="16" bestFit="1" customWidth="1"/>
    <col min="12299" max="12545" width="9.140625" style="16"/>
    <col min="12546" max="12546" width="8" style="16" customWidth="1"/>
    <col min="12547" max="12547" width="6.85546875" style="16" customWidth="1"/>
    <col min="12548" max="12548" width="14" style="16" bestFit="1" customWidth="1"/>
    <col min="12549" max="12550" width="9.140625" style="16"/>
    <col min="12551" max="12551" width="10.28515625" style="16" customWidth="1"/>
    <col min="12552" max="12552" width="13" style="16" customWidth="1"/>
    <col min="12553" max="12553" width="14.42578125" style="16" bestFit="1" customWidth="1"/>
    <col min="12554" max="12554" width="15.7109375" style="16" bestFit="1" customWidth="1"/>
    <col min="12555" max="12801" width="9.140625" style="16"/>
    <col min="12802" max="12802" width="8" style="16" customWidth="1"/>
    <col min="12803" max="12803" width="6.85546875" style="16" customWidth="1"/>
    <col min="12804" max="12804" width="14" style="16" bestFit="1" customWidth="1"/>
    <col min="12805" max="12806" width="9.140625" style="16"/>
    <col min="12807" max="12807" width="10.28515625" style="16" customWidth="1"/>
    <col min="12808" max="12808" width="13" style="16" customWidth="1"/>
    <col min="12809" max="12809" width="14.42578125" style="16" bestFit="1" customWidth="1"/>
    <col min="12810" max="12810" width="15.7109375" style="16" bestFit="1" customWidth="1"/>
    <col min="12811" max="13057" width="9.140625" style="16"/>
    <col min="13058" max="13058" width="8" style="16" customWidth="1"/>
    <col min="13059" max="13059" width="6.85546875" style="16" customWidth="1"/>
    <col min="13060" max="13060" width="14" style="16" bestFit="1" customWidth="1"/>
    <col min="13061" max="13062" width="9.140625" style="16"/>
    <col min="13063" max="13063" width="10.28515625" style="16" customWidth="1"/>
    <col min="13064" max="13064" width="13" style="16" customWidth="1"/>
    <col min="13065" max="13065" width="14.42578125" style="16" bestFit="1" customWidth="1"/>
    <col min="13066" max="13066" width="15.7109375" style="16" bestFit="1" customWidth="1"/>
    <col min="13067" max="13313" width="9.140625" style="16"/>
    <col min="13314" max="13314" width="8" style="16" customWidth="1"/>
    <col min="13315" max="13315" width="6.85546875" style="16" customWidth="1"/>
    <col min="13316" max="13316" width="14" style="16" bestFit="1" customWidth="1"/>
    <col min="13317" max="13318" width="9.140625" style="16"/>
    <col min="13319" max="13319" width="10.28515625" style="16" customWidth="1"/>
    <col min="13320" max="13320" width="13" style="16" customWidth="1"/>
    <col min="13321" max="13321" width="14.42578125" style="16" bestFit="1" customWidth="1"/>
    <col min="13322" max="13322" width="15.7109375" style="16" bestFit="1" customWidth="1"/>
    <col min="13323" max="13569" width="9.140625" style="16"/>
    <col min="13570" max="13570" width="8" style="16" customWidth="1"/>
    <col min="13571" max="13571" width="6.85546875" style="16" customWidth="1"/>
    <col min="13572" max="13572" width="14" style="16" bestFit="1" customWidth="1"/>
    <col min="13573" max="13574" width="9.140625" style="16"/>
    <col min="13575" max="13575" width="10.28515625" style="16" customWidth="1"/>
    <col min="13576" max="13576" width="13" style="16" customWidth="1"/>
    <col min="13577" max="13577" width="14.42578125" style="16" bestFit="1" customWidth="1"/>
    <col min="13578" max="13578" width="15.7109375" style="16" bestFit="1" customWidth="1"/>
    <col min="13579" max="13825" width="9.140625" style="16"/>
    <col min="13826" max="13826" width="8" style="16" customWidth="1"/>
    <col min="13827" max="13827" width="6.85546875" style="16" customWidth="1"/>
    <col min="13828" max="13828" width="14" style="16" bestFit="1" customWidth="1"/>
    <col min="13829" max="13830" width="9.140625" style="16"/>
    <col min="13831" max="13831" width="10.28515625" style="16" customWidth="1"/>
    <col min="13832" max="13832" width="13" style="16" customWidth="1"/>
    <col min="13833" max="13833" width="14.42578125" style="16" bestFit="1" customWidth="1"/>
    <col min="13834" max="13834" width="15.7109375" style="16" bestFit="1" customWidth="1"/>
    <col min="13835" max="14081" width="9.140625" style="16"/>
    <col min="14082" max="14082" width="8" style="16" customWidth="1"/>
    <col min="14083" max="14083" width="6.85546875" style="16" customWidth="1"/>
    <col min="14084" max="14084" width="14" style="16" bestFit="1" customWidth="1"/>
    <col min="14085" max="14086" width="9.140625" style="16"/>
    <col min="14087" max="14087" width="10.28515625" style="16" customWidth="1"/>
    <col min="14088" max="14088" width="13" style="16" customWidth="1"/>
    <col min="14089" max="14089" width="14.42578125" style="16" bestFit="1" customWidth="1"/>
    <col min="14090" max="14090" width="15.7109375" style="16" bestFit="1" customWidth="1"/>
    <col min="14091" max="14337" width="9.140625" style="16"/>
    <col min="14338" max="14338" width="8" style="16" customWidth="1"/>
    <col min="14339" max="14339" width="6.85546875" style="16" customWidth="1"/>
    <col min="14340" max="14340" width="14" style="16" bestFit="1" customWidth="1"/>
    <col min="14341" max="14342" width="9.140625" style="16"/>
    <col min="14343" max="14343" width="10.28515625" style="16" customWidth="1"/>
    <col min="14344" max="14344" width="13" style="16" customWidth="1"/>
    <col min="14345" max="14345" width="14.42578125" style="16" bestFit="1" customWidth="1"/>
    <col min="14346" max="14346" width="15.7109375" style="16" bestFit="1" customWidth="1"/>
    <col min="14347" max="14593" width="9.140625" style="16"/>
    <col min="14594" max="14594" width="8" style="16" customWidth="1"/>
    <col min="14595" max="14595" width="6.85546875" style="16" customWidth="1"/>
    <col min="14596" max="14596" width="14" style="16" bestFit="1" customWidth="1"/>
    <col min="14597" max="14598" width="9.140625" style="16"/>
    <col min="14599" max="14599" width="10.28515625" style="16" customWidth="1"/>
    <col min="14600" max="14600" width="13" style="16" customWidth="1"/>
    <col min="14601" max="14601" width="14.42578125" style="16" bestFit="1" customWidth="1"/>
    <col min="14602" max="14602" width="15.7109375" style="16" bestFit="1" customWidth="1"/>
    <col min="14603" max="14849" width="9.140625" style="16"/>
    <col min="14850" max="14850" width="8" style="16" customWidth="1"/>
    <col min="14851" max="14851" width="6.85546875" style="16" customWidth="1"/>
    <col min="14852" max="14852" width="14" style="16" bestFit="1" customWidth="1"/>
    <col min="14853" max="14854" width="9.140625" style="16"/>
    <col min="14855" max="14855" width="10.28515625" style="16" customWidth="1"/>
    <col min="14856" max="14856" width="13" style="16" customWidth="1"/>
    <col min="14857" max="14857" width="14.42578125" style="16" bestFit="1" customWidth="1"/>
    <col min="14858" max="14858" width="15.7109375" style="16" bestFit="1" customWidth="1"/>
    <col min="14859" max="15105" width="9.140625" style="16"/>
    <col min="15106" max="15106" width="8" style="16" customWidth="1"/>
    <col min="15107" max="15107" width="6.85546875" style="16" customWidth="1"/>
    <col min="15108" max="15108" width="14" style="16" bestFit="1" customWidth="1"/>
    <col min="15109" max="15110" width="9.140625" style="16"/>
    <col min="15111" max="15111" width="10.28515625" style="16" customWidth="1"/>
    <col min="15112" max="15112" width="13" style="16" customWidth="1"/>
    <col min="15113" max="15113" width="14.42578125" style="16" bestFit="1" customWidth="1"/>
    <col min="15114" max="15114" width="15.7109375" style="16" bestFit="1" customWidth="1"/>
    <col min="15115" max="15361" width="9.140625" style="16"/>
    <col min="15362" max="15362" width="8" style="16" customWidth="1"/>
    <col min="15363" max="15363" width="6.85546875" style="16" customWidth="1"/>
    <col min="15364" max="15364" width="14" style="16" bestFit="1" customWidth="1"/>
    <col min="15365" max="15366" width="9.140625" style="16"/>
    <col min="15367" max="15367" width="10.28515625" style="16" customWidth="1"/>
    <col min="15368" max="15368" width="13" style="16" customWidth="1"/>
    <col min="15369" max="15369" width="14.42578125" style="16" bestFit="1" customWidth="1"/>
    <col min="15370" max="15370" width="15.7109375" style="16" bestFit="1" customWidth="1"/>
    <col min="15371" max="15617" width="9.140625" style="16"/>
    <col min="15618" max="15618" width="8" style="16" customWidth="1"/>
    <col min="15619" max="15619" width="6.85546875" style="16" customWidth="1"/>
    <col min="15620" max="15620" width="14" style="16" bestFit="1" customWidth="1"/>
    <col min="15621" max="15622" width="9.140625" style="16"/>
    <col min="15623" max="15623" width="10.28515625" style="16" customWidth="1"/>
    <col min="15624" max="15624" width="13" style="16" customWidth="1"/>
    <col min="15625" max="15625" width="14.42578125" style="16" bestFit="1" customWidth="1"/>
    <col min="15626" max="15626" width="15.7109375" style="16" bestFit="1" customWidth="1"/>
    <col min="15627" max="15873" width="9.140625" style="16"/>
    <col min="15874" max="15874" width="8" style="16" customWidth="1"/>
    <col min="15875" max="15875" width="6.85546875" style="16" customWidth="1"/>
    <col min="15876" max="15876" width="14" style="16" bestFit="1" customWidth="1"/>
    <col min="15877" max="15878" width="9.140625" style="16"/>
    <col min="15879" max="15879" width="10.28515625" style="16" customWidth="1"/>
    <col min="15880" max="15880" width="13" style="16" customWidth="1"/>
    <col min="15881" max="15881" width="14.42578125" style="16" bestFit="1" customWidth="1"/>
    <col min="15882" max="15882" width="15.7109375" style="16" bestFit="1" customWidth="1"/>
    <col min="15883" max="16129" width="9.140625" style="16"/>
    <col min="16130" max="16130" width="8" style="16" customWidth="1"/>
    <col min="16131" max="16131" width="6.85546875" style="16" customWidth="1"/>
    <col min="16132" max="16132" width="14" style="16" bestFit="1" customWidth="1"/>
    <col min="16133" max="16134" width="9.140625" style="16"/>
    <col min="16135" max="16135" width="10.28515625" style="16" customWidth="1"/>
    <col min="16136" max="16136" width="13" style="16" customWidth="1"/>
    <col min="16137" max="16137" width="14.42578125" style="16" bestFit="1" customWidth="1"/>
    <col min="16138" max="16138" width="15.7109375" style="16" bestFit="1" customWidth="1"/>
    <col min="16139" max="16384" width="9.140625" style="16"/>
  </cols>
  <sheetData>
    <row r="6" spans="2:10" ht="16.5" thickBot="1" x14ac:dyDescent="0.3"/>
    <row r="7" spans="2:10" x14ac:dyDescent="0.25">
      <c r="B7" s="676" t="s">
        <v>4</v>
      </c>
      <c r="C7" s="677"/>
      <c r="D7" s="677"/>
      <c r="E7" s="677"/>
      <c r="F7" s="677"/>
      <c r="G7" s="677"/>
      <c r="H7" s="677"/>
      <c r="I7" s="677"/>
      <c r="J7" s="678"/>
    </row>
    <row r="8" spans="2:10" x14ac:dyDescent="0.25">
      <c r="B8" s="679" t="s">
        <v>5</v>
      </c>
      <c r="C8" s="630"/>
      <c r="D8" s="630"/>
      <c r="E8" s="680" t="s">
        <v>6</v>
      </c>
      <c r="F8" s="630"/>
      <c r="G8" s="630"/>
      <c r="H8" s="680" t="s">
        <v>7</v>
      </c>
      <c r="I8" s="630"/>
      <c r="J8" s="681"/>
    </row>
    <row r="9" spans="2:10" ht="16.5" thickBot="1" x14ac:dyDescent="0.3">
      <c r="B9" s="682" t="s">
        <v>8</v>
      </c>
      <c r="C9" s="683"/>
      <c r="D9" s="683"/>
      <c r="E9" s="683"/>
      <c r="F9" s="17"/>
      <c r="G9" s="684" t="str">
        <f>"FONE: (45)3242-2210         V.:"&amp;GERAL!C26</f>
        <v>FONE: (45)3242-2210         V.:Versão: 45791</v>
      </c>
      <c r="H9" s="684"/>
      <c r="I9" s="684"/>
      <c r="J9" s="685"/>
    </row>
    <row r="10" spans="2:10" ht="16.5" thickBot="1" x14ac:dyDescent="0.3">
      <c r="E10" s="18"/>
      <c r="F10" s="18"/>
      <c r="G10" s="18"/>
      <c r="H10" s="19"/>
    </row>
    <row r="11" spans="2:10" x14ac:dyDescent="0.25">
      <c r="B11" s="20"/>
      <c r="C11" s="103" t="s">
        <v>344</v>
      </c>
      <c r="D11" s="21"/>
      <c r="E11" s="22"/>
      <c r="F11" s="22"/>
      <c r="G11" s="22"/>
      <c r="H11" s="23" t="s">
        <v>9</v>
      </c>
      <c r="I11" s="24">
        <f ca="1">TODAY()</f>
        <v>45828</v>
      </c>
      <c r="J11" s="25"/>
    </row>
    <row r="12" spans="2:10" x14ac:dyDescent="0.25">
      <c r="B12" s="26"/>
      <c r="J12" s="27"/>
    </row>
    <row r="13" spans="2:10" x14ac:dyDescent="0.25">
      <c r="B13" s="26"/>
      <c r="C13" s="28" t="s">
        <v>37</v>
      </c>
      <c r="D13" s="29"/>
      <c r="E13" s="660"/>
      <c r="F13" s="661"/>
      <c r="G13" s="661"/>
      <c r="H13" s="661"/>
      <c r="I13" s="662"/>
      <c r="J13" s="30"/>
    </row>
    <row r="14" spans="2:10" x14ac:dyDescent="0.25">
      <c r="B14" s="26"/>
      <c r="C14" s="28" t="s">
        <v>38</v>
      </c>
      <c r="D14" s="29"/>
      <c r="E14" s="660"/>
      <c r="F14" s="661"/>
      <c r="G14" s="661"/>
      <c r="H14" s="661"/>
      <c r="I14" s="662"/>
      <c r="J14" s="30"/>
    </row>
    <row r="15" spans="2:10" x14ac:dyDescent="0.25">
      <c r="B15" s="26"/>
      <c r="C15" s="31" t="s">
        <v>39</v>
      </c>
      <c r="E15" s="660"/>
      <c r="F15" s="661"/>
      <c r="G15" s="661"/>
      <c r="H15" s="661"/>
      <c r="I15" s="662"/>
      <c r="J15" s="30"/>
    </row>
    <row r="16" spans="2:10" x14ac:dyDescent="0.25">
      <c r="B16" s="26"/>
      <c r="C16" s="28" t="s">
        <v>40</v>
      </c>
      <c r="D16" s="29"/>
      <c r="E16" s="1"/>
      <c r="F16" s="543" t="s">
        <v>367</v>
      </c>
      <c r="G16" s="661"/>
      <c r="H16" s="661"/>
      <c r="I16" s="662"/>
      <c r="J16" s="30"/>
    </row>
    <row r="17" spans="2:21" x14ac:dyDescent="0.25">
      <c r="B17" s="26"/>
      <c r="C17" s="31" t="s">
        <v>41</v>
      </c>
      <c r="E17" s="661"/>
      <c r="F17" s="661"/>
      <c r="G17" s="661"/>
      <c r="H17" s="172" t="s">
        <v>113</v>
      </c>
      <c r="I17" s="170"/>
      <c r="J17" s="30"/>
      <c r="K17" s="32"/>
    </row>
    <row r="18" spans="2:21" x14ac:dyDescent="0.25">
      <c r="B18" s="26"/>
      <c r="C18" s="28" t="s">
        <v>42</v>
      </c>
      <c r="D18" s="29"/>
      <c r="E18" s="661"/>
      <c r="F18" s="661"/>
      <c r="G18" s="661"/>
      <c r="H18" s="661"/>
      <c r="I18" s="662"/>
      <c r="J18" s="30"/>
    </row>
    <row r="19" spans="2:21" x14ac:dyDescent="0.25">
      <c r="B19" s="26"/>
      <c r="C19" s="28" t="s">
        <v>43</v>
      </c>
      <c r="D19" s="29"/>
      <c r="E19" s="660"/>
      <c r="F19" s="661"/>
      <c r="G19" s="661"/>
      <c r="H19" s="661"/>
      <c r="I19" s="662"/>
      <c r="J19" s="30"/>
    </row>
    <row r="20" spans="2:21" x14ac:dyDescent="0.25">
      <c r="B20" s="26"/>
      <c r="E20" s="54"/>
      <c r="F20" s="54"/>
      <c r="G20" s="54"/>
      <c r="H20" s="54"/>
      <c r="I20" s="54"/>
      <c r="J20" s="27"/>
    </row>
    <row r="21" spans="2:21" ht="16.5" thickBot="1" x14ac:dyDescent="0.3">
      <c r="B21" s="33"/>
      <c r="C21" s="17"/>
      <c r="D21" s="17"/>
      <c r="E21" s="58"/>
      <c r="F21" s="58"/>
      <c r="G21" s="58"/>
      <c r="H21" s="58"/>
      <c r="I21" s="58"/>
      <c r="J21" s="34"/>
    </row>
    <row r="22" spans="2:21" ht="16.5" thickBot="1" x14ac:dyDescent="0.3">
      <c r="E22" s="54"/>
      <c r="F22" s="54"/>
      <c r="G22" s="54"/>
      <c r="H22" s="54"/>
      <c r="I22" s="54"/>
    </row>
    <row r="23" spans="2:21" x14ac:dyDescent="0.25">
      <c r="B23" s="20"/>
      <c r="C23" s="21"/>
      <c r="D23" s="21"/>
      <c r="E23" s="59"/>
      <c r="F23" s="59"/>
      <c r="G23" s="59"/>
      <c r="H23" s="59"/>
      <c r="I23" s="59"/>
      <c r="J23" s="25"/>
    </row>
    <row r="24" spans="2:21" x14ac:dyDescent="0.25">
      <c r="B24" s="26"/>
      <c r="C24" s="28" t="s">
        <v>10</v>
      </c>
      <c r="D24" s="29"/>
      <c r="E24" s="660"/>
      <c r="F24" s="660"/>
      <c r="G24" s="660"/>
      <c r="H24" s="660"/>
      <c r="I24" s="672"/>
      <c r="J24" s="27"/>
    </row>
    <row r="25" spans="2:21" x14ac:dyDescent="0.25">
      <c r="B25" s="26"/>
      <c r="C25" s="28" t="s">
        <v>335</v>
      </c>
      <c r="D25" s="35"/>
      <c r="E25" s="666"/>
      <c r="F25" s="666"/>
      <c r="G25" s="666"/>
      <c r="H25" s="666"/>
      <c r="I25" s="667"/>
      <c r="J25" s="27"/>
    </row>
    <row r="26" spans="2:21" x14ac:dyDescent="0.25">
      <c r="B26" s="26"/>
      <c r="C26" s="28" t="s">
        <v>14</v>
      </c>
      <c r="D26" s="35"/>
      <c r="E26" s="673"/>
      <c r="F26" s="673"/>
      <c r="G26" s="673"/>
      <c r="H26" s="673"/>
      <c r="I26" s="674"/>
      <c r="J26" s="27"/>
    </row>
    <row r="27" spans="2:21" ht="16.5" thickBot="1" x14ac:dyDescent="0.3">
      <c r="B27" s="33"/>
      <c r="C27" s="209"/>
      <c r="D27" s="245"/>
      <c r="E27" s="246"/>
      <c r="F27" s="246"/>
      <c r="G27" s="246"/>
      <c r="H27" s="246"/>
      <c r="I27" s="246"/>
      <c r="J27" s="34"/>
    </row>
    <row r="28" spans="2:21" ht="16.5" thickBot="1" x14ac:dyDescent="0.3"/>
    <row r="29" spans="2:21" x14ac:dyDescent="0.25">
      <c r="B29" s="20"/>
      <c r="C29" s="21"/>
      <c r="D29" s="36"/>
      <c r="E29" s="21"/>
      <c r="F29" s="21"/>
      <c r="G29" s="21"/>
      <c r="H29" s="21"/>
      <c r="I29" s="21"/>
      <c r="J29" s="25"/>
      <c r="U29" s="396"/>
    </row>
    <row r="30" spans="2:21" x14ac:dyDescent="0.25">
      <c r="B30" s="37" t="s">
        <v>15</v>
      </c>
      <c r="D30" s="407" t="str">
        <f>IF('INPUT PULVE_DRONE'!B14="","",'INPUT PULVE_DRONE'!B14)</f>
        <v/>
      </c>
      <c r="E30" s="395"/>
      <c r="F30" s="394"/>
      <c r="G30" s="39" t="s">
        <v>16</v>
      </c>
      <c r="H30" s="10"/>
      <c r="J30" s="27"/>
    </row>
    <row r="31" spans="2:21" x14ac:dyDescent="0.25">
      <c r="B31" s="37" t="s">
        <v>17</v>
      </c>
      <c r="D31" s="8"/>
      <c r="G31" s="39" t="s">
        <v>18</v>
      </c>
      <c r="H31" s="10"/>
      <c r="J31" s="27"/>
    </row>
    <row r="32" spans="2:21" x14ac:dyDescent="0.25">
      <c r="B32" s="37" t="s">
        <v>19</v>
      </c>
      <c r="D32" s="11"/>
      <c r="E32" s="41" t="s">
        <v>128</v>
      </c>
      <c r="G32" s="39" t="s">
        <v>21</v>
      </c>
      <c r="H32" s="12"/>
      <c r="J32" s="27"/>
      <c r="M32" s="399"/>
      <c r="N32" s="38"/>
    </row>
    <row r="33" spans="2:14" x14ac:dyDescent="0.25">
      <c r="B33" s="37" t="s">
        <v>23</v>
      </c>
      <c r="D33" s="13"/>
      <c r="E33" s="42"/>
      <c r="G33" s="43" t="str">
        <f>IF('INPUT PULVE_DRONE'!B13="N","(**)","")</f>
        <v/>
      </c>
      <c r="H33" s="44"/>
      <c r="J33" s="27"/>
      <c r="M33" s="400"/>
      <c r="N33" s="174"/>
    </row>
    <row r="34" spans="2:14" x14ac:dyDescent="0.25">
      <c r="B34" s="37" t="s">
        <v>24</v>
      </c>
      <c r="D34" s="433" t="str">
        <f>'PEDIDO VIA CLIENTE'!D36</f>
        <v>VICTOR</v>
      </c>
      <c r="E34" s="42"/>
      <c r="G34" s="39"/>
      <c r="H34" s="44"/>
      <c r="J34" s="27"/>
      <c r="L34" s="55"/>
      <c r="M34" s="397"/>
    </row>
    <row r="35" spans="2:14" ht="16.5" thickBot="1" x14ac:dyDescent="0.3">
      <c r="B35" s="33"/>
      <c r="C35" s="17"/>
      <c r="D35" s="17"/>
      <c r="E35" s="17"/>
      <c r="F35" s="17"/>
      <c r="G35" s="17"/>
      <c r="H35" s="17"/>
      <c r="I35" s="17"/>
      <c r="J35" s="34"/>
      <c r="L35" s="55"/>
      <c r="M35" s="398"/>
    </row>
    <row r="36" spans="2:14" ht="16.5" thickBot="1" x14ac:dyDescent="0.3">
      <c r="L36" s="55"/>
      <c r="M36" s="55"/>
    </row>
    <row r="37" spans="2:14" x14ac:dyDescent="0.25">
      <c r="B37" s="668" t="s">
        <v>25</v>
      </c>
      <c r="C37" s="669"/>
      <c r="D37" s="45" t="s">
        <v>26</v>
      </c>
      <c r="E37" s="669" t="s">
        <v>27</v>
      </c>
      <c r="F37" s="669"/>
      <c r="G37" s="669"/>
      <c r="H37" s="669"/>
      <c r="I37" s="45" t="s">
        <v>28</v>
      </c>
      <c r="J37" s="46" t="s">
        <v>46</v>
      </c>
    </row>
    <row r="38" spans="2:14" x14ac:dyDescent="0.25">
      <c r="B38" s="670">
        <f>ROUND('INPUT PULVE_DRONE'!B3/2.42,1)</f>
        <v>0</v>
      </c>
      <c r="C38" s="671"/>
      <c r="D38" s="156" t="s">
        <v>30</v>
      </c>
      <c r="E38" s="642" t="str">
        <f>IF('INPUT PULVE_DRONE'!B11="L","SERVIÇO DE PULVERIZAÇÃO COM DRONE AGRÍCOLA", "SERVIÇO DE DISPERSÃO DE SÓLIDOS")</f>
        <v>SERVIÇO DE DISPERSÃO DE SÓLIDOS</v>
      </c>
      <c r="F38" s="643"/>
      <c r="G38" s="643"/>
      <c r="H38" s="644"/>
      <c r="I38" s="157" t="e">
        <f ca="1">'INPUT PULVE_DRONE'!B30</f>
        <v>#DIV/0!</v>
      </c>
      <c r="J38" s="158" t="e">
        <f ca="1">I38*B38</f>
        <v>#DIV/0!</v>
      </c>
    </row>
    <row r="39" spans="2:14" x14ac:dyDescent="0.25">
      <c r="B39" s="640"/>
      <c r="C39" s="641"/>
      <c r="D39" s="156"/>
      <c r="E39" s="642" t="str">
        <f>"Obstáculos: "&amp;'INPUT PULVE_DRONE'!B4&amp;" // Beira de Mato (m): "&amp;'INPUT PULVE_DRONE'!B5</f>
        <v xml:space="preserve">Obstáculos:  // Beira de Mato (m): </v>
      </c>
      <c r="F39" s="643"/>
      <c r="G39" s="643"/>
      <c r="H39" s="644"/>
      <c r="I39" s="157"/>
      <c r="J39" s="158"/>
    </row>
    <row r="40" spans="2:14" x14ac:dyDescent="0.25">
      <c r="B40" s="631"/>
      <c r="C40" s="632"/>
      <c r="D40" s="156"/>
      <c r="E40" s="159" t="str">
        <f>"Fios de Luz (m): "&amp;'INPUT PULVE_DRONE'!B6&amp;" // Pontos RTK: "&amp;'INPUT PULVE_DRONE'!B7</f>
        <v xml:space="preserve">Fios de Luz (m):  // Pontos RTK: </v>
      </c>
      <c r="F40" s="160"/>
      <c r="G40" s="160"/>
      <c r="H40" s="161"/>
      <c r="I40" s="162"/>
      <c r="J40" s="158"/>
    </row>
    <row r="41" spans="2:14" x14ac:dyDescent="0.25">
      <c r="B41" s="633"/>
      <c r="C41" s="634"/>
      <c r="D41" s="156"/>
      <c r="E41" s="163" t="str">
        <f>"Distância (Km): "&amp;ROUND('INPUT PULVE_DRONE'!B8,1) &amp;" // Aplic.Programada: "&amp;UPPER('INPUT PULVE_DRONE'!B9)</f>
        <v xml:space="preserve">Distância (Km): 0 // Aplic.Programada: </v>
      </c>
      <c r="F41" s="164"/>
      <c r="G41" s="164"/>
      <c r="H41" s="165"/>
      <c r="I41" s="157"/>
      <c r="J41" s="158"/>
    </row>
    <row r="42" spans="2:14" x14ac:dyDescent="0.25">
      <c r="B42" s="501"/>
      <c r="C42" s="502"/>
      <c r="D42" s="156"/>
      <c r="E42" s="637" t="str">
        <f>"Área já mapeada: "&amp;UPPER('INPUT PULVE_DRONE'!B10)&amp;" // Sólido ou Líquido: "&amp;UPPER('INPUT PULVE_DRONE'!B11)&amp;IF('INPUT PULVE_DRONE'!B11="s"," ("&amp;'INPUT PULVE_DRONE'!B12&amp;" Kg/Alq)","")</f>
        <v xml:space="preserve">Área já mapeada:  // Sólido ou Líquido: </v>
      </c>
      <c r="F42" s="638"/>
      <c r="G42" s="638"/>
      <c r="H42" s="639"/>
      <c r="I42" s="157"/>
      <c r="J42" s="158"/>
    </row>
    <row r="43" spans="2:14" x14ac:dyDescent="0.25">
      <c r="B43" s="501"/>
      <c r="C43" s="502"/>
      <c r="D43" s="156"/>
      <c r="E43" s="637" t="str">
        <f>IF('INPUT PULVE_DRONE'!B10="s","","Despesa com Mapeamento: R$ "&amp;ROUND('INPUT PULVE_DRONE'!B16,2))</f>
        <v>Despesa com Mapeamento: R$ 0</v>
      </c>
      <c r="F43" s="638"/>
      <c r="G43" s="638"/>
      <c r="H43" s="639"/>
      <c r="I43" s="157"/>
      <c r="J43" s="158"/>
    </row>
    <row r="44" spans="2:14" x14ac:dyDescent="0.25">
      <c r="B44" s="650"/>
      <c r="C44" s="651"/>
      <c r="D44" s="12"/>
      <c r="E44" s="891"/>
      <c r="F44" s="660"/>
      <c r="G44" s="660"/>
      <c r="H44" s="672"/>
      <c r="I44" s="493"/>
      <c r="J44" s="349">
        <f t="shared" ref="J44:J45" si="0">I44*B44</f>
        <v>0</v>
      </c>
    </row>
    <row r="45" spans="2:14" x14ac:dyDescent="0.25">
      <c r="B45" s="655"/>
      <c r="C45" s="656"/>
      <c r="D45" s="12"/>
      <c r="E45" s="891"/>
      <c r="F45" s="660"/>
      <c r="G45" s="660"/>
      <c r="H45" s="672"/>
      <c r="I45" s="494"/>
      <c r="J45" s="349">
        <f t="shared" si="0"/>
        <v>0</v>
      </c>
    </row>
    <row r="46" spans="2:14" ht="16.5" thickBot="1" x14ac:dyDescent="0.3">
      <c r="B46" s="892"/>
      <c r="C46" s="893"/>
      <c r="D46" s="239"/>
      <c r="E46" s="785"/>
      <c r="F46" s="786"/>
      <c r="G46" s="786"/>
      <c r="H46" s="787"/>
      <c r="I46" s="494"/>
      <c r="J46" s="522">
        <f>I46*B46</f>
        <v>0</v>
      </c>
    </row>
    <row r="47" spans="2:14" ht="16.5" thickBot="1" x14ac:dyDescent="0.3">
      <c r="B47" s="791" t="e">
        <f ca="1">"R$ "&amp;ROUND(J47/B38,2)&amp;" /Alq"</f>
        <v>#DIV/0!</v>
      </c>
      <c r="C47" s="792"/>
      <c r="D47" s="793"/>
      <c r="E47" s="647"/>
      <c r="F47" s="647"/>
      <c r="G47" s="647"/>
      <c r="H47" s="647"/>
      <c r="I47" s="523" t="s">
        <v>31</v>
      </c>
      <c r="J47" s="524" t="e">
        <f ca="1">SUM(J38:J46)</f>
        <v>#DIV/0!</v>
      </c>
    </row>
    <row r="48" spans="2:14" x14ac:dyDescent="0.25">
      <c r="B48" s="492" t="s">
        <v>336</v>
      </c>
      <c r="C48" s="490"/>
      <c r="D48" s="32"/>
    </row>
    <row r="49" spans="2:10" x14ac:dyDescent="0.25">
      <c r="B49" s="492" t="s">
        <v>345</v>
      </c>
      <c r="C49" s="51"/>
      <c r="E49" s="52"/>
      <c r="F49" s="52"/>
      <c r="G49" s="52"/>
      <c r="H49" s="52"/>
    </row>
    <row r="50" spans="2:10" x14ac:dyDescent="0.25">
      <c r="B50" s="623"/>
      <c r="C50" s="624"/>
      <c r="D50" s="624"/>
      <c r="E50" s="624"/>
      <c r="F50" s="624"/>
      <c r="G50" s="624"/>
      <c r="H50" s="624"/>
      <c r="I50" s="624"/>
      <c r="J50" s="625"/>
    </row>
    <row r="51" spans="2:10" x14ac:dyDescent="0.25">
      <c r="B51" s="626"/>
      <c r="C51" s="627"/>
      <c r="D51" s="627"/>
      <c r="E51" s="627"/>
      <c r="F51" s="627"/>
      <c r="G51" s="627"/>
      <c r="H51" s="627"/>
      <c r="I51" s="627"/>
      <c r="J51" s="628"/>
    </row>
    <row r="52" spans="2:10" x14ac:dyDescent="0.25">
      <c r="B52" s="626"/>
      <c r="C52" s="627"/>
      <c r="D52" s="627"/>
      <c r="E52" s="627"/>
      <c r="F52" s="627"/>
      <c r="G52" s="627"/>
      <c r="H52" s="627"/>
      <c r="I52" s="627"/>
      <c r="J52" s="628"/>
    </row>
    <row r="53" spans="2:10" x14ac:dyDescent="0.25">
      <c r="B53" s="626"/>
      <c r="C53" s="627"/>
      <c r="D53" s="627"/>
      <c r="E53" s="627"/>
      <c r="F53" s="627"/>
      <c r="G53" s="627"/>
      <c r="H53" s="627"/>
      <c r="I53" s="627"/>
      <c r="J53" s="628"/>
    </row>
    <row r="54" spans="2:10" x14ac:dyDescent="0.25">
      <c r="B54" s="491" t="s">
        <v>196</v>
      </c>
      <c r="C54" s="54"/>
      <c r="D54" s="54"/>
      <c r="E54" s="54"/>
      <c r="F54" s="54"/>
      <c r="G54" s="54"/>
      <c r="H54" s="54"/>
      <c r="I54" s="54"/>
      <c r="J54" s="54"/>
    </row>
    <row r="55" spans="2:10" x14ac:dyDescent="0.25">
      <c r="B55" s="491"/>
      <c r="C55" s="54"/>
      <c r="D55" s="54"/>
      <c r="E55" s="54"/>
      <c r="F55" s="54"/>
      <c r="G55" s="54"/>
      <c r="H55" s="54"/>
      <c r="I55" s="54"/>
      <c r="J55" s="54"/>
    </row>
    <row r="56" spans="2:10" x14ac:dyDescent="0.25">
      <c r="B56" s="491"/>
      <c r="C56" s="54"/>
      <c r="D56" s="54"/>
      <c r="E56" s="54"/>
      <c r="F56" s="54"/>
      <c r="G56" s="54"/>
      <c r="H56" s="54"/>
      <c r="I56" s="54"/>
      <c r="J56" s="54"/>
    </row>
    <row r="57" spans="2:10" x14ac:dyDescent="0.25">
      <c r="B57" s="491"/>
      <c r="C57" s="54"/>
      <c r="D57" s="54"/>
      <c r="E57" s="54"/>
      <c r="F57" s="54"/>
      <c r="G57" s="54"/>
      <c r="H57" s="54"/>
      <c r="I57" s="54"/>
      <c r="J57" s="54"/>
    </row>
    <row r="58" spans="2:10" x14ac:dyDescent="0.25">
      <c r="B58" s="491"/>
      <c r="C58" s="54"/>
      <c r="D58" s="54"/>
      <c r="E58" s="54"/>
      <c r="F58" s="54"/>
      <c r="G58" s="54"/>
      <c r="H58" s="54"/>
      <c r="I58" s="54"/>
      <c r="J58" s="54"/>
    </row>
    <row r="59" spans="2:10" x14ac:dyDescent="0.25">
      <c r="B59" s="491"/>
      <c r="C59" s="54"/>
      <c r="D59" s="54"/>
      <c r="E59" s="54"/>
      <c r="F59" s="54"/>
      <c r="G59" s="54"/>
      <c r="H59" s="54"/>
      <c r="I59" s="54"/>
      <c r="J59" s="54"/>
    </row>
    <row r="60" spans="2:10" x14ac:dyDescent="0.25">
      <c r="B60" s="491"/>
      <c r="C60" s="54"/>
      <c r="D60" s="54"/>
      <c r="E60" s="54"/>
      <c r="F60" s="54"/>
      <c r="G60" s="54"/>
      <c r="H60" s="54"/>
      <c r="I60" s="54"/>
      <c r="J60" s="54"/>
    </row>
    <row r="61" spans="2:10" x14ac:dyDescent="0.25">
      <c r="B61" s="491"/>
      <c r="C61" s="54"/>
      <c r="D61" s="54"/>
      <c r="E61" s="54"/>
      <c r="F61" s="54"/>
      <c r="G61" s="54"/>
      <c r="H61" s="54"/>
      <c r="I61" s="54"/>
      <c r="J61" s="54"/>
    </row>
    <row r="62" spans="2:10" x14ac:dyDescent="0.25">
      <c r="B62" s="491"/>
      <c r="C62" s="54"/>
      <c r="D62" s="54"/>
      <c r="E62" s="54"/>
      <c r="F62" s="54"/>
      <c r="G62" s="54"/>
      <c r="H62" s="54"/>
      <c r="I62" s="54"/>
      <c r="J62" s="54"/>
    </row>
    <row r="63" spans="2:10" x14ac:dyDescent="0.25">
      <c r="B63" s="491"/>
      <c r="C63" s="54"/>
      <c r="D63" s="54"/>
      <c r="E63" s="54"/>
      <c r="F63" s="54"/>
      <c r="G63" s="54"/>
      <c r="H63" s="54"/>
      <c r="I63" s="54"/>
      <c r="J63" s="54"/>
    </row>
    <row r="65" spans="2:7" x14ac:dyDescent="0.25">
      <c r="B65" s="55" t="s">
        <v>32</v>
      </c>
      <c r="G65" s="55" t="s">
        <v>33</v>
      </c>
    </row>
    <row r="66" spans="2:7" x14ac:dyDescent="0.25">
      <c r="B66" s="55" t="s">
        <v>34</v>
      </c>
      <c r="G66" s="16">
        <f>E13</f>
        <v>0</v>
      </c>
    </row>
  </sheetData>
  <sheetProtection algorithmName="SHA-512" hashValue="oZt7b0GLMxlfIUfH3JTQshHWIV4Mjde/0z8ijzNmlFOaJTTV5qi7F7Td8D8qx11YanvJrlUa89mP7513YXJJIQ==" saltValue="moqFlCzwo2cL3KaTU3/1Vw==" spinCount="100000" sheet="1" selectLockedCells="1"/>
  <mergeCells count="38">
    <mergeCell ref="B53:J53"/>
    <mergeCell ref="E45:H45"/>
    <mergeCell ref="B50:J50"/>
    <mergeCell ref="B51:J51"/>
    <mergeCell ref="B52:J52"/>
    <mergeCell ref="E47:H47"/>
    <mergeCell ref="B47:D47"/>
    <mergeCell ref="B44:C44"/>
    <mergeCell ref="E44:H44"/>
    <mergeCell ref="B45:C45"/>
    <mergeCell ref="B46:C46"/>
    <mergeCell ref="E46:H46"/>
    <mergeCell ref="B40:C40"/>
    <mergeCell ref="B41:C41"/>
    <mergeCell ref="E42:H42"/>
    <mergeCell ref="E43:H43"/>
    <mergeCell ref="B37:C37"/>
    <mergeCell ref="E37:H37"/>
    <mergeCell ref="B38:C38"/>
    <mergeCell ref="E38:H38"/>
    <mergeCell ref="B39:C39"/>
    <mergeCell ref="E39:H39"/>
    <mergeCell ref="E19:I19"/>
    <mergeCell ref="E24:I24"/>
    <mergeCell ref="E25:I25"/>
    <mergeCell ref="E26:I26"/>
    <mergeCell ref="E13:I13"/>
    <mergeCell ref="E14:I14"/>
    <mergeCell ref="E15:I15"/>
    <mergeCell ref="E17:G17"/>
    <mergeCell ref="E18:I18"/>
    <mergeCell ref="G16:I16"/>
    <mergeCell ref="B7:J7"/>
    <mergeCell ref="B8:D8"/>
    <mergeCell ref="E8:G8"/>
    <mergeCell ref="H8:J8"/>
    <mergeCell ref="B9:E9"/>
    <mergeCell ref="G9:J9"/>
  </mergeCells>
  <dataValidations count="1">
    <dataValidation allowBlank="1" showInputMessage="1" showErrorMessage="1" errorTitle="Data Inválida!" sqref="D30" xr:uid="{BCF45E42-CF68-473C-9F3C-BC16B5077448}"/>
  </dataValidations>
  <pageMargins left="0.511811024" right="0.511811024" top="0.78740157499999996" bottom="0.78740157499999996" header="0.31496062000000002" footer="0.31496062000000002"/>
  <pageSetup paperSize="9" scale="72" orientation="portrait" horizontalDpi="360" verticalDpi="36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12">
    <pageSetUpPr fitToPage="1"/>
  </sheetPr>
  <dimension ref="B6:K59"/>
  <sheetViews>
    <sheetView showGridLines="0" zoomScaleNormal="100" zoomScaleSheetLayoutView="100" workbookViewId="0">
      <selection activeCell="E13" sqref="E13:I13"/>
    </sheetView>
  </sheetViews>
  <sheetFormatPr defaultColWidth="9.140625" defaultRowHeight="15.75" x14ac:dyDescent="0.25"/>
  <cols>
    <col min="1" max="1" width="9.140625" style="16"/>
    <col min="2" max="2" width="8" style="16" customWidth="1"/>
    <col min="3" max="3" width="6.85546875" style="16" customWidth="1"/>
    <col min="4" max="4" width="13" style="16" bestFit="1" customWidth="1"/>
    <col min="5" max="6" width="9.140625" style="16"/>
    <col min="7" max="7" width="10.28515625" style="16" customWidth="1"/>
    <col min="8" max="8" width="13" style="16" customWidth="1"/>
    <col min="9" max="9" width="16.85546875" style="16" customWidth="1"/>
    <col min="10" max="10" width="18.28515625" style="16" bestFit="1" customWidth="1"/>
    <col min="11" max="257" width="9.140625" style="16"/>
    <col min="258" max="258" width="8" style="16" customWidth="1"/>
    <col min="259" max="259" width="6.85546875" style="16" customWidth="1"/>
    <col min="260" max="260" width="14" style="16" bestFit="1" customWidth="1"/>
    <col min="261" max="262" width="9.140625" style="16"/>
    <col min="263" max="263" width="10.28515625" style="16" customWidth="1"/>
    <col min="264" max="264" width="13" style="16" customWidth="1"/>
    <col min="265" max="265" width="14.42578125" style="16" bestFit="1" customWidth="1"/>
    <col min="266" max="266" width="15.7109375" style="16" bestFit="1" customWidth="1"/>
    <col min="267" max="513" width="9.140625" style="16"/>
    <col min="514" max="514" width="8" style="16" customWidth="1"/>
    <col min="515" max="515" width="6.85546875" style="16" customWidth="1"/>
    <col min="516" max="516" width="14" style="16" bestFit="1" customWidth="1"/>
    <col min="517" max="518" width="9.140625" style="16"/>
    <col min="519" max="519" width="10.28515625" style="16" customWidth="1"/>
    <col min="520" max="520" width="13" style="16" customWidth="1"/>
    <col min="521" max="521" width="14.42578125" style="16" bestFit="1" customWidth="1"/>
    <col min="522" max="522" width="15.7109375" style="16" bestFit="1" customWidth="1"/>
    <col min="523" max="769" width="9.140625" style="16"/>
    <col min="770" max="770" width="8" style="16" customWidth="1"/>
    <col min="771" max="771" width="6.85546875" style="16" customWidth="1"/>
    <col min="772" max="772" width="14" style="16" bestFit="1" customWidth="1"/>
    <col min="773" max="774" width="9.140625" style="16"/>
    <col min="775" max="775" width="10.28515625" style="16" customWidth="1"/>
    <col min="776" max="776" width="13" style="16" customWidth="1"/>
    <col min="777" max="777" width="14.42578125" style="16" bestFit="1" customWidth="1"/>
    <col min="778" max="778" width="15.7109375" style="16" bestFit="1" customWidth="1"/>
    <col min="779" max="1025" width="9.140625" style="16"/>
    <col min="1026" max="1026" width="8" style="16" customWidth="1"/>
    <col min="1027" max="1027" width="6.85546875" style="16" customWidth="1"/>
    <col min="1028" max="1028" width="14" style="16" bestFit="1" customWidth="1"/>
    <col min="1029" max="1030" width="9.140625" style="16"/>
    <col min="1031" max="1031" width="10.28515625" style="16" customWidth="1"/>
    <col min="1032" max="1032" width="13" style="16" customWidth="1"/>
    <col min="1033" max="1033" width="14.42578125" style="16" bestFit="1" customWidth="1"/>
    <col min="1034" max="1034" width="15.7109375" style="16" bestFit="1" customWidth="1"/>
    <col min="1035" max="1281" width="9.140625" style="16"/>
    <col min="1282" max="1282" width="8" style="16" customWidth="1"/>
    <col min="1283" max="1283" width="6.85546875" style="16" customWidth="1"/>
    <col min="1284" max="1284" width="14" style="16" bestFit="1" customWidth="1"/>
    <col min="1285" max="1286" width="9.140625" style="16"/>
    <col min="1287" max="1287" width="10.28515625" style="16" customWidth="1"/>
    <col min="1288" max="1288" width="13" style="16" customWidth="1"/>
    <col min="1289" max="1289" width="14.42578125" style="16" bestFit="1" customWidth="1"/>
    <col min="1290" max="1290" width="15.7109375" style="16" bestFit="1" customWidth="1"/>
    <col min="1291" max="1537" width="9.140625" style="16"/>
    <col min="1538" max="1538" width="8" style="16" customWidth="1"/>
    <col min="1539" max="1539" width="6.85546875" style="16" customWidth="1"/>
    <col min="1540" max="1540" width="14" style="16" bestFit="1" customWidth="1"/>
    <col min="1541" max="1542" width="9.140625" style="16"/>
    <col min="1543" max="1543" width="10.28515625" style="16" customWidth="1"/>
    <col min="1544" max="1544" width="13" style="16" customWidth="1"/>
    <col min="1545" max="1545" width="14.42578125" style="16" bestFit="1" customWidth="1"/>
    <col min="1546" max="1546" width="15.7109375" style="16" bestFit="1" customWidth="1"/>
    <col min="1547" max="1793" width="9.140625" style="16"/>
    <col min="1794" max="1794" width="8" style="16" customWidth="1"/>
    <col min="1795" max="1795" width="6.85546875" style="16" customWidth="1"/>
    <col min="1796" max="1796" width="14" style="16" bestFit="1" customWidth="1"/>
    <col min="1797" max="1798" width="9.140625" style="16"/>
    <col min="1799" max="1799" width="10.28515625" style="16" customWidth="1"/>
    <col min="1800" max="1800" width="13" style="16" customWidth="1"/>
    <col min="1801" max="1801" width="14.42578125" style="16" bestFit="1" customWidth="1"/>
    <col min="1802" max="1802" width="15.7109375" style="16" bestFit="1" customWidth="1"/>
    <col min="1803" max="2049" width="9.140625" style="16"/>
    <col min="2050" max="2050" width="8" style="16" customWidth="1"/>
    <col min="2051" max="2051" width="6.85546875" style="16" customWidth="1"/>
    <col min="2052" max="2052" width="14" style="16" bestFit="1" customWidth="1"/>
    <col min="2053" max="2054" width="9.140625" style="16"/>
    <col min="2055" max="2055" width="10.28515625" style="16" customWidth="1"/>
    <col min="2056" max="2056" width="13" style="16" customWidth="1"/>
    <col min="2057" max="2057" width="14.42578125" style="16" bestFit="1" customWidth="1"/>
    <col min="2058" max="2058" width="15.7109375" style="16" bestFit="1" customWidth="1"/>
    <col min="2059" max="2305" width="9.140625" style="16"/>
    <col min="2306" max="2306" width="8" style="16" customWidth="1"/>
    <col min="2307" max="2307" width="6.85546875" style="16" customWidth="1"/>
    <col min="2308" max="2308" width="14" style="16" bestFit="1" customWidth="1"/>
    <col min="2309" max="2310" width="9.140625" style="16"/>
    <col min="2311" max="2311" width="10.28515625" style="16" customWidth="1"/>
    <col min="2312" max="2312" width="13" style="16" customWidth="1"/>
    <col min="2313" max="2313" width="14.42578125" style="16" bestFit="1" customWidth="1"/>
    <col min="2314" max="2314" width="15.7109375" style="16" bestFit="1" customWidth="1"/>
    <col min="2315" max="2561" width="9.140625" style="16"/>
    <col min="2562" max="2562" width="8" style="16" customWidth="1"/>
    <col min="2563" max="2563" width="6.85546875" style="16" customWidth="1"/>
    <col min="2564" max="2564" width="14" style="16" bestFit="1" customWidth="1"/>
    <col min="2565" max="2566" width="9.140625" style="16"/>
    <col min="2567" max="2567" width="10.28515625" style="16" customWidth="1"/>
    <col min="2568" max="2568" width="13" style="16" customWidth="1"/>
    <col min="2569" max="2569" width="14.42578125" style="16" bestFit="1" customWidth="1"/>
    <col min="2570" max="2570" width="15.7109375" style="16" bestFit="1" customWidth="1"/>
    <col min="2571" max="2817" width="9.140625" style="16"/>
    <col min="2818" max="2818" width="8" style="16" customWidth="1"/>
    <col min="2819" max="2819" width="6.85546875" style="16" customWidth="1"/>
    <col min="2820" max="2820" width="14" style="16" bestFit="1" customWidth="1"/>
    <col min="2821" max="2822" width="9.140625" style="16"/>
    <col min="2823" max="2823" width="10.28515625" style="16" customWidth="1"/>
    <col min="2824" max="2824" width="13" style="16" customWidth="1"/>
    <col min="2825" max="2825" width="14.42578125" style="16" bestFit="1" customWidth="1"/>
    <col min="2826" max="2826" width="15.7109375" style="16" bestFit="1" customWidth="1"/>
    <col min="2827" max="3073" width="9.140625" style="16"/>
    <col min="3074" max="3074" width="8" style="16" customWidth="1"/>
    <col min="3075" max="3075" width="6.85546875" style="16" customWidth="1"/>
    <col min="3076" max="3076" width="14" style="16" bestFit="1" customWidth="1"/>
    <col min="3077" max="3078" width="9.140625" style="16"/>
    <col min="3079" max="3079" width="10.28515625" style="16" customWidth="1"/>
    <col min="3080" max="3080" width="13" style="16" customWidth="1"/>
    <col min="3081" max="3081" width="14.42578125" style="16" bestFit="1" customWidth="1"/>
    <col min="3082" max="3082" width="15.7109375" style="16" bestFit="1" customWidth="1"/>
    <col min="3083" max="3329" width="9.140625" style="16"/>
    <col min="3330" max="3330" width="8" style="16" customWidth="1"/>
    <col min="3331" max="3331" width="6.85546875" style="16" customWidth="1"/>
    <col min="3332" max="3332" width="14" style="16" bestFit="1" customWidth="1"/>
    <col min="3333" max="3334" width="9.140625" style="16"/>
    <col min="3335" max="3335" width="10.28515625" style="16" customWidth="1"/>
    <col min="3336" max="3336" width="13" style="16" customWidth="1"/>
    <col min="3337" max="3337" width="14.42578125" style="16" bestFit="1" customWidth="1"/>
    <col min="3338" max="3338" width="15.7109375" style="16" bestFit="1" customWidth="1"/>
    <col min="3339" max="3585" width="9.140625" style="16"/>
    <col min="3586" max="3586" width="8" style="16" customWidth="1"/>
    <col min="3587" max="3587" width="6.85546875" style="16" customWidth="1"/>
    <col min="3588" max="3588" width="14" style="16" bestFit="1" customWidth="1"/>
    <col min="3589" max="3590" width="9.140625" style="16"/>
    <col min="3591" max="3591" width="10.28515625" style="16" customWidth="1"/>
    <col min="3592" max="3592" width="13" style="16" customWidth="1"/>
    <col min="3593" max="3593" width="14.42578125" style="16" bestFit="1" customWidth="1"/>
    <col min="3594" max="3594" width="15.7109375" style="16" bestFit="1" customWidth="1"/>
    <col min="3595" max="3841" width="9.140625" style="16"/>
    <col min="3842" max="3842" width="8" style="16" customWidth="1"/>
    <col min="3843" max="3843" width="6.85546875" style="16" customWidth="1"/>
    <col min="3844" max="3844" width="14" style="16" bestFit="1" customWidth="1"/>
    <col min="3845" max="3846" width="9.140625" style="16"/>
    <col min="3847" max="3847" width="10.28515625" style="16" customWidth="1"/>
    <col min="3848" max="3848" width="13" style="16" customWidth="1"/>
    <col min="3849" max="3849" width="14.42578125" style="16" bestFit="1" customWidth="1"/>
    <col min="3850" max="3850" width="15.7109375" style="16" bestFit="1" customWidth="1"/>
    <col min="3851" max="4097" width="9.140625" style="16"/>
    <col min="4098" max="4098" width="8" style="16" customWidth="1"/>
    <col min="4099" max="4099" width="6.85546875" style="16" customWidth="1"/>
    <col min="4100" max="4100" width="14" style="16" bestFit="1" customWidth="1"/>
    <col min="4101" max="4102" width="9.140625" style="16"/>
    <col min="4103" max="4103" width="10.28515625" style="16" customWidth="1"/>
    <col min="4104" max="4104" width="13" style="16" customWidth="1"/>
    <col min="4105" max="4105" width="14.42578125" style="16" bestFit="1" customWidth="1"/>
    <col min="4106" max="4106" width="15.7109375" style="16" bestFit="1" customWidth="1"/>
    <col min="4107" max="4353" width="9.140625" style="16"/>
    <col min="4354" max="4354" width="8" style="16" customWidth="1"/>
    <col min="4355" max="4355" width="6.85546875" style="16" customWidth="1"/>
    <col min="4356" max="4356" width="14" style="16" bestFit="1" customWidth="1"/>
    <col min="4357" max="4358" width="9.140625" style="16"/>
    <col min="4359" max="4359" width="10.28515625" style="16" customWidth="1"/>
    <col min="4360" max="4360" width="13" style="16" customWidth="1"/>
    <col min="4361" max="4361" width="14.42578125" style="16" bestFit="1" customWidth="1"/>
    <col min="4362" max="4362" width="15.7109375" style="16" bestFit="1" customWidth="1"/>
    <col min="4363" max="4609" width="9.140625" style="16"/>
    <col min="4610" max="4610" width="8" style="16" customWidth="1"/>
    <col min="4611" max="4611" width="6.85546875" style="16" customWidth="1"/>
    <col min="4612" max="4612" width="14" style="16" bestFit="1" customWidth="1"/>
    <col min="4613" max="4614" width="9.140625" style="16"/>
    <col min="4615" max="4615" width="10.28515625" style="16" customWidth="1"/>
    <col min="4616" max="4616" width="13" style="16" customWidth="1"/>
    <col min="4617" max="4617" width="14.42578125" style="16" bestFit="1" customWidth="1"/>
    <col min="4618" max="4618" width="15.7109375" style="16" bestFit="1" customWidth="1"/>
    <col min="4619" max="4865" width="9.140625" style="16"/>
    <col min="4866" max="4866" width="8" style="16" customWidth="1"/>
    <col min="4867" max="4867" width="6.85546875" style="16" customWidth="1"/>
    <col min="4868" max="4868" width="14" style="16" bestFit="1" customWidth="1"/>
    <col min="4869" max="4870" width="9.140625" style="16"/>
    <col min="4871" max="4871" width="10.28515625" style="16" customWidth="1"/>
    <col min="4872" max="4872" width="13" style="16" customWidth="1"/>
    <col min="4873" max="4873" width="14.42578125" style="16" bestFit="1" customWidth="1"/>
    <col min="4874" max="4874" width="15.7109375" style="16" bestFit="1" customWidth="1"/>
    <col min="4875" max="5121" width="9.140625" style="16"/>
    <col min="5122" max="5122" width="8" style="16" customWidth="1"/>
    <col min="5123" max="5123" width="6.85546875" style="16" customWidth="1"/>
    <col min="5124" max="5124" width="14" style="16" bestFit="1" customWidth="1"/>
    <col min="5125" max="5126" width="9.140625" style="16"/>
    <col min="5127" max="5127" width="10.28515625" style="16" customWidth="1"/>
    <col min="5128" max="5128" width="13" style="16" customWidth="1"/>
    <col min="5129" max="5129" width="14.42578125" style="16" bestFit="1" customWidth="1"/>
    <col min="5130" max="5130" width="15.7109375" style="16" bestFit="1" customWidth="1"/>
    <col min="5131" max="5377" width="9.140625" style="16"/>
    <col min="5378" max="5378" width="8" style="16" customWidth="1"/>
    <col min="5379" max="5379" width="6.85546875" style="16" customWidth="1"/>
    <col min="5380" max="5380" width="14" style="16" bestFit="1" customWidth="1"/>
    <col min="5381" max="5382" width="9.140625" style="16"/>
    <col min="5383" max="5383" width="10.28515625" style="16" customWidth="1"/>
    <col min="5384" max="5384" width="13" style="16" customWidth="1"/>
    <col min="5385" max="5385" width="14.42578125" style="16" bestFit="1" customWidth="1"/>
    <col min="5386" max="5386" width="15.7109375" style="16" bestFit="1" customWidth="1"/>
    <col min="5387" max="5633" width="9.140625" style="16"/>
    <col min="5634" max="5634" width="8" style="16" customWidth="1"/>
    <col min="5635" max="5635" width="6.85546875" style="16" customWidth="1"/>
    <col min="5636" max="5636" width="14" style="16" bestFit="1" customWidth="1"/>
    <col min="5637" max="5638" width="9.140625" style="16"/>
    <col min="5639" max="5639" width="10.28515625" style="16" customWidth="1"/>
    <col min="5640" max="5640" width="13" style="16" customWidth="1"/>
    <col min="5641" max="5641" width="14.42578125" style="16" bestFit="1" customWidth="1"/>
    <col min="5642" max="5642" width="15.7109375" style="16" bestFit="1" customWidth="1"/>
    <col min="5643" max="5889" width="9.140625" style="16"/>
    <col min="5890" max="5890" width="8" style="16" customWidth="1"/>
    <col min="5891" max="5891" width="6.85546875" style="16" customWidth="1"/>
    <col min="5892" max="5892" width="14" style="16" bestFit="1" customWidth="1"/>
    <col min="5893" max="5894" width="9.140625" style="16"/>
    <col min="5895" max="5895" width="10.28515625" style="16" customWidth="1"/>
    <col min="5896" max="5896" width="13" style="16" customWidth="1"/>
    <col min="5897" max="5897" width="14.42578125" style="16" bestFit="1" customWidth="1"/>
    <col min="5898" max="5898" width="15.7109375" style="16" bestFit="1" customWidth="1"/>
    <col min="5899" max="6145" width="9.140625" style="16"/>
    <col min="6146" max="6146" width="8" style="16" customWidth="1"/>
    <col min="6147" max="6147" width="6.85546875" style="16" customWidth="1"/>
    <col min="6148" max="6148" width="14" style="16" bestFit="1" customWidth="1"/>
    <col min="6149" max="6150" width="9.140625" style="16"/>
    <col min="6151" max="6151" width="10.28515625" style="16" customWidth="1"/>
    <col min="6152" max="6152" width="13" style="16" customWidth="1"/>
    <col min="6153" max="6153" width="14.42578125" style="16" bestFit="1" customWidth="1"/>
    <col min="6154" max="6154" width="15.7109375" style="16" bestFit="1" customWidth="1"/>
    <col min="6155" max="6401" width="9.140625" style="16"/>
    <col min="6402" max="6402" width="8" style="16" customWidth="1"/>
    <col min="6403" max="6403" width="6.85546875" style="16" customWidth="1"/>
    <col min="6404" max="6404" width="14" style="16" bestFit="1" customWidth="1"/>
    <col min="6405" max="6406" width="9.140625" style="16"/>
    <col min="6407" max="6407" width="10.28515625" style="16" customWidth="1"/>
    <col min="6408" max="6408" width="13" style="16" customWidth="1"/>
    <col min="6409" max="6409" width="14.42578125" style="16" bestFit="1" customWidth="1"/>
    <col min="6410" max="6410" width="15.7109375" style="16" bestFit="1" customWidth="1"/>
    <col min="6411" max="6657" width="9.140625" style="16"/>
    <col min="6658" max="6658" width="8" style="16" customWidth="1"/>
    <col min="6659" max="6659" width="6.85546875" style="16" customWidth="1"/>
    <col min="6660" max="6660" width="14" style="16" bestFit="1" customWidth="1"/>
    <col min="6661" max="6662" width="9.140625" style="16"/>
    <col min="6663" max="6663" width="10.28515625" style="16" customWidth="1"/>
    <col min="6664" max="6664" width="13" style="16" customWidth="1"/>
    <col min="6665" max="6665" width="14.42578125" style="16" bestFit="1" customWidth="1"/>
    <col min="6666" max="6666" width="15.7109375" style="16" bestFit="1" customWidth="1"/>
    <col min="6667" max="6913" width="9.140625" style="16"/>
    <col min="6914" max="6914" width="8" style="16" customWidth="1"/>
    <col min="6915" max="6915" width="6.85546875" style="16" customWidth="1"/>
    <col min="6916" max="6916" width="14" style="16" bestFit="1" customWidth="1"/>
    <col min="6917" max="6918" width="9.140625" style="16"/>
    <col min="6919" max="6919" width="10.28515625" style="16" customWidth="1"/>
    <col min="6920" max="6920" width="13" style="16" customWidth="1"/>
    <col min="6921" max="6921" width="14.42578125" style="16" bestFit="1" customWidth="1"/>
    <col min="6922" max="6922" width="15.7109375" style="16" bestFit="1" customWidth="1"/>
    <col min="6923" max="7169" width="9.140625" style="16"/>
    <col min="7170" max="7170" width="8" style="16" customWidth="1"/>
    <col min="7171" max="7171" width="6.85546875" style="16" customWidth="1"/>
    <col min="7172" max="7172" width="14" style="16" bestFit="1" customWidth="1"/>
    <col min="7173" max="7174" width="9.140625" style="16"/>
    <col min="7175" max="7175" width="10.28515625" style="16" customWidth="1"/>
    <col min="7176" max="7176" width="13" style="16" customWidth="1"/>
    <col min="7177" max="7177" width="14.42578125" style="16" bestFit="1" customWidth="1"/>
    <col min="7178" max="7178" width="15.7109375" style="16" bestFit="1" customWidth="1"/>
    <col min="7179" max="7425" width="9.140625" style="16"/>
    <col min="7426" max="7426" width="8" style="16" customWidth="1"/>
    <col min="7427" max="7427" width="6.85546875" style="16" customWidth="1"/>
    <col min="7428" max="7428" width="14" style="16" bestFit="1" customWidth="1"/>
    <col min="7429" max="7430" width="9.140625" style="16"/>
    <col min="7431" max="7431" width="10.28515625" style="16" customWidth="1"/>
    <col min="7432" max="7432" width="13" style="16" customWidth="1"/>
    <col min="7433" max="7433" width="14.42578125" style="16" bestFit="1" customWidth="1"/>
    <col min="7434" max="7434" width="15.7109375" style="16" bestFit="1" customWidth="1"/>
    <col min="7435" max="7681" width="9.140625" style="16"/>
    <col min="7682" max="7682" width="8" style="16" customWidth="1"/>
    <col min="7683" max="7683" width="6.85546875" style="16" customWidth="1"/>
    <col min="7684" max="7684" width="14" style="16" bestFit="1" customWidth="1"/>
    <col min="7685" max="7686" width="9.140625" style="16"/>
    <col min="7687" max="7687" width="10.28515625" style="16" customWidth="1"/>
    <col min="7688" max="7688" width="13" style="16" customWidth="1"/>
    <col min="7689" max="7689" width="14.42578125" style="16" bestFit="1" customWidth="1"/>
    <col min="7690" max="7690" width="15.7109375" style="16" bestFit="1" customWidth="1"/>
    <col min="7691" max="7937" width="9.140625" style="16"/>
    <col min="7938" max="7938" width="8" style="16" customWidth="1"/>
    <col min="7939" max="7939" width="6.85546875" style="16" customWidth="1"/>
    <col min="7940" max="7940" width="14" style="16" bestFit="1" customWidth="1"/>
    <col min="7941" max="7942" width="9.140625" style="16"/>
    <col min="7943" max="7943" width="10.28515625" style="16" customWidth="1"/>
    <col min="7944" max="7944" width="13" style="16" customWidth="1"/>
    <col min="7945" max="7945" width="14.42578125" style="16" bestFit="1" customWidth="1"/>
    <col min="7946" max="7946" width="15.7109375" style="16" bestFit="1" customWidth="1"/>
    <col min="7947" max="8193" width="9.140625" style="16"/>
    <col min="8194" max="8194" width="8" style="16" customWidth="1"/>
    <col min="8195" max="8195" width="6.85546875" style="16" customWidth="1"/>
    <col min="8196" max="8196" width="14" style="16" bestFit="1" customWidth="1"/>
    <col min="8197" max="8198" width="9.140625" style="16"/>
    <col min="8199" max="8199" width="10.28515625" style="16" customWidth="1"/>
    <col min="8200" max="8200" width="13" style="16" customWidth="1"/>
    <col min="8201" max="8201" width="14.42578125" style="16" bestFit="1" customWidth="1"/>
    <col min="8202" max="8202" width="15.7109375" style="16" bestFit="1" customWidth="1"/>
    <col min="8203" max="8449" width="9.140625" style="16"/>
    <col min="8450" max="8450" width="8" style="16" customWidth="1"/>
    <col min="8451" max="8451" width="6.85546875" style="16" customWidth="1"/>
    <col min="8452" max="8452" width="14" style="16" bestFit="1" customWidth="1"/>
    <col min="8453" max="8454" width="9.140625" style="16"/>
    <col min="8455" max="8455" width="10.28515625" style="16" customWidth="1"/>
    <col min="8456" max="8456" width="13" style="16" customWidth="1"/>
    <col min="8457" max="8457" width="14.42578125" style="16" bestFit="1" customWidth="1"/>
    <col min="8458" max="8458" width="15.7109375" style="16" bestFit="1" customWidth="1"/>
    <col min="8459" max="8705" width="9.140625" style="16"/>
    <col min="8706" max="8706" width="8" style="16" customWidth="1"/>
    <col min="8707" max="8707" width="6.85546875" style="16" customWidth="1"/>
    <col min="8708" max="8708" width="14" style="16" bestFit="1" customWidth="1"/>
    <col min="8709" max="8710" width="9.140625" style="16"/>
    <col min="8711" max="8711" width="10.28515625" style="16" customWidth="1"/>
    <col min="8712" max="8712" width="13" style="16" customWidth="1"/>
    <col min="8713" max="8713" width="14.42578125" style="16" bestFit="1" customWidth="1"/>
    <col min="8714" max="8714" width="15.7109375" style="16" bestFit="1" customWidth="1"/>
    <col min="8715" max="8961" width="9.140625" style="16"/>
    <col min="8962" max="8962" width="8" style="16" customWidth="1"/>
    <col min="8963" max="8963" width="6.85546875" style="16" customWidth="1"/>
    <col min="8964" max="8964" width="14" style="16" bestFit="1" customWidth="1"/>
    <col min="8965" max="8966" width="9.140625" style="16"/>
    <col min="8967" max="8967" width="10.28515625" style="16" customWidth="1"/>
    <col min="8968" max="8968" width="13" style="16" customWidth="1"/>
    <col min="8969" max="8969" width="14.42578125" style="16" bestFit="1" customWidth="1"/>
    <col min="8970" max="8970" width="15.7109375" style="16" bestFit="1" customWidth="1"/>
    <col min="8971" max="9217" width="9.140625" style="16"/>
    <col min="9218" max="9218" width="8" style="16" customWidth="1"/>
    <col min="9219" max="9219" width="6.85546875" style="16" customWidth="1"/>
    <col min="9220" max="9220" width="14" style="16" bestFit="1" customWidth="1"/>
    <col min="9221" max="9222" width="9.140625" style="16"/>
    <col min="9223" max="9223" width="10.28515625" style="16" customWidth="1"/>
    <col min="9224" max="9224" width="13" style="16" customWidth="1"/>
    <col min="9225" max="9225" width="14.42578125" style="16" bestFit="1" customWidth="1"/>
    <col min="9226" max="9226" width="15.7109375" style="16" bestFit="1" customWidth="1"/>
    <col min="9227" max="9473" width="9.140625" style="16"/>
    <col min="9474" max="9474" width="8" style="16" customWidth="1"/>
    <col min="9475" max="9475" width="6.85546875" style="16" customWidth="1"/>
    <col min="9476" max="9476" width="14" style="16" bestFit="1" customWidth="1"/>
    <col min="9477" max="9478" width="9.140625" style="16"/>
    <col min="9479" max="9479" width="10.28515625" style="16" customWidth="1"/>
    <col min="9480" max="9480" width="13" style="16" customWidth="1"/>
    <col min="9481" max="9481" width="14.42578125" style="16" bestFit="1" customWidth="1"/>
    <col min="9482" max="9482" width="15.7109375" style="16" bestFit="1" customWidth="1"/>
    <col min="9483" max="9729" width="9.140625" style="16"/>
    <col min="9730" max="9730" width="8" style="16" customWidth="1"/>
    <col min="9731" max="9731" width="6.85546875" style="16" customWidth="1"/>
    <col min="9732" max="9732" width="14" style="16" bestFit="1" customWidth="1"/>
    <col min="9733" max="9734" width="9.140625" style="16"/>
    <col min="9735" max="9735" width="10.28515625" style="16" customWidth="1"/>
    <col min="9736" max="9736" width="13" style="16" customWidth="1"/>
    <col min="9737" max="9737" width="14.42578125" style="16" bestFit="1" customWidth="1"/>
    <col min="9738" max="9738" width="15.7109375" style="16" bestFit="1" customWidth="1"/>
    <col min="9739" max="9985" width="9.140625" style="16"/>
    <col min="9986" max="9986" width="8" style="16" customWidth="1"/>
    <col min="9987" max="9987" width="6.85546875" style="16" customWidth="1"/>
    <col min="9988" max="9988" width="14" style="16" bestFit="1" customWidth="1"/>
    <col min="9989" max="9990" width="9.140625" style="16"/>
    <col min="9991" max="9991" width="10.28515625" style="16" customWidth="1"/>
    <col min="9992" max="9992" width="13" style="16" customWidth="1"/>
    <col min="9993" max="9993" width="14.42578125" style="16" bestFit="1" customWidth="1"/>
    <col min="9994" max="9994" width="15.7109375" style="16" bestFit="1" customWidth="1"/>
    <col min="9995" max="10241" width="9.140625" style="16"/>
    <col min="10242" max="10242" width="8" style="16" customWidth="1"/>
    <col min="10243" max="10243" width="6.85546875" style="16" customWidth="1"/>
    <col min="10244" max="10244" width="14" style="16" bestFit="1" customWidth="1"/>
    <col min="10245" max="10246" width="9.140625" style="16"/>
    <col min="10247" max="10247" width="10.28515625" style="16" customWidth="1"/>
    <col min="10248" max="10248" width="13" style="16" customWidth="1"/>
    <col min="10249" max="10249" width="14.42578125" style="16" bestFit="1" customWidth="1"/>
    <col min="10250" max="10250" width="15.7109375" style="16" bestFit="1" customWidth="1"/>
    <col min="10251" max="10497" width="9.140625" style="16"/>
    <col min="10498" max="10498" width="8" style="16" customWidth="1"/>
    <col min="10499" max="10499" width="6.85546875" style="16" customWidth="1"/>
    <col min="10500" max="10500" width="14" style="16" bestFit="1" customWidth="1"/>
    <col min="10501" max="10502" width="9.140625" style="16"/>
    <col min="10503" max="10503" width="10.28515625" style="16" customWidth="1"/>
    <col min="10504" max="10504" width="13" style="16" customWidth="1"/>
    <col min="10505" max="10505" width="14.42578125" style="16" bestFit="1" customWidth="1"/>
    <col min="10506" max="10506" width="15.7109375" style="16" bestFit="1" customWidth="1"/>
    <col min="10507" max="10753" width="9.140625" style="16"/>
    <col min="10754" max="10754" width="8" style="16" customWidth="1"/>
    <col min="10755" max="10755" width="6.85546875" style="16" customWidth="1"/>
    <col min="10756" max="10756" width="14" style="16" bestFit="1" customWidth="1"/>
    <col min="10757" max="10758" width="9.140625" style="16"/>
    <col min="10759" max="10759" width="10.28515625" style="16" customWidth="1"/>
    <col min="10760" max="10760" width="13" style="16" customWidth="1"/>
    <col min="10761" max="10761" width="14.42578125" style="16" bestFit="1" customWidth="1"/>
    <col min="10762" max="10762" width="15.7109375" style="16" bestFit="1" customWidth="1"/>
    <col min="10763" max="11009" width="9.140625" style="16"/>
    <col min="11010" max="11010" width="8" style="16" customWidth="1"/>
    <col min="11011" max="11011" width="6.85546875" style="16" customWidth="1"/>
    <col min="11012" max="11012" width="14" style="16" bestFit="1" customWidth="1"/>
    <col min="11013" max="11014" width="9.140625" style="16"/>
    <col min="11015" max="11015" width="10.28515625" style="16" customWidth="1"/>
    <col min="11016" max="11016" width="13" style="16" customWidth="1"/>
    <col min="11017" max="11017" width="14.42578125" style="16" bestFit="1" customWidth="1"/>
    <col min="11018" max="11018" width="15.7109375" style="16" bestFit="1" customWidth="1"/>
    <col min="11019" max="11265" width="9.140625" style="16"/>
    <col min="11266" max="11266" width="8" style="16" customWidth="1"/>
    <col min="11267" max="11267" width="6.85546875" style="16" customWidth="1"/>
    <col min="11268" max="11268" width="14" style="16" bestFit="1" customWidth="1"/>
    <col min="11269" max="11270" width="9.140625" style="16"/>
    <col min="11271" max="11271" width="10.28515625" style="16" customWidth="1"/>
    <col min="11272" max="11272" width="13" style="16" customWidth="1"/>
    <col min="11273" max="11273" width="14.42578125" style="16" bestFit="1" customWidth="1"/>
    <col min="11274" max="11274" width="15.7109375" style="16" bestFit="1" customWidth="1"/>
    <col min="11275" max="11521" width="9.140625" style="16"/>
    <col min="11522" max="11522" width="8" style="16" customWidth="1"/>
    <col min="11523" max="11523" width="6.85546875" style="16" customWidth="1"/>
    <col min="11524" max="11524" width="14" style="16" bestFit="1" customWidth="1"/>
    <col min="11525" max="11526" width="9.140625" style="16"/>
    <col min="11527" max="11527" width="10.28515625" style="16" customWidth="1"/>
    <col min="11528" max="11528" width="13" style="16" customWidth="1"/>
    <col min="11529" max="11529" width="14.42578125" style="16" bestFit="1" customWidth="1"/>
    <col min="11530" max="11530" width="15.7109375" style="16" bestFit="1" customWidth="1"/>
    <col min="11531" max="11777" width="9.140625" style="16"/>
    <col min="11778" max="11778" width="8" style="16" customWidth="1"/>
    <col min="11779" max="11779" width="6.85546875" style="16" customWidth="1"/>
    <col min="11780" max="11780" width="14" style="16" bestFit="1" customWidth="1"/>
    <col min="11781" max="11782" width="9.140625" style="16"/>
    <col min="11783" max="11783" width="10.28515625" style="16" customWidth="1"/>
    <col min="11784" max="11784" width="13" style="16" customWidth="1"/>
    <col min="11785" max="11785" width="14.42578125" style="16" bestFit="1" customWidth="1"/>
    <col min="11786" max="11786" width="15.7109375" style="16" bestFit="1" customWidth="1"/>
    <col min="11787" max="12033" width="9.140625" style="16"/>
    <col min="12034" max="12034" width="8" style="16" customWidth="1"/>
    <col min="12035" max="12035" width="6.85546875" style="16" customWidth="1"/>
    <col min="12036" max="12036" width="14" style="16" bestFit="1" customWidth="1"/>
    <col min="12037" max="12038" width="9.140625" style="16"/>
    <col min="12039" max="12039" width="10.28515625" style="16" customWidth="1"/>
    <col min="12040" max="12040" width="13" style="16" customWidth="1"/>
    <col min="12041" max="12041" width="14.42578125" style="16" bestFit="1" customWidth="1"/>
    <col min="12042" max="12042" width="15.7109375" style="16" bestFit="1" customWidth="1"/>
    <col min="12043" max="12289" width="9.140625" style="16"/>
    <col min="12290" max="12290" width="8" style="16" customWidth="1"/>
    <col min="12291" max="12291" width="6.85546875" style="16" customWidth="1"/>
    <col min="12292" max="12292" width="14" style="16" bestFit="1" customWidth="1"/>
    <col min="12293" max="12294" width="9.140625" style="16"/>
    <col min="12295" max="12295" width="10.28515625" style="16" customWidth="1"/>
    <col min="12296" max="12296" width="13" style="16" customWidth="1"/>
    <col min="12297" max="12297" width="14.42578125" style="16" bestFit="1" customWidth="1"/>
    <col min="12298" max="12298" width="15.7109375" style="16" bestFit="1" customWidth="1"/>
    <col min="12299" max="12545" width="9.140625" style="16"/>
    <col min="12546" max="12546" width="8" style="16" customWidth="1"/>
    <col min="12547" max="12547" width="6.85546875" style="16" customWidth="1"/>
    <col min="12548" max="12548" width="14" style="16" bestFit="1" customWidth="1"/>
    <col min="12549" max="12550" width="9.140625" style="16"/>
    <col min="12551" max="12551" width="10.28515625" style="16" customWidth="1"/>
    <col min="12552" max="12552" width="13" style="16" customWidth="1"/>
    <col min="12553" max="12553" width="14.42578125" style="16" bestFit="1" customWidth="1"/>
    <col min="12554" max="12554" width="15.7109375" style="16" bestFit="1" customWidth="1"/>
    <col min="12555" max="12801" width="9.140625" style="16"/>
    <col min="12802" max="12802" width="8" style="16" customWidth="1"/>
    <col min="12803" max="12803" width="6.85546875" style="16" customWidth="1"/>
    <col min="12804" max="12804" width="14" style="16" bestFit="1" customWidth="1"/>
    <col min="12805" max="12806" width="9.140625" style="16"/>
    <col min="12807" max="12807" width="10.28515625" style="16" customWidth="1"/>
    <col min="12808" max="12808" width="13" style="16" customWidth="1"/>
    <col min="12809" max="12809" width="14.42578125" style="16" bestFit="1" customWidth="1"/>
    <col min="12810" max="12810" width="15.7109375" style="16" bestFit="1" customWidth="1"/>
    <col min="12811" max="13057" width="9.140625" style="16"/>
    <col min="13058" max="13058" width="8" style="16" customWidth="1"/>
    <col min="13059" max="13059" width="6.85546875" style="16" customWidth="1"/>
    <col min="13060" max="13060" width="14" style="16" bestFit="1" customWidth="1"/>
    <col min="13061" max="13062" width="9.140625" style="16"/>
    <col min="13063" max="13063" width="10.28515625" style="16" customWidth="1"/>
    <col min="13064" max="13064" width="13" style="16" customWidth="1"/>
    <col min="13065" max="13065" width="14.42578125" style="16" bestFit="1" customWidth="1"/>
    <col min="13066" max="13066" width="15.7109375" style="16" bestFit="1" customWidth="1"/>
    <col min="13067" max="13313" width="9.140625" style="16"/>
    <col min="13314" max="13314" width="8" style="16" customWidth="1"/>
    <col min="13315" max="13315" width="6.85546875" style="16" customWidth="1"/>
    <col min="13316" max="13316" width="14" style="16" bestFit="1" customWidth="1"/>
    <col min="13317" max="13318" width="9.140625" style="16"/>
    <col min="13319" max="13319" width="10.28515625" style="16" customWidth="1"/>
    <col min="13320" max="13320" width="13" style="16" customWidth="1"/>
    <col min="13321" max="13321" width="14.42578125" style="16" bestFit="1" customWidth="1"/>
    <col min="13322" max="13322" width="15.7109375" style="16" bestFit="1" customWidth="1"/>
    <col min="13323" max="13569" width="9.140625" style="16"/>
    <col min="13570" max="13570" width="8" style="16" customWidth="1"/>
    <col min="13571" max="13571" width="6.85546875" style="16" customWidth="1"/>
    <col min="13572" max="13572" width="14" style="16" bestFit="1" customWidth="1"/>
    <col min="13573" max="13574" width="9.140625" style="16"/>
    <col min="13575" max="13575" width="10.28515625" style="16" customWidth="1"/>
    <col min="13576" max="13576" width="13" style="16" customWidth="1"/>
    <col min="13577" max="13577" width="14.42578125" style="16" bestFit="1" customWidth="1"/>
    <col min="13578" max="13578" width="15.7109375" style="16" bestFit="1" customWidth="1"/>
    <col min="13579" max="13825" width="9.140625" style="16"/>
    <col min="13826" max="13826" width="8" style="16" customWidth="1"/>
    <col min="13827" max="13827" width="6.85546875" style="16" customWidth="1"/>
    <col min="13828" max="13828" width="14" style="16" bestFit="1" customWidth="1"/>
    <col min="13829" max="13830" width="9.140625" style="16"/>
    <col min="13831" max="13831" width="10.28515625" style="16" customWidth="1"/>
    <col min="13832" max="13832" width="13" style="16" customWidth="1"/>
    <col min="13833" max="13833" width="14.42578125" style="16" bestFit="1" customWidth="1"/>
    <col min="13834" max="13834" width="15.7109375" style="16" bestFit="1" customWidth="1"/>
    <col min="13835" max="14081" width="9.140625" style="16"/>
    <col min="14082" max="14082" width="8" style="16" customWidth="1"/>
    <col min="14083" max="14083" width="6.85546875" style="16" customWidth="1"/>
    <col min="14084" max="14084" width="14" style="16" bestFit="1" customWidth="1"/>
    <col min="14085" max="14086" width="9.140625" style="16"/>
    <col min="14087" max="14087" width="10.28515625" style="16" customWidth="1"/>
    <col min="14088" max="14088" width="13" style="16" customWidth="1"/>
    <col min="14089" max="14089" width="14.42578125" style="16" bestFit="1" customWidth="1"/>
    <col min="14090" max="14090" width="15.7109375" style="16" bestFit="1" customWidth="1"/>
    <col min="14091" max="14337" width="9.140625" style="16"/>
    <col min="14338" max="14338" width="8" style="16" customWidth="1"/>
    <col min="14339" max="14339" width="6.85546875" style="16" customWidth="1"/>
    <col min="14340" max="14340" width="14" style="16" bestFit="1" customWidth="1"/>
    <col min="14341" max="14342" width="9.140625" style="16"/>
    <col min="14343" max="14343" width="10.28515625" style="16" customWidth="1"/>
    <col min="14344" max="14344" width="13" style="16" customWidth="1"/>
    <col min="14345" max="14345" width="14.42578125" style="16" bestFit="1" customWidth="1"/>
    <col min="14346" max="14346" width="15.7109375" style="16" bestFit="1" customWidth="1"/>
    <col min="14347" max="14593" width="9.140625" style="16"/>
    <col min="14594" max="14594" width="8" style="16" customWidth="1"/>
    <col min="14595" max="14595" width="6.85546875" style="16" customWidth="1"/>
    <col min="14596" max="14596" width="14" style="16" bestFit="1" customWidth="1"/>
    <col min="14597" max="14598" width="9.140625" style="16"/>
    <col min="14599" max="14599" width="10.28515625" style="16" customWidth="1"/>
    <col min="14600" max="14600" width="13" style="16" customWidth="1"/>
    <col min="14601" max="14601" width="14.42578125" style="16" bestFit="1" customWidth="1"/>
    <col min="14602" max="14602" width="15.7109375" style="16" bestFit="1" customWidth="1"/>
    <col min="14603" max="14849" width="9.140625" style="16"/>
    <col min="14850" max="14850" width="8" style="16" customWidth="1"/>
    <col min="14851" max="14851" width="6.85546875" style="16" customWidth="1"/>
    <col min="14852" max="14852" width="14" style="16" bestFit="1" customWidth="1"/>
    <col min="14853" max="14854" width="9.140625" style="16"/>
    <col min="14855" max="14855" width="10.28515625" style="16" customWidth="1"/>
    <col min="14856" max="14856" width="13" style="16" customWidth="1"/>
    <col min="14857" max="14857" width="14.42578125" style="16" bestFit="1" customWidth="1"/>
    <col min="14858" max="14858" width="15.7109375" style="16" bestFit="1" customWidth="1"/>
    <col min="14859" max="15105" width="9.140625" style="16"/>
    <col min="15106" max="15106" width="8" style="16" customWidth="1"/>
    <col min="15107" max="15107" width="6.85546875" style="16" customWidth="1"/>
    <col min="15108" max="15108" width="14" style="16" bestFit="1" customWidth="1"/>
    <col min="15109" max="15110" width="9.140625" style="16"/>
    <col min="15111" max="15111" width="10.28515625" style="16" customWidth="1"/>
    <col min="15112" max="15112" width="13" style="16" customWidth="1"/>
    <col min="15113" max="15113" width="14.42578125" style="16" bestFit="1" customWidth="1"/>
    <col min="15114" max="15114" width="15.7109375" style="16" bestFit="1" customWidth="1"/>
    <col min="15115" max="15361" width="9.140625" style="16"/>
    <col min="15362" max="15362" width="8" style="16" customWidth="1"/>
    <col min="15363" max="15363" width="6.85546875" style="16" customWidth="1"/>
    <col min="15364" max="15364" width="14" style="16" bestFit="1" customWidth="1"/>
    <col min="15365" max="15366" width="9.140625" style="16"/>
    <col min="15367" max="15367" width="10.28515625" style="16" customWidth="1"/>
    <col min="15368" max="15368" width="13" style="16" customWidth="1"/>
    <col min="15369" max="15369" width="14.42578125" style="16" bestFit="1" customWidth="1"/>
    <col min="15370" max="15370" width="15.7109375" style="16" bestFit="1" customWidth="1"/>
    <col min="15371" max="15617" width="9.140625" style="16"/>
    <col min="15618" max="15618" width="8" style="16" customWidth="1"/>
    <col min="15619" max="15619" width="6.85546875" style="16" customWidth="1"/>
    <col min="15620" max="15620" width="14" style="16" bestFit="1" customWidth="1"/>
    <col min="15621" max="15622" width="9.140625" style="16"/>
    <col min="15623" max="15623" width="10.28515625" style="16" customWidth="1"/>
    <col min="15624" max="15624" width="13" style="16" customWidth="1"/>
    <col min="15625" max="15625" width="14.42578125" style="16" bestFit="1" customWidth="1"/>
    <col min="15626" max="15626" width="15.7109375" style="16" bestFit="1" customWidth="1"/>
    <col min="15627" max="15873" width="9.140625" style="16"/>
    <col min="15874" max="15874" width="8" style="16" customWidth="1"/>
    <col min="15875" max="15875" width="6.85546875" style="16" customWidth="1"/>
    <col min="15876" max="15876" width="14" style="16" bestFit="1" customWidth="1"/>
    <col min="15877" max="15878" width="9.140625" style="16"/>
    <col min="15879" max="15879" width="10.28515625" style="16" customWidth="1"/>
    <col min="15880" max="15880" width="13" style="16" customWidth="1"/>
    <col min="15881" max="15881" width="14.42578125" style="16" bestFit="1" customWidth="1"/>
    <col min="15882" max="15882" width="15.7109375" style="16" bestFit="1" customWidth="1"/>
    <col min="15883" max="16129" width="9.140625" style="16"/>
    <col min="16130" max="16130" width="8" style="16" customWidth="1"/>
    <col min="16131" max="16131" width="6.85546875" style="16" customWidth="1"/>
    <col min="16132" max="16132" width="14" style="16" bestFit="1" customWidth="1"/>
    <col min="16133" max="16134" width="9.140625" style="16"/>
    <col min="16135" max="16135" width="10.28515625" style="16" customWidth="1"/>
    <col min="16136" max="16136" width="13" style="16" customWidth="1"/>
    <col min="16137" max="16137" width="14.42578125" style="16" bestFit="1" customWidth="1"/>
    <col min="16138" max="16138" width="15.7109375" style="16" bestFit="1" customWidth="1"/>
    <col min="16139" max="16384" width="9.140625" style="16"/>
  </cols>
  <sheetData>
    <row r="6" spans="2:10" ht="16.5" thickBot="1" x14ac:dyDescent="0.3"/>
    <row r="7" spans="2:10" x14ac:dyDescent="0.25">
      <c r="B7" s="676" t="s">
        <v>4</v>
      </c>
      <c r="C7" s="677"/>
      <c r="D7" s="677"/>
      <c r="E7" s="677"/>
      <c r="F7" s="677"/>
      <c r="G7" s="677"/>
      <c r="H7" s="677"/>
      <c r="I7" s="677"/>
      <c r="J7" s="678"/>
    </row>
    <row r="8" spans="2:10" x14ac:dyDescent="0.25">
      <c r="B8" s="679" t="s">
        <v>5</v>
      </c>
      <c r="C8" s="630"/>
      <c r="D8" s="630"/>
      <c r="E8" s="680" t="s">
        <v>6</v>
      </c>
      <c r="F8" s="630"/>
      <c r="G8" s="630"/>
      <c r="H8" s="680" t="s">
        <v>7</v>
      </c>
      <c r="I8" s="630"/>
      <c r="J8" s="681"/>
    </row>
    <row r="9" spans="2:10" ht="16.5" thickBot="1" x14ac:dyDescent="0.3">
      <c r="B9" s="682" t="s">
        <v>8</v>
      </c>
      <c r="C9" s="683"/>
      <c r="D9" s="683"/>
      <c r="E9" s="683"/>
      <c r="F9" s="17"/>
      <c r="G9" s="684" t="str">
        <f>"FONE: (45)3242-2210         V.:"&amp;GERAL!C26</f>
        <v>FONE: (45)3242-2210         V.:Versão: 45791</v>
      </c>
      <c r="H9" s="684"/>
      <c r="I9" s="684"/>
      <c r="J9" s="685"/>
    </row>
    <row r="10" spans="2:10" ht="16.5" thickBot="1" x14ac:dyDescent="0.3">
      <c r="E10" s="18"/>
      <c r="F10" s="18"/>
      <c r="G10" s="18"/>
      <c r="H10" s="19"/>
    </row>
    <row r="11" spans="2:10" x14ac:dyDescent="0.25">
      <c r="B11" s="20"/>
      <c r="C11" s="103"/>
      <c r="D11" s="21"/>
      <c r="E11" s="22"/>
      <c r="F11" s="22"/>
      <c r="G11" s="22"/>
      <c r="H11" s="23" t="s">
        <v>9</v>
      </c>
      <c r="I11" s="24">
        <f ca="1">TODAY()</f>
        <v>45828</v>
      </c>
      <c r="J11" s="25"/>
    </row>
    <row r="12" spans="2:10" x14ac:dyDescent="0.25">
      <c r="B12" s="26"/>
      <c r="J12" s="27"/>
    </row>
    <row r="13" spans="2:10" x14ac:dyDescent="0.25">
      <c r="B13" s="26"/>
      <c r="C13" s="28" t="s">
        <v>37</v>
      </c>
      <c r="D13" s="29"/>
      <c r="E13" s="660"/>
      <c r="F13" s="661"/>
      <c r="G13" s="661"/>
      <c r="H13" s="661"/>
      <c r="I13" s="662"/>
      <c r="J13" s="30"/>
    </row>
    <row r="14" spans="2:10" x14ac:dyDescent="0.25">
      <c r="B14" s="26"/>
      <c r="C14" s="28" t="s">
        <v>38</v>
      </c>
      <c r="D14" s="29"/>
      <c r="E14" s="660"/>
      <c r="F14" s="661"/>
      <c r="G14" s="661"/>
      <c r="H14" s="661"/>
      <c r="I14" s="662"/>
      <c r="J14" s="30"/>
    </row>
    <row r="15" spans="2:10" x14ac:dyDescent="0.25">
      <c r="B15" s="26"/>
      <c r="C15" s="31" t="s">
        <v>39</v>
      </c>
      <c r="E15" s="660"/>
      <c r="F15" s="661"/>
      <c r="G15" s="661"/>
      <c r="H15" s="661"/>
      <c r="I15" s="662"/>
      <c r="J15" s="30"/>
    </row>
    <row r="16" spans="2:10" x14ac:dyDescent="0.25">
      <c r="B16" s="26"/>
      <c r="C16" s="28" t="s">
        <v>40</v>
      </c>
      <c r="D16" s="29"/>
      <c r="E16" s="1"/>
      <c r="F16" s="543" t="s">
        <v>367</v>
      </c>
      <c r="G16" s="661"/>
      <c r="H16" s="661"/>
      <c r="I16" s="662"/>
      <c r="J16" s="30"/>
    </row>
    <row r="17" spans="2:11" x14ac:dyDescent="0.25">
      <c r="B17" s="26"/>
      <c r="C17" s="31" t="s">
        <v>41</v>
      </c>
      <c r="E17" s="861"/>
      <c r="F17" s="861"/>
      <c r="G17" s="861"/>
      <c r="H17" s="173" t="s">
        <v>113</v>
      </c>
      <c r="I17" s="170"/>
      <c r="J17" s="30"/>
      <c r="K17" s="32"/>
    </row>
    <row r="18" spans="2:11" x14ac:dyDescent="0.25">
      <c r="B18" s="26"/>
      <c r="C18" s="28" t="s">
        <v>42</v>
      </c>
      <c r="D18" s="29"/>
      <c r="E18" s="661"/>
      <c r="F18" s="661"/>
      <c r="G18" s="661"/>
      <c r="H18" s="661"/>
      <c r="I18" s="662"/>
      <c r="J18" s="30"/>
    </row>
    <row r="19" spans="2:11" x14ac:dyDescent="0.25">
      <c r="B19" s="26"/>
      <c r="C19" s="28" t="s">
        <v>43</v>
      </c>
      <c r="D19" s="29"/>
      <c r="E19" s="660"/>
      <c r="F19" s="661"/>
      <c r="G19" s="661"/>
      <c r="H19" s="661"/>
      <c r="I19" s="662"/>
      <c r="J19" s="30"/>
    </row>
    <row r="20" spans="2:11" x14ac:dyDescent="0.25">
      <c r="B20" s="26"/>
      <c r="E20" s="54"/>
      <c r="F20" s="54"/>
      <c r="G20" s="54"/>
      <c r="H20" s="54"/>
      <c r="I20" s="54"/>
      <c r="J20" s="27"/>
    </row>
    <row r="21" spans="2:11" ht="16.5" thickBot="1" x14ac:dyDescent="0.3">
      <c r="B21" s="33"/>
      <c r="C21" s="17"/>
      <c r="D21" s="17"/>
      <c r="E21" s="58"/>
      <c r="F21" s="58"/>
      <c r="G21" s="58"/>
      <c r="H21" s="58"/>
      <c r="I21" s="58"/>
      <c r="J21" s="34"/>
    </row>
    <row r="22" spans="2:11" ht="16.5" thickBot="1" x14ac:dyDescent="0.3">
      <c r="E22" s="54"/>
      <c r="F22" s="54"/>
      <c r="G22" s="54"/>
      <c r="H22" s="54"/>
      <c r="I22" s="54"/>
    </row>
    <row r="23" spans="2:11" x14ac:dyDescent="0.25">
      <c r="B23" s="20"/>
      <c r="C23" s="21"/>
      <c r="D23" s="21"/>
      <c r="E23" s="59"/>
      <c r="F23" s="59"/>
      <c r="G23" s="59"/>
      <c r="H23" s="59"/>
      <c r="I23" s="59"/>
      <c r="J23" s="25"/>
    </row>
    <row r="24" spans="2:11" x14ac:dyDescent="0.25">
      <c r="B24" s="26"/>
      <c r="C24" s="28" t="s">
        <v>10</v>
      </c>
      <c r="D24" s="29"/>
      <c r="E24" s="660"/>
      <c r="F24" s="660"/>
      <c r="G24" s="660"/>
      <c r="H24" s="660"/>
      <c r="I24" s="672"/>
      <c r="J24" s="27"/>
    </row>
    <row r="25" spans="2:11" x14ac:dyDescent="0.25">
      <c r="B25" s="26"/>
      <c r="C25" s="28" t="s">
        <v>153</v>
      </c>
      <c r="D25" s="35"/>
      <c r="E25" s="673"/>
      <c r="F25" s="673"/>
      <c r="G25" s="673"/>
      <c r="H25" s="673"/>
      <c r="I25" s="674"/>
      <c r="J25" s="27"/>
    </row>
    <row r="26" spans="2:11" x14ac:dyDescent="0.25">
      <c r="B26" s="26"/>
      <c r="C26" s="28" t="s">
        <v>11</v>
      </c>
      <c r="D26" s="35"/>
      <c r="E26" s="661"/>
      <c r="F26" s="661"/>
      <c r="G26" s="661"/>
      <c r="H26" s="661"/>
      <c r="I26" s="662"/>
      <c r="J26" s="27"/>
    </row>
    <row r="27" spans="2:11" x14ac:dyDescent="0.25">
      <c r="B27" s="26"/>
      <c r="C27" s="28" t="s">
        <v>13</v>
      </c>
      <c r="D27" s="35"/>
      <c r="E27" s="673"/>
      <c r="F27" s="673"/>
      <c r="G27" s="673"/>
      <c r="H27" s="673"/>
      <c r="I27" s="674"/>
      <c r="J27" s="27"/>
    </row>
    <row r="28" spans="2:11" x14ac:dyDescent="0.25">
      <c r="B28" s="26"/>
      <c r="C28" s="28" t="s">
        <v>14</v>
      </c>
      <c r="D28" s="35"/>
      <c r="E28" s="660"/>
      <c r="F28" s="661"/>
      <c r="G28" s="661"/>
      <c r="H28" s="661"/>
      <c r="I28" s="662"/>
      <c r="J28" s="27"/>
    </row>
    <row r="29" spans="2:11" ht="16.5" thickBot="1" x14ac:dyDescent="0.3">
      <c r="B29" s="33"/>
      <c r="C29" s="17"/>
      <c r="D29" s="17"/>
      <c r="E29" s="17"/>
      <c r="F29" s="17"/>
      <c r="G29" s="17"/>
      <c r="H29" s="17"/>
      <c r="I29" s="17"/>
      <c r="J29" s="34"/>
    </row>
    <row r="30" spans="2:11" ht="16.5" thickBot="1" x14ac:dyDescent="0.3"/>
    <row r="31" spans="2:11" x14ac:dyDescent="0.25">
      <c r="B31" s="20"/>
      <c r="C31" s="21"/>
      <c r="D31" s="36"/>
      <c r="E31" s="21"/>
      <c r="F31" s="21"/>
      <c r="G31" s="21"/>
      <c r="H31" s="21"/>
      <c r="I31" s="21"/>
      <c r="J31" s="25"/>
    </row>
    <row r="32" spans="2:11" x14ac:dyDescent="0.25">
      <c r="B32" s="37" t="s">
        <v>15</v>
      </c>
      <c r="D32" s="9"/>
      <c r="E32" s="32"/>
      <c r="G32" s="39" t="s">
        <v>16</v>
      </c>
      <c r="H32" s="10"/>
      <c r="J32" s="27"/>
    </row>
    <row r="33" spans="2:10" x14ac:dyDescent="0.25">
      <c r="B33" s="37" t="s">
        <v>17</v>
      </c>
      <c r="D33" s="8"/>
      <c r="G33" s="39" t="s">
        <v>18</v>
      </c>
      <c r="H33" s="10"/>
      <c r="J33" s="27"/>
    </row>
    <row r="34" spans="2:10" x14ac:dyDescent="0.25">
      <c r="B34" s="37" t="s">
        <v>19</v>
      </c>
      <c r="D34" s="11"/>
      <c r="E34" s="41" t="s">
        <v>20</v>
      </c>
      <c r="G34" s="39" t="s">
        <v>21</v>
      </c>
      <c r="H34" s="12"/>
      <c r="J34" s="27"/>
    </row>
    <row r="35" spans="2:10" x14ac:dyDescent="0.25">
      <c r="B35" s="37" t="s">
        <v>23</v>
      </c>
      <c r="D35" s="13"/>
      <c r="E35" s="42"/>
      <c r="G35" s="43"/>
      <c r="H35" s="44"/>
      <c r="J35" s="27"/>
    </row>
    <row r="36" spans="2:10" x14ac:dyDescent="0.25">
      <c r="B36" s="37" t="s">
        <v>24</v>
      </c>
      <c r="D36" s="13"/>
      <c r="E36" s="42"/>
      <c r="G36" s="39"/>
      <c r="H36" s="44"/>
      <c r="J36" s="27"/>
    </row>
    <row r="37" spans="2:10" ht="16.5" thickBot="1" x14ac:dyDescent="0.3">
      <c r="B37" s="33"/>
      <c r="C37" s="17"/>
      <c r="D37" s="17"/>
      <c r="E37" s="17"/>
      <c r="F37" s="17"/>
      <c r="G37" s="17"/>
      <c r="H37" s="17"/>
      <c r="I37" s="17"/>
      <c r="J37" s="34"/>
    </row>
    <row r="38" spans="2:10" ht="16.5" thickBot="1" x14ac:dyDescent="0.3"/>
    <row r="39" spans="2:10" x14ac:dyDescent="0.25">
      <c r="B39" s="668" t="s">
        <v>25</v>
      </c>
      <c r="C39" s="669"/>
      <c r="D39" s="45" t="s">
        <v>26</v>
      </c>
      <c r="E39" s="669" t="s">
        <v>27</v>
      </c>
      <c r="F39" s="669"/>
      <c r="G39" s="669"/>
      <c r="H39" s="669"/>
      <c r="I39" s="45" t="s">
        <v>28</v>
      </c>
      <c r="J39" s="46" t="s">
        <v>46</v>
      </c>
    </row>
    <row r="40" spans="2:10" x14ac:dyDescent="0.25">
      <c r="B40" s="732"/>
      <c r="C40" s="733"/>
      <c r="D40" s="12"/>
      <c r="E40" s="727"/>
      <c r="F40" s="728"/>
      <c r="G40" s="728"/>
      <c r="H40" s="729"/>
      <c r="I40" s="124"/>
      <c r="J40" s="125">
        <f t="shared" ref="J40:J48" si="0">I40*B40</f>
        <v>0</v>
      </c>
    </row>
    <row r="41" spans="2:10" x14ac:dyDescent="0.25">
      <c r="B41" s="732"/>
      <c r="C41" s="733"/>
      <c r="D41" s="12"/>
      <c r="E41" s="727"/>
      <c r="F41" s="728"/>
      <c r="G41" s="728"/>
      <c r="H41" s="729"/>
      <c r="I41" s="126"/>
      <c r="J41" s="125">
        <f t="shared" si="0"/>
        <v>0</v>
      </c>
    </row>
    <row r="42" spans="2:10" x14ac:dyDescent="0.25">
      <c r="B42" s="732"/>
      <c r="C42" s="733"/>
      <c r="D42" s="12"/>
      <c r="E42" s="894"/>
      <c r="F42" s="728"/>
      <c r="G42" s="728"/>
      <c r="H42" s="729"/>
      <c r="I42" s="126"/>
      <c r="J42" s="125">
        <f t="shared" si="0"/>
        <v>0</v>
      </c>
    </row>
    <row r="43" spans="2:10" x14ac:dyDescent="0.25">
      <c r="B43" s="722"/>
      <c r="C43" s="723"/>
      <c r="D43" s="12"/>
      <c r="E43" s="727"/>
      <c r="F43" s="728"/>
      <c r="G43" s="728"/>
      <c r="H43" s="729"/>
      <c r="I43" s="70"/>
      <c r="J43" s="49">
        <f t="shared" si="0"/>
        <v>0</v>
      </c>
    </row>
    <row r="44" spans="2:10" x14ac:dyDescent="0.25">
      <c r="B44" s="732"/>
      <c r="C44" s="733"/>
      <c r="D44" s="12"/>
      <c r="E44" s="894"/>
      <c r="F44" s="728"/>
      <c r="G44" s="728"/>
      <c r="H44" s="729"/>
      <c r="I44" s="70"/>
      <c r="J44" s="49">
        <f t="shared" si="0"/>
        <v>0</v>
      </c>
    </row>
    <row r="45" spans="2:10" x14ac:dyDescent="0.25">
      <c r="B45" s="722"/>
      <c r="C45" s="723"/>
      <c r="D45" s="12"/>
      <c r="E45" s="727"/>
      <c r="F45" s="728"/>
      <c r="G45" s="728"/>
      <c r="H45" s="729"/>
      <c r="I45" s="70"/>
      <c r="J45" s="49">
        <f t="shared" si="0"/>
        <v>0</v>
      </c>
    </row>
    <row r="46" spans="2:10" x14ac:dyDescent="0.25">
      <c r="B46" s="722"/>
      <c r="C46" s="723"/>
      <c r="D46" s="12"/>
      <c r="E46" s="727"/>
      <c r="F46" s="728"/>
      <c r="G46" s="728"/>
      <c r="H46" s="729"/>
      <c r="I46" s="70"/>
      <c r="J46" s="49">
        <f t="shared" si="0"/>
        <v>0</v>
      </c>
    </row>
    <row r="47" spans="2:10" x14ac:dyDescent="0.25">
      <c r="B47" s="722"/>
      <c r="C47" s="723"/>
      <c r="D47" s="12"/>
      <c r="E47" s="727"/>
      <c r="F47" s="728"/>
      <c r="G47" s="728"/>
      <c r="H47" s="729"/>
      <c r="I47" s="71"/>
      <c r="J47" s="49">
        <f t="shared" si="0"/>
        <v>0</v>
      </c>
    </row>
    <row r="48" spans="2:10" ht="16.5" thickBot="1" x14ac:dyDescent="0.3">
      <c r="B48" s="722"/>
      <c r="C48" s="723"/>
      <c r="D48" s="12"/>
      <c r="E48" s="891"/>
      <c r="F48" s="660"/>
      <c r="G48" s="660"/>
      <c r="H48" s="672"/>
      <c r="I48" s="71"/>
      <c r="J48" s="49">
        <f t="shared" si="0"/>
        <v>0</v>
      </c>
    </row>
    <row r="49" spans="2:10" ht="16.5" thickBot="1" x14ac:dyDescent="0.3">
      <c r="B49" s="895">
        <f>SUM(B40:C48)</f>
        <v>0</v>
      </c>
      <c r="C49" s="896"/>
      <c r="E49" s="647" t="s">
        <v>31</v>
      </c>
      <c r="F49" s="647"/>
      <c r="G49" s="647"/>
      <c r="H49" s="647"/>
      <c r="I49" s="648">
        <f>SUM(J40:J48)</f>
        <v>0</v>
      </c>
      <c r="J49" s="649"/>
    </row>
    <row r="50" spans="2:10" x14ac:dyDescent="0.25">
      <c r="B50" s="629"/>
      <c r="C50" s="629"/>
      <c r="D50" s="32"/>
      <c r="E50" s="630"/>
      <c r="F50" s="630"/>
      <c r="G50" s="630"/>
      <c r="H50" s="630"/>
    </row>
    <row r="51" spans="2:10" x14ac:dyDescent="0.25">
      <c r="B51" s="51"/>
      <c r="C51" s="51"/>
      <c r="E51" s="52"/>
      <c r="F51" s="52"/>
      <c r="G51" s="52"/>
      <c r="H51" s="52"/>
    </row>
    <row r="52" spans="2:10" x14ac:dyDescent="0.25">
      <c r="B52" s="623"/>
      <c r="C52" s="624"/>
      <c r="D52" s="624"/>
      <c r="E52" s="624"/>
      <c r="F52" s="624"/>
      <c r="G52" s="624"/>
      <c r="H52" s="624"/>
      <c r="I52" s="624"/>
      <c r="J52" s="625"/>
    </row>
    <row r="53" spans="2:10" x14ac:dyDescent="0.25">
      <c r="B53" s="623"/>
      <c r="C53" s="624"/>
      <c r="D53" s="624"/>
      <c r="E53" s="624"/>
      <c r="F53" s="624"/>
      <c r="G53" s="624"/>
      <c r="H53" s="624"/>
      <c r="I53" s="624"/>
      <c r="J53" s="625"/>
    </row>
    <row r="54" spans="2:10" x14ac:dyDescent="0.25">
      <c r="B54" s="623"/>
      <c r="C54" s="624"/>
      <c r="D54" s="624"/>
      <c r="E54" s="624"/>
      <c r="F54" s="624"/>
      <c r="G54" s="624"/>
      <c r="H54" s="624"/>
      <c r="I54" s="624"/>
      <c r="J54" s="625"/>
    </row>
    <row r="55" spans="2:10" x14ac:dyDescent="0.25">
      <c r="B55" s="623"/>
      <c r="C55" s="624"/>
      <c r="D55" s="624"/>
      <c r="E55" s="624"/>
      <c r="F55" s="624"/>
      <c r="G55" s="624"/>
      <c r="H55" s="624"/>
      <c r="I55" s="624"/>
      <c r="J55" s="625"/>
    </row>
    <row r="56" spans="2:10" x14ac:dyDescent="0.25">
      <c r="B56" s="53"/>
      <c r="C56" s="54"/>
      <c r="D56" s="54"/>
      <c r="E56" s="54"/>
      <c r="F56" s="54"/>
      <c r="G56" s="54"/>
      <c r="H56" s="54"/>
      <c r="I56" s="54"/>
      <c r="J56" s="54"/>
    </row>
    <row r="58" spans="2:10" x14ac:dyDescent="0.25">
      <c r="B58" s="55" t="s">
        <v>32</v>
      </c>
      <c r="G58" s="55" t="s">
        <v>33</v>
      </c>
    </row>
    <row r="59" spans="2:10" x14ac:dyDescent="0.25">
      <c r="B59" s="55" t="s">
        <v>34</v>
      </c>
      <c r="G59" s="16">
        <f>E13</f>
        <v>0</v>
      </c>
    </row>
  </sheetData>
  <sheetProtection selectLockedCells="1"/>
  <mergeCells count="47">
    <mergeCell ref="B52:J52"/>
    <mergeCell ref="B53:J53"/>
    <mergeCell ref="B54:J54"/>
    <mergeCell ref="B55:J55"/>
    <mergeCell ref="G16:I16"/>
    <mergeCell ref="B50:C50"/>
    <mergeCell ref="E50:H50"/>
    <mergeCell ref="B42:C42"/>
    <mergeCell ref="E42:H42"/>
    <mergeCell ref="B43:C43"/>
    <mergeCell ref="E43:H43"/>
    <mergeCell ref="B47:C47"/>
    <mergeCell ref="B48:C48"/>
    <mergeCell ref="E48:H48"/>
    <mergeCell ref="B45:C45"/>
    <mergeCell ref="B46:C46"/>
    <mergeCell ref="B7:J7"/>
    <mergeCell ref="B8:D8"/>
    <mergeCell ref="E8:G8"/>
    <mergeCell ref="H8:J8"/>
    <mergeCell ref="B9:E9"/>
    <mergeCell ref="G9:J9"/>
    <mergeCell ref="E13:I13"/>
    <mergeCell ref="E14:I14"/>
    <mergeCell ref="E15:I15"/>
    <mergeCell ref="E17:G17"/>
    <mergeCell ref="E28:I28"/>
    <mergeCell ref="E18:I18"/>
    <mergeCell ref="E19:I19"/>
    <mergeCell ref="E24:I24"/>
    <mergeCell ref="E25:I25"/>
    <mergeCell ref="E26:I26"/>
    <mergeCell ref="E27:I27"/>
    <mergeCell ref="I49:J49"/>
    <mergeCell ref="B39:C39"/>
    <mergeCell ref="E39:H39"/>
    <mergeCell ref="B40:C40"/>
    <mergeCell ref="E40:H40"/>
    <mergeCell ref="B44:C44"/>
    <mergeCell ref="B41:C41"/>
    <mergeCell ref="E41:H41"/>
    <mergeCell ref="E44:H44"/>
    <mergeCell ref="B49:C49"/>
    <mergeCell ref="E49:H49"/>
    <mergeCell ref="E45:H45"/>
    <mergeCell ref="E46:H46"/>
    <mergeCell ref="E47:H47"/>
  </mergeCells>
  <pageMargins left="0.51181102362204722" right="0.51181102362204722" top="0.78740157480314965" bottom="0.78740157480314965" header="0.31496062992125984" footer="0.31496062992125984"/>
  <pageSetup paperSize="9" scale="75" orientation="portrait" horizontalDpi="360" verticalDpi="360" r:id="rId1"/>
  <colBreaks count="1" manualBreakCount="1">
    <brk id="12" max="1048575" man="1"/>
  </col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E6019F0-EAFF-49D4-8CDE-B9813D6755E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22</vt:i4>
      </vt:variant>
      <vt:variant>
        <vt:lpstr>Intervalos Nomeados</vt:lpstr>
      </vt:variant>
      <vt:variant>
        <vt:i4>18</vt:i4>
      </vt:variant>
    </vt:vector>
  </HeadingPairs>
  <TitlesOfParts>
    <vt:vector size="40" baseType="lpstr">
      <vt:lpstr>GERAL</vt:lpstr>
      <vt:lpstr>BANCO DE DADOS</vt:lpstr>
      <vt:lpstr>BANCO DE DADOS 05JUN24</vt:lpstr>
      <vt:lpstr>INPUT DADOS</vt:lpstr>
      <vt:lpstr>LALLEMAND</vt:lpstr>
      <vt:lpstr>PEDIDO VIA CLIENTE</vt:lpstr>
      <vt:lpstr>PEDIDO VIA EMPRESA</vt:lpstr>
      <vt:lpstr>INPUT CONFERENCIA</vt:lpstr>
      <vt:lpstr>PEDIDO CONFERENCIA</vt:lpstr>
      <vt:lpstr>PEDIDO DRONE</vt:lpstr>
      <vt:lpstr>PEDIDO COMPACTA</vt:lpstr>
      <vt:lpstr>INPUT FOLHA </vt:lpstr>
      <vt:lpstr>PEDIDO FOLHA CLIENTE</vt:lpstr>
      <vt:lpstr>PEDIDO FOLHA EMPRESA</vt:lpstr>
      <vt:lpstr>INPUT ATV</vt:lpstr>
      <vt:lpstr>PEDIDO ATV</vt:lpstr>
      <vt:lpstr>PEDIDO ATV CLIENTE</vt:lpstr>
      <vt:lpstr>EQUALIZA</vt:lpstr>
      <vt:lpstr>PEDIDO LALLEMAND</vt:lpstr>
      <vt:lpstr>INPUT PULVE_DRONE</vt:lpstr>
      <vt:lpstr>PEDIDO PULVE</vt:lpstr>
      <vt:lpstr>PEDIDO DESBLOQ</vt:lpstr>
      <vt:lpstr>EQUALIZA!Area_de_impressao</vt:lpstr>
      <vt:lpstr>GERAL!Area_de_impressao</vt:lpstr>
      <vt:lpstr>'INPUT CONFERENCIA'!Area_de_impressao</vt:lpstr>
      <vt:lpstr>'INPUT DADOS'!Area_de_impressao</vt:lpstr>
      <vt:lpstr>'INPUT FOLHA '!Area_de_impressao</vt:lpstr>
      <vt:lpstr>LALLEMAND!Area_de_impressao</vt:lpstr>
      <vt:lpstr>'PEDIDO ATV'!Area_de_impressao</vt:lpstr>
      <vt:lpstr>'PEDIDO ATV CLIENTE'!Area_de_impressao</vt:lpstr>
      <vt:lpstr>'PEDIDO COMPACTA'!Area_de_impressao</vt:lpstr>
      <vt:lpstr>'PEDIDO CONFERENCIA'!Area_de_impressao</vt:lpstr>
      <vt:lpstr>'PEDIDO DESBLOQ'!Area_de_impressao</vt:lpstr>
      <vt:lpstr>'PEDIDO DRONE'!Area_de_impressao</vt:lpstr>
      <vt:lpstr>'PEDIDO FOLHA CLIENTE'!Area_de_impressao</vt:lpstr>
      <vt:lpstr>'PEDIDO FOLHA EMPRESA'!Area_de_impressao</vt:lpstr>
      <vt:lpstr>'PEDIDO LALLEMAND'!Area_de_impressao</vt:lpstr>
      <vt:lpstr>'PEDIDO PULVE'!Area_de_impressao</vt:lpstr>
      <vt:lpstr>'PEDIDO VIA CLIENTE'!Area_de_impressao</vt:lpstr>
      <vt:lpstr>'PEDIDO VIA EMPRESA'!Area_de_impressao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</dc:creator>
  <cp:lastModifiedBy>Claudio L Heinzmann</cp:lastModifiedBy>
  <cp:lastPrinted>2025-06-20T18:28:55Z</cp:lastPrinted>
  <dcterms:created xsi:type="dcterms:W3CDTF">2014-07-01T17:52:34Z</dcterms:created>
  <dcterms:modified xsi:type="dcterms:W3CDTF">2025-06-20T21:50:25Z</dcterms:modified>
</cp:coreProperties>
</file>