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3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/>
  <mc:AlternateContent xmlns:mc="http://schemas.openxmlformats.org/markup-compatibility/2006">
    <mc:Choice Requires="x15">
      <x15ac:absPath xmlns:x15ac="http://schemas.microsoft.com/office/spreadsheetml/2010/11/ac" url="https://d.docs.live.net/c596cd5cd230c93f/논문/"/>
    </mc:Choice>
  </mc:AlternateContent>
  <xr:revisionPtr revIDLastSave="75" documentId="13_ncr:1_{4CBD749C-193C-496A-8231-5D069AA534E4}" xr6:coauthVersionLast="47" xr6:coauthVersionMax="47" xr10:uidLastSave="{EDE1D084-FB5B-47DF-9E8E-BD22149528EF}"/>
  <bookViews>
    <workbookView xWindow="28680" yWindow="-120" windowWidth="29040" windowHeight="15840" activeTab="2" xr2:uid="{43FC8A95-6299-4618-B138-D9AE60D21FBA}"/>
  </bookViews>
  <sheets>
    <sheet name="1. Dashboard" sheetId="3" r:id="rId1"/>
    <sheet name="2. Score calculation" sheetId="1" state="hidden" r:id="rId2"/>
    <sheet name="2. Database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21" i="2" l="1"/>
  <c r="E50" i="2"/>
  <c r="G42" i="2"/>
  <c r="J24" i="2"/>
  <c r="I32" i="2"/>
  <c r="F43" i="3"/>
  <c r="E44" i="2"/>
  <c r="M17" i="3"/>
  <c r="G41" i="2"/>
  <c r="G56" i="2" s="1"/>
  <c r="I25" i="2"/>
  <c r="I31" i="2"/>
  <c r="G45" i="2"/>
  <c r="G60" i="2" s="1"/>
  <c r="G44" i="2"/>
  <c r="G59" i="2" s="1"/>
  <c r="F44" i="2"/>
  <c r="F59" i="2" s="1"/>
  <c r="E59" i="2"/>
  <c r="D44" i="2"/>
  <c r="D59" i="2" s="1"/>
  <c r="C44" i="2"/>
  <c r="C59" i="2" s="1"/>
  <c r="G43" i="2"/>
  <c r="G58" i="2" s="1"/>
  <c r="E43" i="2"/>
  <c r="E58" i="2" s="1"/>
  <c r="C43" i="2"/>
  <c r="C58" i="2" s="1"/>
  <c r="G57" i="2"/>
  <c r="E42" i="2"/>
  <c r="E57" i="2" s="1"/>
  <c r="D42" i="2"/>
  <c r="D57" i="2" s="1"/>
  <c r="C42" i="2"/>
  <c r="C57" i="2" s="1"/>
  <c r="C41" i="2"/>
  <c r="C56" i="2" s="1"/>
  <c r="D41" i="3"/>
  <c r="D41" i="2" s="1"/>
  <c r="D56" i="2" s="1"/>
  <c r="F36" i="1"/>
  <c r="F37" i="1"/>
  <c r="J13" i="3" s="1"/>
  <c r="F38" i="1"/>
  <c r="J14" i="3" s="1"/>
  <c r="F39" i="1"/>
  <c r="J15" i="3" s="1"/>
  <c r="F40" i="1"/>
  <c r="J16" i="3" s="1"/>
  <c r="F41" i="1"/>
  <c r="J17" i="3" s="1"/>
  <c r="F42" i="1"/>
  <c r="J18" i="3" s="1"/>
  <c r="F43" i="1"/>
  <c r="J19" i="3" s="1"/>
  <c r="F44" i="1"/>
  <c r="J20" i="3" s="1"/>
  <c r="F45" i="1"/>
  <c r="J21" i="3" s="1"/>
  <c r="F46" i="1"/>
  <c r="J22" i="3" s="1"/>
  <c r="F47" i="1"/>
  <c r="J23" i="3" s="1"/>
  <c r="F48" i="1"/>
  <c r="J24" i="3" s="1"/>
  <c r="F49" i="1"/>
  <c r="F50" i="1"/>
  <c r="J26" i="3" s="1"/>
  <c r="F51" i="1"/>
  <c r="J27" i="3" s="1"/>
  <c r="F52" i="1"/>
  <c r="J28" i="3" s="1"/>
  <c r="F53" i="1"/>
  <c r="J29" i="3" s="1"/>
  <c r="F20" i="1"/>
  <c r="C27" i="3" s="1"/>
  <c r="E41" i="3"/>
  <c r="E41" i="2" s="1"/>
  <c r="E56" i="2" s="1"/>
  <c r="D43" i="3"/>
  <c r="D43" i="2" s="1"/>
  <c r="D58" i="2" s="1"/>
  <c r="D45" i="3"/>
  <c r="D45" i="2" s="1"/>
  <c r="E45" i="3"/>
  <c r="E45" i="2" s="1"/>
  <c r="E60" i="2" s="1"/>
  <c r="I35" i="2"/>
  <c r="I34" i="2"/>
  <c r="J33" i="2"/>
  <c r="I33" i="2"/>
  <c r="F45" i="3"/>
  <c r="F45" i="2" s="1"/>
  <c r="F60" i="2" s="1"/>
  <c r="C45" i="3"/>
  <c r="C45" i="2" s="1"/>
  <c r="C60" i="2" s="1"/>
  <c r="F43" i="2"/>
  <c r="F58" i="2" s="1"/>
  <c r="F42" i="3"/>
  <c r="F42" i="2" s="1"/>
  <c r="F41" i="3"/>
  <c r="F41" i="2" s="1"/>
  <c r="J22" i="1"/>
  <c r="G29" i="3" s="1"/>
  <c r="I22" i="1"/>
  <c r="F29" i="3" s="1"/>
  <c r="F22" i="1"/>
  <c r="C29" i="3" s="1"/>
  <c r="J21" i="1"/>
  <c r="G28" i="3" s="1"/>
  <c r="I21" i="1"/>
  <c r="F28" i="3" s="1"/>
  <c r="F21" i="1"/>
  <c r="C28" i="3" s="1"/>
  <c r="J20" i="1"/>
  <c r="G27" i="3" s="1"/>
  <c r="I20" i="1"/>
  <c r="F27" i="3" s="1"/>
  <c r="J19" i="1"/>
  <c r="G26" i="3" s="1"/>
  <c r="I19" i="1"/>
  <c r="F26" i="3" s="1"/>
  <c r="F19" i="1"/>
  <c r="C26" i="3" s="1"/>
  <c r="J18" i="1"/>
  <c r="G25" i="3" s="1"/>
  <c r="I18" i="1"/>
  <c r="F25" i="3" s="1"/>
  <c r="F18" i="1"/>
  <c r="C25" i="3" s="1"/>
  <c r="J17" i="1"/>
  <c r="G24" i="3" s="1"/>
  <c r="I17" i="1"/>
  <c r="F24" i="3" s="1"/>
  <c r="F17" i="1"/>
  <c r="C24" i="3" s="1"/>
  <c r="J16" i="1"/>
  <c r="G23" i="3" s="1"/>
  <c r="I16" i="1"/>
  <c r="F23" i="3" s="1"/>
  <c r="F16" i="1"/>
  <c r="C23" i="3" s="1"/>
  <c r="J15" i="1"/>
  <c r="G22" i="3" s="1"/>
  <c r="I15" i="1"/>
  <c r="F22" i="3" s="1"/>
  <c r="F15" i="1"/>
  <c r="C22" i="3" s="1"/>
  <c r="J14" i="1"/>
  <c r="G21" i="3" s="1"/>
  <c r="I14" i="1"/>
  <c r="F21" i="3" s="1"/>
  <c r="F14" i="1"/>
  <c r="C21" i="3" s="1"/>
  <c r="J13" i="1"/>
  <c r="G20" i="3" s="1"/>
  <c r="I13" i="1"/>
  <c r="F20" i="3" s="1"/>
  <c r="F13" i="1"/>
  <c r="C20" i="3" s="1"/>
  <c r="J12" i="1"/>
  <c r="G19" i="3" s="1"/>
  <c r="I12" i="1"/>
  <c r="F19" i="3" s="1"/>
  <c r="F12" i="1"/>
  <c r="C19" i="3" s="1"/>
  <c r="J11" i="1"/>
  <c r="G18" i="3" s="1"/>
  <c r="I11" i="1"/>
  <c r="F18" i="3" s="1"/>
  <c r="F11" i="1"/>
  <c r="C18" i="3" s="1"/>
  <c r="J10" i="1"/>
  <c r="G17" i="3" s="1"/>
  <c r="I10" i="1"/>
  <c r="F17" i="3" s="1"/>
  <c r="F10" i="1"/>
  <c r="C17" i="3" s="1"/>
  <c r="J9" i="1"/>
  <c r="G16" i="3" s="1"/>
  <c r="I9" i="1"/>
  <c r="F16" i="3" s="1"/>
  <c r="F9" i="1"/>
  <c r="C16" i="3" s="1"/>
  <c r="J8" i="1"/>
  <c r="G15" i="3" s="1"/>
  <c r="I8" i="1"/>
  <c r="F15" i="3" s="1"/>
  <c r="F8" i="1"/>
  <c r="C15" i="3" s="1"/>
  <c r="J7" i="1"/>
  <c r="G14" i="3" s="1"/>
  <c r="I7" i="1"/>
  <c r="F14" i="3" s="1"/>
  <c r="F7" i="1"/>
  <c r="C14" i="3" s="1"/>
  <c r="J6" i="1"/>
  <c r="G13" i="3" s="1"/>
  <c r="I6" i="1"/>
  <c r="F13" i="3" s="1"/>
  <c r="F6" i="1"/>
  <c r="C13" i="3" s="1"/>
  <c r="J5" i="1"/>
  <c r="G12" i="3" s="1"/>
  <c r="I5" i="1"/>
  <c r="F12" i="3" s="1"/>
  <c r="F5" i="1"/>
  <c r="C12" i="3" s="1"/>
  <c r="I4" i="1"/>
  <c r="J36" i="1"/>
  <c r="N12" i="3" s="1"/>
  <c r="J37" i="1"/>
  <c r="N13" i="3" s="1"/>
  <c r="J38" i="1"/>
  <c r="N14" i="3" s="1"/>
  <c r="J39" i="1"/>
  <c r="N15" i="3" s="1"/>
  <c r="J40" i="1"/>
  <c r="N16" i="3" s="1"/>
  <c r="J41" i="1"/>
  <c r="N17" i="3" s="1"/>
  <c r="J42" i="1"/>
  <c r="N18" i="3" s="1"/>
  <c r="J43" i="1"/>
  <c r="N19" i="3" s="1"/>
  <c r="J44" i="1"/>
  <c r="N20" i="3" s="1"/>
  <c r="J45" i="1"/>
  <c r="N21" i="3" s="1"/>
  <c r="J46" i="1"/>
  <c r="N22" i="3" s="1"/>
  <c r="J47" i="1"/>
  <c r="N23" i="3" s="1"/>
  <c r="J48" i="1"/>
  <c r="N24" i="3" s="1"/>
  <c r="J49" i="1"/>
  <c r="N25" i="3" s="1"/>
  <c r="J50" i="1"/>
  <c r="N26" i="3" s="1"/>
  <c r="J51" i="1"/>
  <c r="N27" i="3" s="1"/>
  <c r="J52" i="1"/>
  <c r="N28" i="3" s="1"/>
  <c r="J53" i="1"/>
  <c r="N29" i="3" s="1"/>
  <c r="I36" i="1"/>
  <c r="M12" i="3" s="1"/>
  <c r="I37" i="1"/>
  <c r="M13" i="3" s="1"/>
  <c r="I38" i="1"/>
  <c r="M14" i="3" s="1"/>
  <c r="I39" i="1"/>
  <c r="M15" i="3" s="1"/>
  <c r="I40" i="1"/>
  <c r="M16" i="3" s="1"/>
  <c r="I41" i="1"/>
  <c r="I42" i="1"/>
  <c r="M18" i="3" s="1"/>
  <c r="I43" i="1"/>
  <c r="M19" i="3" s="1"/>
  <c r="I44" i="1"/>
  <c r="M20" i="3" s="1"/>
  <c r="I45" i="1"/>
  <c r="M21" i="3" s="1"/>
  <c r="I46" i="1"/>
  <c r="M22" i="3" s="1"/>
  <c r="I47" i="1"/>
  <c r="M23" i="3" s="1"/>
  <c r="I48" i="1"/>
  <c r="M24" i="3" s="1"/>
  <c r="I49" i="1"/>
  <c r="M25" i="3" s="1"/>
  <c r="I50" i="1"/>
  <c r="M26" i="3" s="1"/>
  <c r="I51" i="1"/>
  <c r="M27" i="3" s="1"/>
  <c r="I52" i="1"/>
  <c r="M28" i="3" s="1"/>
  <c r="I53" i="1"/>
  <c r="M29" i="3" s="1"/>
  <c r="I35" i="1"/>
  <c r="M11" i="3" s="1"/>
  <c r="M24" i="2"/>
  <c r="G17" i="1" s="1"/>
  <c r="D24" i="3" s="1"/>
  <c r="M19" i="2"/>
  <c r="G43" i="1" s="1"/>
  <c r="K19" i="3" s="1"/>
  <c r="I20" i="2" l="1"/>
  <c r="I11" i="2"/>
  <c r="D46" i="2"/>
  <c r="D50" i="2" s="1"/>
  <c r="D60" i="2"/>
  <c r="F57" i="2"/>
  <c r="C46" i="2"/>
  <c r="C49" i="2" s="1"/>
  <c r="E46" i="2"/>
  <c r="E51" i="2" s="1"/>
  <c r="F46" i="2"/>
  <c r="F53" i="2" s="1"/>
  <c r="G46" i="2"/>
  <c r="F56" i="2"/>
  <c r="G48" i="1"/>
  <c r="K24" i="3" s="1"/>
  <c r="G12" i="1"/>
  <c r="D19" i="3" s="1"/>
  <c r="I25" i="1"/>
  <c r="F11" i="3"/>
  <c r="I23" i="1"/>
  <c r="P43" i="1" s="1"/>
  <c r="I24" i="1"/>
  <c r="J12" i="3"/>
  <c r="J25" i="3"/>
  <c r="I55" i="1"/>
  <c r="I54" i="1"/>
  <c r="I56" i="1"/>
  <c r="G53" i="2" l="1"/>
  <c r="G50" i="2"/>
  <c r="D52" i="2"/>
  <c r="D49" i="2"/>
  <c r="D51" i="2"/>
  <c r="D53" i="2"/>
  <c r="E52" i="2"/>
  <c r="E53" i="2"/>
  <c r="C51" i="2"/>
  <c r="C50" i="2"/>
  <c r="G49" i="2"/>
  <c r="E49" i="2"/>
  <c r="F50" i="2"/>
  <c r="F52" i="2"/>
  <c r="F49" i="2"/>
  <c r="C52" i="2"/>
  <c r="G52" i="2"/>
  <c r="G51" i="2"/>
  <c r="F51" i="2"/>
  <c r="C53" i="2"/>
  <c r="P51" i="1"/>
  <c r="P49" i="1"/>
  <c r="P37" i="1"/>
  <c r="P38" i="1"/>
  <c r="P44" i="1"/>
  <c r="P50" i="1"/>
  <c r="P39" i="1"/>
  <c r="P47" i="1"/>
  <c r="P53" i="1"/>
  <c r="P40" i="1"/>
  <c r="P35" i="1"/>
  <c r="P46" i="1"/>
  <c r="P42" i="1"/>
  <c r="I26" i="1"/>
  <c r="P52" i="1"/>
  <c r="P45" i="1"/>
  <c r="P48" i="1"/>
  <c r="P41" i="1"/>
  <c r="P36" i="1"/>
  <c r="I57" i="1"/>
  <c r="H49" i="2" l="1"/>
  <c r="H56" i="2" s="1"/>
  <c r="H53" i="2"/>
  <c r="H60" i="2" s="1"/>
  <c r="H50" i="2"/>
  <c r="H57" i="2" s="1"/>
  <c r="H51" i="2"/>
  <c r="H58" i="2" s="1"/>
  <c r="H52" i="2"/>
  <c r="H59" i="2" s="1"/>
  <c r="H4" i="1"/>
  <c r="M23" i="2"/>
  <c r="M13" i="2"/>
  <c r="M16" i="2"/>
  <c r="M18" i="2"/>
  <c r="M22" i="2"/>
  <c r="M25" i="2"/>
  <c r="M26" i="2"/>
  <c r="M28" i="2"/>
  <c r="I15" i="2"/>
  <c r="H8" i="1" s="1"/>
  <c r="E15" i="3" s="1"/>
  <c r="J15" i="2"/>
  <c r="H39" i="1" s="1"/>
  <c r="I16" i="2"/>
  <c r="H9" i="1" s="1"/>
  <c r="E16" i="3" s="1"/>
  <c r="J16" i="2"/>
  <c r="H40" i="1" s="1"/>
  <c r="I17" i="2"/>
  <c r="H10" i="1" s="1"/>
  <c r="E17" i="3" s="1"/>
  <c r="J17" i="2"/>
  <c r="H41" i="1" s="1"/>
  <c r="I18" i="2"/>
  <c r="H11" i="1" s="1"/>
  <c r="E18" i="3" s="1"/>
  <c r="J18" i="2"/>
  <c r="H42" i="1" s="1"/>
  <c r="I19" i="2"/>
  <c r="H12" i="1" s="1"/>
  <c r="E19" i="3" s="1"/>
  <c r="J19" i="2"/>
  <c r="H43" i="1" s="1"/>
  <c r="H13" i="1"/>
  <c r="E20" i="3" s="1"/>
  <c r="J20" i="2"/>
  <c r="H44" i="1" s="1"/>
  <c r="I21" i="2"/>
  <c r="H14" i="1" s="1"/>
  <c r="E21" i="3" s="1"/>
  <c r="H45" i="1"/>
  <c r="I22" i="2"/>
  <c r="H15" i="1" s="1"/>
  <c r="E22" i="3" s="1"/>
  <c r="J22" i="2"/>
  <c r="H46" i="1" s="1"/>
  <c r="L22" i="3" s="1"/>
  <c r="I23" i="2"/>
  <c r="H16" i="1" s="1"/>
  <c r="E23" i="3" s="1"/>
  <c r="J23" i="2"/>
  <c r="H47" i="1" s="1"/>
  <c r="I24" i="2"/>
  <c r="H17" i="1" s="1"/>
  <c r="E24" i="3" s="1"/>
  <c r="H48" i="1"/>
  <c r="H18" i="1"/>
  <c r="E25" i="3" s="1"/>
  <c r="J25" i="2"/>
  <c r="H49" i="1" s="1"/>
  <c r="I26" i="2"/>
  <c r="H19" i="1" s="1"/>
  <c r="E26" i="3" s="1"/>
  <c r="J26" i="2"/>
  <c r="H50" i="1" s="1"/>
  <c r="I27" i="2"/>
  <c r="H20" i="1" s="1"/>
  <c r="E27" i="3" s="1"/>
  <c r="J27" i="2"/>
  <c r="H51" i="1" s="1"/>
  <c r="I28" i="2"/>
  <c r="H21" i="1" s="1"/>
  <c r="E28" i="3" s="1"/>
  <c r="J28" i="2"/>
  <c r="H52" i="1" s="1"/>
  <c r="I29" i="2"/>
  <c r="H22" i="1" s="1"/>
  <c r="E29" i="3" s="1"/>
  <c r="J29" i="2"/>
  <c r="H53" i="1" s="1"/>
  <c r="J14" i="2"/>
  <c r="H38" i="1" s="1"/>
  <c r="I14" i="2"/>
  <c r="H7" i="1" s="1"/>
  <c r="E14" i="3" s="1"/>
  <c r="I13" i="2"/>
  <c r="H6" i="1" s="1"/>
  <c r="J13" i="2"/>
  <c r="H37" i="1" s="1"/>
  <c r="J12" i="2"/>
  <c r="H36" i="1" s="1"/>
  <c r="I12" i="2"/>
  <c r="H5" i="1" s="1"/>
  <c r="E12" i="3" s="1"/>
  <c r="J11" i="2"/>
  <c r="H35" i="1" s="1"/>
  <c r="K11" i="2"/>
  <c r="M11" i="2" s="1"/>
  <c r="K29" i="2"/>
  <c r="M29" i="2" s="1"/>
  <c r="K27" i="2"/>
  <c r="M27" i="2" s="1"/>
  <c r="K21" i="2"/>
  <c r="M21" i="2" s="1"/>
  <c r="K20" i="2"/>
  <c r="M20" i="2" s="1"/>
  <c r="K17" i="2"/>
  <c r="M17" i="2" s="1"/>
  <c r="K15" i="2"/>
  <c r="M15" i="2" s="1"/>
  <c r="K14" i="2"/>
  <c r="M14" i="2" s="1"/>
  <c r="K12" i="2"/>
  <c r="M12" i="2" s="1"/>
  <c r="I56" i="2" l="1" a="1"/>
  <c r="I60" i="2" s="1"/>
  <c r="J60" i="2" s="1"/>
  <c r="G39" i="1"/>
  <c r="G8" i="1"/>
  <c r="D15" i="3" s="1"/>
  <c r="G21" i="1"/>
  <c r="D28" i="3" s="1"/>
  <c r="G52" i="1"/>
  <c r="G50" i="1"/>
  <c r="G19" i="1"/>
  <c r="D26" i="3" s="1"/>
  <c r="G18" i="1"/>
  <c r="D25" i="3" s="1"/>
  <c r="G49" i="1"/>
  <c r="G5" i="1"/>
  <c r="D12" i="3" s="1"/>
  <c r="G36" i="1"/>
  <c r="G38" i="1"/>
  <c r="G7" i="1"/>
  <c r="D14" i="3" s="1"/>
  <c r="G46" i="1"/>
  <c r="G15" i="1"/>
  <c r="D22" i="3" s="1"/>
  <c r="G42" i="1"/>
  <c r="G11" i="1"/>
  <c r="D18" i="3" s="1"/>
  <c r="G10" i="1"/>
  <c r="D17" i="3" s="1"/>
  <c r="G41" i="1"/>
  <c r="K17" i="3" s="1"/>
  <c r="G9" i="1"/>
  <c r="D16" i="3" s="1"/>
  <c r="G40" i="1"/>
  <c r="G6" i="1"/>
  <c r="D13" i="3" s="1"/>
  <c r="G37" i="1"/>
  <c r="G16" i="1"/>
  <c r="D23" i="3" s="1"/>
  <c r="G47" i="1"/>
  <c r="G20" i="1"/>
  <c r="D27" i="3" s="1"/>
  <c r="G51" i="1"/>
  <c r="G53" i="1"/>
  <c r="G22" i="1"/>
  <c r="D29" i="3" s="1"/>
  <c r="G4" i="1"/>
  <c r="G35" i="1"/>
  <c r="G44" i="1"/>
  <c r="G13" i="1"/>
  <c r="D20" i="3" s="1"/>
  <c r="G45" i="1"/>
  <c r="G14" i="1"/>
  <c r="D21" i="3" s="1"/>
  <c r="L27" i="3"/>
  <c r="L19" i="3"/>
  <c r="L18" i="3"/>
  <c r="H24" i="1"/>
  <c r="E11" i="3"/>
  <c r="H23" i="1"/>
  <c r="O46" i="1" s="1"/>
  <c r="L17" i="3"/>
  <c r="L11" i="3"/>
  <c r="H54" i="1"/>
  <c r="H55" i="1"/>
  <c r="H56" i="1"/>
  <c r="L16" i="3"/>
  <c r="L12" i="3"/>
  <c r="L15" i="3"/>
  <c r="L23" i="3"/>
  <c r="L24" i="3"/>
  <c r="H25" i="1"/>
  <c r="E13" i="3"/>
  <c r="L14" i="3"/>
  <c r="L29" i="3"/>
  <c r="L21" i="3"/>
  <c r="L26" i="3"/>
  <c r="L28" i="3"/>
  <c r="L20" i="3"/>
  <c r="L25" i="3"/>
  <c r="L13" i="3"/>
  <c r="P5" i="1"/>
  <c r="I57" i="2" l="1"/>
  <c r="J57" i="2" s="1"/>
  <c r="I56" i="2"/>
  <c r="J56" i="2" s="1"/>
  <c r="I58" i="2"/>
  <c r="J58" i="2" s="1"/>
  <c r="I59" i="2"/>
  <c r="J59" i="2" s="1"/>
  <c r="K29" i="3"/>
  <c r="K14" i="3"/>
  <c r="K27" i="3"/>
  <c r="K12" i="3"/>
  <c r="K21" i="3"/>
  <c r="K23" i="3"/>
  <c r="K25" i="3"/>
  <c r="K13" i="3"/>
  <c r="K26" i="3"/>
  <c r="K16" i="3"/>
  <c r="K28" i="3"/>
  <c r="K15" i="3"/>
  <c r="K18" i="3"/>
  <c r="K20" i="3"/>
  <c r="K11" i="3"/>
  <c r="G54" i="1"/>
  <c r="G56" i="1"/>
  <c r="G55" i="1"/>
  <c r="D11" i="3"/>
  <c r="G25" i="1"/>
  <c r="G23" i="1"/>
  <c r="N51" i="1" s="1"/>
  <c r="G24" i="1"/>
  <c r="K22" i="3"/>
  <c r="H26" i="1"/>
  <c r="H57" i="1"/>
  <c r="O41" i="1"/>
  <c r="O48" i="1"/>
  <c r="O44" i="1"/>
  <c r="O47" i="1"/>
  <c r="O52" i="1"/>
  <c r="O39" i="1"/>
  <c r="O42" i="1"/>
  <c r="O43" i="1"/>
  <c r="O53" i="1"/>
  <c r="O38" i="1"/>
  <c r="O49" i="1"/>
  <c r="O13" i="1"/>
  <c r="O50" i="1"/>
  <c r="O36" i="1"/>
  <c r="O40" i="1"/>
  <c r="O51" i="1"/>
  <c r="O35" i="1"/>
  <c r="O37" i="1"/>
  <c r="O45" i="1"/>
  <c r="P4" i="1"/>
  <c r="P20" i="1"/>
  <c r="P17" i="1"/>
  <c r="O17" i="1"/>
  <c r="O12" i="1"/>
  <c r="P14" i="1"/>
  <c r="O18" i="1"/>
  <c r="P22" i="1"/>
  <c r="O8" i="1"/>
  <c r="O11" i="1"/>
  <c r="P10" i="1"/>
  <c r="P19" i="1"/>
  <c r="O14" i="1"/>
  <c r="O16" i="1"/>
  <c r="O7" i="1"/>
  <c r="O22" i="1"/>
  <c r="P6" i="1"/>
  <c r="P13" i="1"/>
  <c r="O5" i="1"/>
  <c r="O4" i="1"/>
  <c r="O21" i="1"/>
  <c r="O6" i="1"/>
  <c r="P11" i="1"/>
  <c r="P8" i="1"/>
  <c r="O19" i="1"/>
  <c r="P16" i="1"/>
  <c r="O20" i="1"/>
  <c r="O15" i="1"/>
  <c r="P12" i="1"/>
  <c r="P9" i="1"/>
  <c r="P18" i="1"/>
  <c r="O9" i="1"/>
  <c r="P7" i="1"/>
  <c r="O10" i="1"/>
  <c r="P15" i="1"/>
  <c r="P21" i="1"/>
  <c r="M57" i="2" l="1"/>
  <c r="M58" i="2" s="1"/>
  <c r="M59" i="2" s="1"/>
  <c r="N42" i="1"/>
  <c r="N46" i="1"/>
  <c r="N47" i="1"/>
  <c r="G26" i="1"/>
  <c r="N37" i="1"/>
  <c r="N49" i="1"/>
  <c r="N45" i="1"/>
  <c r="N44" i="1"/>
  <c r="N39" i="1"/>
  <c r="N36" i="1"/>
  <c r="N52" i="1"/>
  <c r="N41" i="1"/>
  <c r="N48" i="1"/>
  <c r="N43" i="1"/>
  <c r="N40" i="1"/>
  <c r="N38" i="1"/>
  <c r="N35" i="1"/>
  <c r="N50" i="1"/>
  <c r="N53" i="1"/>
  <c r="G57" i="1"/>
  <c r="N4" i="1"/>
  <c r="Q29" i="1" l="1"/>
  <c r="N33" i="3" s="1"/>
  <c r="N29" i="1"/>
  <c r="K33" i="3" s="1"/>
  <c r="O29" i="1"/>
  <c r="V10" i="1" s="1"/>
  <c r="P29" i="1"/>
  <c r="M33" i="3" s="1"/>
  <c r="M29" i="1"/>
  <c r="J33" i="3" s="1"/>
  <c r="N13" i="1"/>
  <c r="N16" i="1"/>
  <c r="N14" i="1"/>
  <c r="N20" i="1"/>
  <c r="N8" i="1"/>
  <c r="N18" i="1"/>
  <c r="N17" i="1"/>
  <c r="N6" i="1"/>
  <c r="N5" i="1"/>
  <c r="N9" i="1"/>
  <c r="N22" i="1"/>
  <c r="N19" i="1"/>
  <c r="N15" i="1"/>
  <c r="N21" i="1"/>
  <c r="U21" i="1" s="1"/>
  <c r="N7" i="1"/>
  <c r="N11" i="1"/>
  <c r="N10" i="1"/>
  <c r="N12" i="1"/>
  <c r="U44" i="1" l="1"/>
  <c r="V8" i="1"/>
  <c r="V13" i="1"/>
  <c r="V21" i="1"/>
  <c r="V17" i="1"/>
  <c r="V41" i="1"/>
  <c r="V4" i="1"/>
  <c r="V20" i="1"/>
  <c r="V47" i="1"/>
  <c r="V40" i="1"/>
  <c r="V52" i="1"/>
  <c r="V49" i="1"/>
  <c r="V42" i="1"/>
  <c r="V37" i="1"/>
  <c r="V7" i="1"/>
  <c r="U35" i="1"/>
  <c r="U43" i="1"/>
  <c r="U6" i="1"/>
  <c r="U18" i="1"/>
  <c r="U8" i="1"/>
  <c r="U53" i="1"/>
  <c r="U15" i="1"/>
  <c r="U52" i="1"/>
  <c r="U20" i="1"/>
  <c r="U41" i="1"/>
  <c r="U5" i="1"/>
  <c r="U17" i="1"/>
  <c r="U14" i="1"/>
  <c r="U37" i="1"/>
  <c r="U36" i="1"/>
  <c r="U22" i="1"/>
  <c r="U12" i="1"/>
  <c r="U46" i="1"/>
  <c r="U45" i="1"/>
  <c r="U9" i="1"/>
  <c r="U50" i="1"/>
  <c r="U4" i="1"/>
  <c r="U10" i="1"/>
  <c r="U13" i="1"/>
  <c r="U51" i="1"/>
  <c r="U7" i="1"/>
  <c r="U49" i="1"/>
  <c r="U40" i="1"/>
  <c r="U38" i="1"/>
  <c r="U48" i="1"/>
  <c r="U39" i="1"/>
  <c r="U42" i="1"/>
  <c r="U47" i="1"/>
  <c r="V53" i="1"/>
  <c r="V39" i="1"/>
  <c r="V51" i="1"/>
  <c r="V36" i="1"/>
  <c r="V45" i="1"/>
  <c r="V35" i="1"/>
  <c r="V43" i="1"/>
  <c r="V50" i="1"/>
  <c r="V46" i="1"/>
  <c r="V14" i="1"/>
  <c r="V48" i="1"/>
  <c r="V5" i="1"/>
  <c r="V6" i="1"/>
  <c r="V44" i="1"/>
  <c r="V9" i="1"/>
  <c r="V15" i="1"/>
  <c r="V38" i="1"/>
  <c r="L33" i="3"/>
  <c r="V12" i="1"/>
  <c r="V11" i="1"/>
  <c r="V16" i="1"/>
  <c r="V18" i="1"/>
  <c r="V19" i="1"/>
  <c r="V22" i="1"/>
  <c r="W18" i="1"/>
  <c r="W52" i="1"/>
  <c r="W53" i="1"/>
  <c r="W49" i="1"/>
  <c r="W37" i="1"/>
  <c r="W44" i="1"/>
  <c r="W35" i="1"/>
  <c r="W39" i="1"/>
  <c r="W36" i="1"/>
  <c r="W41" i="1"/>
  <c r="W42" i="1"/>
  <c r="W43" i="1"/>
  <c r="W50" i="1"/>
  <c r="W47" i="1"/>
  <c r="W40" i="1"/>
  <c r="W48" i="1"/>
  <c r="W38" i="1"/>
  <c r="W51" i="1"/>
  <c r="W46" i="1"/>
  <c r="W45" i="1"/>
  <c r="W8" i="1"/>
  <c r="W12" i="1"/>
  <c r="W9" i="1"/>
  <c r="W11" i="1"/>
  <c r="W15" i="1"/>
  <c r="W20" i="1"/>
  <c r="W22" i="1"/>
  <c r="W5" i="1"/>
  <c r="W16" i="1"/>
  <c r="W14" i="1"/>
  <c r="W6" i="1"/>
  <c r="W21" i="1"/>
  <c r="W17" i="1"/>
  <c r="W19" i="1"/>
  <c r="W10" i="1"/>
  <c r="W7" i="1"/>
  <c r="W4" i="1"/>
  <c r="W13" i="1"/>
  <c r="U19" i="1"/>
  <c r="U16" i="1"/>
  <c r="U11" i="1"/>
  <c r="U55" i="1" l="1"/>
  <c r="U54" i="1"/>
  <c r="V24" i="1"/>
  <c r="AK16" i="1" s="1"/>
  <c r="V23" i="1"/>
  <c r="AC19" i="1" s="1"/>
  <c r="V55" i="1"/>
  <c r="V54" i="1"/>
  <c r="W54" i="1"/>
  <c r="W55" i="1"/>
  <c r="W24" i="1"/>
  <c r="W23" i="1"/>
  <c r="C47" i="3"/>
  <c r="U24" i="1"/>
  <c r="U23" i="1"/>
  <c r="AK48" i="1" l="1"/>
  <c r="AK37" i="1"/>
  <c r="AK45" i="1"/>
  <c r="AK49" i="1"/>
  <c r="AC11" i="1"/>
  <c r="AC7" i="1"/>
  <c r="AC16" i="1"/>
  <c r="AC18" i="1"/>
  <c r="AK5" i="1"/>
  <c r="AC51" i="1"/>
  <c r="AK35" i="1"/>
  <c r="AC49" i="1"/>
  <c r="AK42" i="1"/>
  <c r="AK43" i="1"/>
  <c r="AK46" i="1"/>
  <c r="AC6" i="1"/>
  <c r="AC40" i="1"/>
  <c r="AC8" i="1"/>
  <c r="AK40" i="1"/>
  <c r="AK47" i="1"/>
  <c r="AC36" i="1"/>
  <c r="AC50" i="1"/>
  <c r="AK53" i="1"/>
  <c r="AC48" i="1"/>
  <c r="AK22" i="1"/>
  <c r="AC39" i="1"/>
  <c r="AC38" i="1"/>
  <c r="AC52" i="1"/>
  <c r="AC15" i="1"/>
  <c r="AK7" i="1"/>
  <c r="AC9" i="1"/>
  <c r="AC20" i="1"/>
  <c r="AC21" i="1"/>
  <c r="AC14" i="1"/>
  <c r="AC4" i="1"/>
  <c r="AC42" i="1"/>
  <c r="AC13" i="1"/>
  <c r="AC37" i="1"/>
  <c r="AC45" i="1"/>
  <c r="AC43" i="1"/>
  <c r="AK11" i="1"/>
  <c r="AC47" i="1"/>
  <c r="AC44" i="1"/>
  <c r="AK14" i="1"/>
  <c r="AC5" i="1"/>
  <c r="AC53" i="1"/>
  <c r="AC46" i="1"/>
  <c r="AC17" i="1"/>
  <c r="AK9" i="1"/>
  <c r="AK18" i="1"/>
  <c r="AK15" i="1"/>
  <c r="AK19" i="1"/>
  <c r="AK38" i="1"/>
  <c r="AK52" i="1"/>
  <c r="AK10" i="1"/>
  <c r="AK41" i="1"/>
  <c r="AK17" i="1"/>
  <c r="AK20" i="1"/>
  <c r="AK8" i="1"/>
  <c r="AK36" i="1"/>
  <c r="AK6" i="1"/>
  <c r="AK50" i="1"/>
  <c r="AC12" i="1"/>
  <c r="AC22" i="1"/>
  <c r="AC41" i="1"/>
  <c r="AK44" i="1"/>
  <c r="AK13" i="1"/>
  <c r="AK12" i="1"/>
  <c r="AK51" i="1"/>
  <c r="AK4" i="1"/>
  <c r="AC35" i="1"/>
  <c r="AK39" i="1"/>
  <c r="AK21" i="1"/>
  <c r="AC10" i="1"/>
  <c r="AB19" i="1"/>
  <c r="AB45" i="1"/>
  <c r="AB50" i="1"/>
  <c r="AB42" i="1"/>
  <c r="AB39" i="1"/>
  <c r="AB38" i="1"/>
  <c r="AB51" i="1"/>
  <c r="AB41" i="1"/>
  <c r="AB47" i="1"/>
  <c r="AB36" i="1"/>
  <c r="AB49" i="1"/>
  <c r="AB43" i="1"/>
  <c r="AB52" i="1"/>
  <c r="AB53" i="1"/>
  <c r="AB37" i="1"/>
  <c r="AB40" i="1"/>
  <c r="AB44" i="1"/>
  <c r="AB46" i="1"/>
  <c r="AB48" i="1"/>
  <c r="AB35" i="1"/>
  <c r="AD9" i="1"/>
  <c r="AD41" i="1"/>
  <c r="AD49" i="1"/>
  <c r="AD51" i="1"/>
  <c r="AD52" i="1"/>
  <c r="AD37" i="1"/>
  <c r="AD40" i="1"/>
  <c r="AD43" i="1"/>
  <c r="AD44" i="1"/>
  <c r="AD35" i="1"/>
  <c r="AD45" i="1"/>
  <c r="AD50" i="1"/>
  <c r="AD38" i="1"/>
  <c r="AD42" i="1"/>
  <c r="AD53" i="1"/>
  <c r="AD47" i="1"/>
  <c r="AD46" i="1"/>
  <c r="AD36" i="1"/>
  <c r="AD48" i="1"/>
  <c r="AD39" i="1"/>
  <c r="AL7" i="1"/>
  <c r="AL41" i="1"/>
  <c r="AL49" i="1"/>
  <c r="AL47" i="1"/>
  <c r="AL48" i="1"/>
  <c r="AL35" i="1"/>
  <c r="AL45" i="1"/>
  <c r="AL50" i="1"/>
  <c r="AL43" i="1"/>
  <c r="AL37" i="1"/>
  <c r="AL40" i="1"/>
  <c r="AL42" i="1"/>
  <c r="AL52" i="1"/>
  <c r="AL38" i="1"/>
  <c r="AL44" i="1"/>
  <c r="AL36" i="1"/>
  <c r="AL53" i="1"/>
  <c r="AL46" i="1"/>
  <c r="AL51" i="1"/>
  <c r="AL39" i="1"/>
  <c r="AJ53" i="1"/>
  <c r="AJ46" i="1"/>
  <c r="AJ45" i="1"/>
  <c r="AJ47" i="1"/>
  <c r="AJ51" i="1"/>
  <c r="AJ41" i="1"/>
  <c r="AJ42" i="1"/>
  <c r="AJ39" i="1"/>
  <c r="AJ49" i="1"/>
  <c r="AJ43" i="1"/>
  <c r="AJ52" i="1"/>
  <c r="AJ36" i="1"/>
  <c r="AJ38" i="1"/>
  <c r="AJ37" i="1"/>
  <c r="AJ50" i="1"/>
  <c r="AJ40" i="1"/>
  <c r="AJ44" i="1"/>
  <c r="AJ48" i="1"/>
  <c r="AJ35" i="1"/>
  <c r="AD4" i="1"/>
  <c r="AL13" i="1"/>
  <c r="AL14" i="1"/>
  <c r="AL12" i="1"/>
  <c r="AL20" i="1"/>
  <c r="AL21" i="1"/>
  <c r="AL11" i="1"/>
  <c r="AL17" i="1"/>
  <c r="AL8" i="1"/>
  <c r="AL15" i="1"/>
  <c r="AL6" i="1"/>
  <c r="AL16" i="1"/>
  <c r="AL10" i="1"/>
  <c r="AL18" i="1"/>
  <c r="AL22" i="1"/>
  <c r="AL19" i="1"/>
  <c r="AL5" i="1"/>
  <c r="AD16" i="1"/>
  <c r="AD22" i="1"/>
  <c r="AD14" i="1"/>
  <c r="AD21" i="1"/>
  <c r="AD20" i="1"/>
  <c r="AD19" i="1"/>
  <c r="AD11" i="1"/>
  <c r="AD5" i="1"/>
  <c r="AD10" i="1"/>
  <c r="AD18" i="1"/>
  <c r="AD6" i="1"/>
  <c r="AD8" i="1"/>
  <c r="AD15" i="1"/>
  <c r="AD12" i="1"/>
  <c r="AD17" i="1"/>
  <c r="AL4" i="1"/>
  <c r="AD7" i="1"/>
  <c r="AD13" i="1"/>
  <c r="AL9" i="1"/>
  <c r="AJ9" i="1"/>
  <c r="AJ20" i="1"/>
  <c r="AJ15" i="1"/>
  <c r="AJ8" i="1"/>
  <c r="AJ7" i="1"/>
  <c r="AJ22" i="1"/>
  <c r="AJ17" i="1"/>
  <c r="AJ5" i="1"/>
  <c r="AJ13" i="1"/>
  <c r="AJ4" i="1"/>
  <c r="AJ18" i="1"/>
  <c r="AJ14" i="1"/>
  <c r="AJ21" i="1"/>
  <c r="AJ10" i="1"/>
  <c r="AJ12" i="1"/>
  <c r="AJ6" i="1"/>
  <c r="AJ16" i="1"/>
  <c r="AB16" i="1"/>
  <c r="AJ19" i="1"/>
  <c r="AB18" i="1"/>
  <c r="AB20" i="1"/>
  <c r="AB15" i="1"/>
  <c r="AB7" i="1"/>
  <c r="AB12" i="1"/>
  <c r="AB17" i="1"/>
  <c r="AB5" i="1"/>
  <c r="AB13" i="1"/>
  <c r="AB22" i="1"/>
  <c r="AB21" i="1"/>
  <c r="AB10" i="1"/>
  <c r="AB9" i="1"/>
  <c r="AB14" i="1"/>
  <c r="AB8" i="1"/>
  <c r="AB6" i="1"/>
  <c r="AB4" i="1"/>
  <c r="AJ11" i="1"/>
  <c r="AB11" i="1"/>
  <c r="J35" i="1" l="1"/>
  <c r="N11" i="3" s="1"/>
  <c r="J4" i="1"/>
  <c r="G11" i="3" s="1"/>
  <c r="J24" i="1" l="1"/>
  <c r="J54" i="1"/>
  <c r="J23" i="1"/>
  <c r="Q21" i="1" s="1"/>
  <c r="X21" i="1" s="1"/>
  <c r="J56" i="1"/>
  <c r="J25" i="1"/>
  <c r="J55" i="1"/>
  <c r="J26" i="1" l="1"/>
  <c r="Q14" i="1"/>
  <c r="X14" i="1" s="1"/>
  <c r="Q4" i="1"/>
  <c r="X4" i="1" s="1"/>
  <c r="Q20" i="1"/>
  <c r="X20" i="1" s="1"/>
  <c r="Q38" i="1"/>
  <c r="X38" i="1" s="1"/>
  <c r="Q37" i="1"/>
  <c r="X37" i="1" s="1"/>
  <c r="Q19" i="1"/>
  <c r="X19" i="1" s="1"/>
  <c r="Q12" i="1"/>
  <c r="X12" i="1" s="1"/>
  <c r="Q50" i="1"/>
  <c r="X50" i="1" s="1"/>
  <c r="Q39" i="1"/>
  <c r="X39" i="1" s="1"/>
  <c r="Q11" i="1"/>
  <c r="X11" i="1" s="1"/>
  <c r="Q5" i="1"/>
  <c r="X5" i="1" s="1"/>
  <c r="Q47" i="1"/>
  <c r="X47" i="1" s="1"/>
  <c r="Q22" i="1"/>
  <c r="X22" i="1" s="1"/>
  <c r="J57" i="1"/>
  <c r="Q9" i="1"/>
  <c r="X9" i="1" s="1"/>
  <c r="Q35" i="1"/>
  <c r="X35" i="1" s="1"/>
  <c r="Q44" i="1"/>
  <c r="X44" i="1" s="1"/>
  <c r="Q51" i="1"/>
  <c r="X51" i="1" s="1"/>
  <c r="Q40" i="1"/>
  <c r="X40" i="1" s="1"/>
  <c r="Q49" i="1"/>
  <c r="X49" i="1" s="1"/>
  <c r="Q36" i="1"/>
  <c r="X36" i="1" s="1"/>
  <c r="Q42" i="1"/>
  <c r="X42" i="1" s="1"/>
  <c r="Q45" i="1"/>
  <c r="X45" i="1" s="1"/>
  <c r="Q41" i="1"/>
  <c r="X41" i="1" s="1"/>
  <c r="Q52" i="1"/>
  <c r="X52" i="1" s="1"/>
  <c r="Q53" i="1"/>
  <c r="X53" i="1" s="1"/>
  <c r="Q15" i="1"/>
  <c r="X15" i="1" s="1"/>
  <c r="Q16" i="1"/>
  <c r="X16" i="1" s="1"/>
  <c r="Q18" i="1"/>
  <c r="X18" i="1" s="1"/>
  <c r="Q6" i="1"/>
  <c r="X6" i="1" s="1"/>
  <c r="Q43" i="1"/>
  <c r="X43" i="1" s="1"/>
  <c r="Q13" i="1"/>
  <c r="X13" i="1" s="1"/>
  <c r="Q46" i="1"/>
  <c r="X46" i="1" s="1"/>
  <c r="Q8" i="1"/>
  <c r="X8" i="1" s="1"/>
  <c r="Q10" i="1"/>
  <c r="X10" i="1" s="1"/>
  <c r="Q48" i="1"/>
  <c r="X48" i="1" s="1"/>
  <c r="Q17" i="1"/>
  <c r="X17" i="1" s="1"/>
  <c r="Q7" i="1"/>
  <c r="X7" i="1" s="1"/>
  <c r="X23" i="1" l="1"/>
  <c r="AE18" i="1" s="1"/>
  <c r="X24" i="1"/>
  <c r="AM19" i="1" s="1"/>
  <c r="X55" i="1"/>
  <c r="X54" i="1"/>
  <c r="F35" i="1"/>
  <c r="F4" i="1"/>
  <c r="AM53" i="1" l="1"/>
  <c r="AM41" i="1"/>
  <c r="AM16" i="1"/>
  <c r="AM12" i="1"/>
  <c r="AM39" i="1"/>
  <c r="AM13" i="1"/>
  <c r="AM46" i="1"/>
  <c r="AM44" i="1"/>
  <c r="AM8" i="1"/>
  <c r="AM50" i="1"/>
  <c r="AM20" i="1"/>
  <c r="AM10" i="1"/>
  <c r="AM11" i="1"/>
  <c r="AM9" i="1"/>
  <c r="AM18" i="1"/>
  <c r="AM51" i="1"/>
  <c r="AM49" i="1"/>
  <c r="AM38" i="1"/>
  <c r="AM14" i="1"/>
  <c r="AM42" i="1"/>
  <c r="AM48" i="1"/>
  <c r="AM22" i="1"/>
  <c r="AM17" i="1"/>
  <c r="AM5" i="1"/>
  <c r="AM52" i="1"/>
  <c r="AM4" i="1"/>
  <c r="AM21" i="1"/>
  <c r="AM15" i="1"/>
  <c r="AM36" i="1"/>
  <c r="AM40" i="1"/>
  <c r="AM35" i="1"/>
  <c r="AM43" i="1"/>
  <c r="AM6" i="1"/>
  <c r="AM37" i="1"/>
  <c r="AE46" i="1"/>
  <c r="AE35" i="1"/>
  <c r="AE42" i="1"/>
  <c r="AE22" i="1"/>
  <c r="AE51" i="1"/>
  <c r="AE6" i="1"/>
  <c r="AE48" i="1"/>
  <c r="AE21" i="1"/>
  <c r="AE8" i="1"/>
  <c r="AE52" i="1"/>
  <c r="AE14" i="1"/>
  <c r="AE47" i="1"/>
  <c r="AE53" i="1"/>
  <c r="AE13" i="1"/>
  <c r="AE49" i="1"/>
  <c r="AE45" i="1"/>
  <c r="AE20" i="1"/>
  <c r="AE38" i="1"/>
  <c r="AE36" i="1"/>
  <c r="AE9" i="1"/>
  <c r="AE39" i="1"/>
  <c r="AE19" i="1"/>
  <c r="AE40" i="1"/>
  <c r="AE17" i="1"/>
  <c r="AE41" i="1"/>
  <c r="AE7" i="1"/>
  <c r="AE11" i="1"/>
  <c r="AE44" i="1"/>
  <c r="AE15" i="1"/>
  <c r="AE4" i="1"/>
  <c r="AE37" i="1"/>
  <c r="AE16" i="1"/>
  <c r="AE5" i="1"/>
  <c r="AE50" i="1"/>
  <c r="AE43" i="1"/>
  <c r="AE10" i="1"/>
  <c r="AE12" i="1"/>
  <c r="AM45" i="1"/>
  <c r="AM47" i="1"/>
  <c r="AM7" i="1"/>
  <c r="F24" i="1"/>
  <c r="C11" i="3"/>
  <c r="J11" i="3"/>
  <c r="F54" i="1"/>
  <c r="F56" i="1"/>
  <c r="F55" i="1"/>
  <c r="F25" i="1"/>
  <c r="F23" i="1"/>
  <c r="F57" i="1" l="1"/>
  <c r="F26" i="1"/>
  <c r="M7" i="1"/>
  <c r="T7" i="1" s="1"/>
  <c r="M40" i="1"/>
  <c r="T40" i="1" s="1"/>
  <c r="M48" i="1"/>
  <c r="T48" i="1" s="1"/>
  <c r="M47" i="1"/>
  <c r="T47" i="1" s="1"/>
  <c r="M20" i="1"/>
  <c r="T20" i="1" s="1"/>
  <c r="M11" i="1"/>
  <c r="T11" i="1" s="1"/>
  <c r="M39" i="1"/>
  <c r="T39" i="1" s="1"/>
  <c r="M49" i="1"/>
  <c r="T49" i="1" s="1"/>
  <c r="M44" i="1"/>
  <c r="T44" i="1" s="1"/>
  <c r="M45" i="1"/>
  <c r="T45" i="1" s="1"/>
  <c r="M17" i="1"/>
  <c r="T17" i="1" s="1"/>
  <c r="M15" i="1"/>
  <c r="T15" i="1" s="1"/>
  <c r="M8" i="1"/>
  <c r="T8" i="1" s="1"/>
  <c r="M13" i="1"/>
  <c r="T13" i="1" s="1"/>
  <c r="M37" i="1"/>
  <c r="T37" i="1" s="1"/>
  <c r="M52" i="1"/>
  <c r="T52" i="1" s="1"/>
  <c r="M6" i="1"/>
  <c r="T6" i="1" s="1"/>
  <c r="M53" i="1"/>
  <c r="T53" i="1" s="1"/>
  <c r="M41" i="1"/>
  <c r="T41" i="1" s="1"/>
  <c r="M43" i="1"/>
  <c r="T43" i="1" s="1"/>
  <c r="M36" i="1"/>
  <c r="T36" i="1" s="1"/>
  <c r="M22" i="1"/>
  <c r="T22" i="1" s="1"/>
  <c r="M51" i="1"/>
  <c r="T51" i="1" s="1"/>
  <c r="M5" i="1"/>
  <c r="T5" i="1" s="1"/>
  <c r="M14" i="1"/>
  <c r="T14" i="1" s="1"/>
  <c r="M4" i="1"/>
  <c r="T4" i="1" s="1"/>
  <c r="M19" i="1"/>
  <c r="T19" i="1" s="1"/>
  <c r="M9" i="1"/>
  <c r="T9" i="1" s="1"/>
  <c r="M16" i="1"/>
  <c r="T16" i="1" s="1"/>
  <c r="M12" i="1"/>
  <c r="T12" i="1" s="1"/>
  <c r="M21" i="1"/>
  <c r="T21" i="1" s="1"/>
  <c r="M42" i="1"/>
  <c r="T42" i="1" s="1"/>
  <c r="M10" i="1"/>
  <c r="T10" i="1" s="1"/>
  <c r="M38" i="1"/>
  <c r="T38" i="1" s="1"/>
  <c r="M50" i="1"/>
  <c r="T50" i="1" s="1"/>
  <c r="M18" i="1"/>
  <c r="T18" i="1" s="1"/>
  <c r="M46" i="1"/>
  <c r="T46" i="1" s="1"/>
  <c r="M35" i="1"/>
  <c r="T35" i="1" s="1"/>
  <c r="T23" i="1" l="1"/>
  <c r="AA16" i="1" s="1"/>
  <c r="AF16" i="1" s="1"/>
  <c r="T24" i="1"/>
  <c r="AI8" i="1" s="1"/>
  <c r="AN8" i="1" s="1"/>
  <c r="T54" i="1"/>
  <c r="T55" i="1"/>
  <c r="AA36" i="1" l="1"/>
  <c r="AF36" i="1" s="1"/>
  <c r="AA46" i="1"/>
  <c r="AF46" i="1" s="1"/>
  <c r="AI12" i="1"/>
  <c r="AN12" i="1" s="1"/>
  <c r="AA39" i="1"/>
  <c r="AF39" i="1" s="1"/>
  <c r="AI43" i="1"/>
  <c r="AN43" i="1" s="1"/>
  <c r="AA42" i="1"/>
  <c r="AF42" i="1" s="1"/>
  <c r="AI20" i="1"/>
  <c r="AN20" i="1" s="1"/>
  <c r="AI42" i="1"/>
  <c r="AN42" i="1" s="1"/>
  <c r="AA20" i="1"/>
  <c r="AF20" i="1" s="1"/>
  <c r="AA11" i="1"/>
  <c r="AF11" i="1" s="1"/>
  <c r="AI14" i="1"/>
  <c r="AN14" i="1" s="1"/>
  <c r="AI11" i="1"/>
  <c r="AN11" i="1" s="1"/>
  <c r="AA38" i="1"/>
  <c r="AF38" i="1" s="1"/>
  <c r="AA43" i="1"/>
  <c r="AF43" i="1" s="1"/>
  <c r="AA12" i="1"/>
  <c r="AF12" i="1" s="1"/>
  <c r="AQ12" i="1" s="1"/>
  <c r="AR12" i="1" s="1"/>
  <c r="AA49" i="1"/>
  <c r="AF49" i="1" s="1"/>
  <c r="AI19" i="1"/>
  <c r="AN19" i="1" s="1"/>
  <c r="AA6" i="1"/>
  <c r="AF6" i="1" s="1"/>
  <c r="AA21" i="1"/>
  <c r="AF21" i="1" s="1"/>
  <c r="AI37" i="1"/>
  <c r="AN37" i="1" s="1"/>
  <c r="AA51" i="1"/>
  <c r="AF51" i="1" s="1"/>
  <c r="AI15" i="1"/>
  <c r="AN15" i="1" s="1"/>
  <c r="AI36" i="1"/>
  <c r="AN36" i="1" s="1"/>
  <c r="AI35" i="1"/>
  <c r="AN35" i="1" s="1"/>
  <c r="AA35" i="1"/>
  <c r="AF35" i="1" s="1"/>
  <c r="AA22" i="1"/>
  <c r="AF22" i="1" s="1"/>
  <c r="AI5" i="1"/>
  <c r="AN5" i="1" s="1"/>
  <c r="AI9" i="1"/>
  <c r="AN9" i="1" s="1"/>
  <c r="AA7" i="1"/>
  <c r="AF7" i="1" s="1"/>
  <c r="AI6" i="1"/>
  <c r="AN6" i="1" s="1"/>
  <c r="AI21" i="1"/>
  <c r="AN21" i="1" s="1"/>
  <c r="AI48" i="1"/>
  <c r="AN48" i="1" s="1"/>
  <c r="AI51" i="1"/>
  <c r="AN51" i="1" s="1"/>
  <c r="AA15" i="1"/>
  <c r="AF15" i="1" s="1"/>
  <c r="AI22" i="1"/>
  <c r="AN22" i="1" s="1"/>
  <c r="AA19" i="1"/>
  <c r="AF19" i="1" s="1"/>
  <c r="AA18" i="1"/>
  <c r="AF18" i="1" s="1"/>
  <c r="AA10" i="1"/>
  <c r="AF10" i="1" s="1"/>
  <c r="AI40" i="1"/>
  <c r="AN40" i="1" s="1"/>
  <c r="AA48" i="1"/>
  <c r="AF48" i="1" s="1"/>
  <c r="AI44" i="1"/>
  <c r="AN44" i="1" s="1"/>
  <c r="AA45" i="1"/>
  <c r="AF45" i="1" s="1"/>
  <c r="AI49" i="1"/>
  <c r="AN49" i="1" s="1"/>
  <c r="AI18" i="1"/>
  <c r="AN18" i="1" s="1"/>
  <c r="AQ18" i="1" s="1"/>
  <c r="AR18" i="1" s="1"/>
  <c r="AI10" i="1"/>
  <c r="AN10" i="1" s="1"/>
  <c r="AA40" i="1"/>
  <c r="AF40" i="1" s="1"/>
  <c r="AQ40" i="1" s="1"/>
  <c r="AR40" i="1" s="1"/>
  <c r="AI41" i="1"/>
  <c r="AN41" i="1" s="1"/>
  <c r="AA44" i="1"/>
  <c r="AF44" i="1" s="1"/>
  <c r="AQ44" i="1" s="1"/>
  <c r="AR44" i="1" s="1"/>
  <c r="AI45" i="1"/>
  <c r="AN45" i="1" s="1"/>
  <c r="AI38" i="1"/>
  <c r="AN38" i="1" s="1"/>
  <c r="AI39" i="1"/>
  <c r="AN39" i="1" s="1"/>
  <c r="AA14" i="1"/>
  <c r="AF14" i="1" s="1"/>
  <c r="AA8" i="1"/>
  <c r="AF8" i="1" s="1"/>
  <c r="AQ8" i="1" s="1"/>
  <c r="AR8" i="1" s="1"/>
  <c r="AI47" i="1"/>
  <c r="AN47" i="1" s="1"/>
  <c r="AI7" i="1"/>
  <c r="AN7" i="1" s="1"/>
  <c r="AA9" i="1"/>
  <c r="AF9" i="1" s="1"/>
  <c r="AA50" i="1"/>
  <c r="AF50" i="1" s="1"/>
  <c r="AA53" i="1"/>
  <c r="AF53" i="1" s="1"/>
  <c r="AA41" i="1"/>
  <c r="AF41" i="1" s="1"/>
  <c r="AA13" i="1"/>
  <c r="AF13" i="1" s="1"/>
  <c r="AQ13" i="1" s="1"/>
  <c r="AR13" i="1" s="1"/>
  <c r="AI52" i="1"/>
  <c r="AN52" i="1" s="1"/>
  <c r="AA47" i="1"/>
  <c r="AF47" i="1" s="1"/>
  <c r="AQ47" i="1" s="1"/>
  <c r="AR47" i="1" s="1"/>
  <c r="AA37" i="1"/>
  <c r="AF37" i="1" s="1"/>
  <c r="AQ37" i="1" s="1"/>
  <c r="AR37" i="1" s="1"/>
  <c r="AI50" i="1"/>
  <c r="AN50" i="1" s="1"/>
  <c r="AI53" i="1"/>
  <c r="AN53" i="1" s="1"/>
  <c r="AI46" i="1"/>
  <c r="AN46" i="1" s="1"/>
  <c r="AI13" i="1"/>
  <c r="AN13" i="1" s="1"/>
  <c r="AA52" i="1"/>
  <c r="AF52" i="1" s="1"/>
  <c r="AI4" i="1"/>
  <c r="AN4" i="1" s="1"/>
  <c r="AA17" i="1"/>
  <c r="AF17" i="1" s="1"/>
  <c r="AI17" i="1"/>
  <c r="AN17" i="1" s="1"/>
  <c r="AI16" i="1"/>
  <c r="AN16" i="1" s="1"/>
  <c r="AQ16" i="1" s="1"/>
  <c r="AA5" i="1"/>
  <c r="AF5" i="1" s="1"/>
  <c r="AA4" i="1"/>
  <c r="AF4" i="1" s="1"/>
  <c r="AQ41" i="1" l="1"/>
  <c r="AR41" i="1" s="1"/>
  <c r="AQ43" i="1"/>
  <c r="AR43" i="1" s="1"/>
  <c r="AQ49" i="1"/>
  <c r="AR49" i="1" s="1"/>
  <c r="AQ38" i="1"/>
  <c r="AR38" i="1" s="1"/>
  <c r="AQ15" i="1"/>
  <c r="AR15" i="1" s="1"/>
  <c r="AQ7" i="1"/>
  <c r="AR7" i="1" s="1"/>
  <c r="AQ36" i="1"/>
  <c r="AR36" i="1" s="1"/>
  <c r="AQ22" i="1"/>
  <c r="AR22" i="1" s="1"/>
  <c r="AQ35" i="1"/>
  <c r="AR35" i="1" s="1"/>
  <c r="AQ20" i="1"/>
  <c r="AR20" i="1" s="1"/>
  <c r="AQ5" i="1"/>
  <c r="AR5" i="1" s="1"/>
  <c r="AQ11" i="1"/>
  <c r="AR11" i="1" s="1"/>
  <c r="AQ14" i="1"/>
  <c r="AR14" i="1" s="1"/>
  <c r="AQ48" i="1"/>
  <c r="AR48" i="1" s="1"/>
  <c r="AQ52" i="1"/>
  <c r="AR52" i="1" s="1"/>
  <c r="AQ4" i="1"/>
  <c r="AR4" i="1" s="1"/>
  <c r="AQ9" i="1"/>
  <c r="AR9" i="1" s="1"/>
  <c r="AQ45" i="1"/>
  <c r="AR45" i="1" s="1"/>
  <c r="AQ10" i="1"/>
  <c r="AR10" i="1" s="1"/>
  <c r="AQ42" i="1"/>
  <c r="AR42" i="1" s="1"/>
  <c r="AQ51" i="1"/>
  <c r="AR51" i="1" s="1"/>
  <c r="AQ53" i="1"/>
  <c r="AR53" i="1" s="1"/>
  <c r="AQ19" i="1"/>
  <c r="AR19" i="1" s="1"/>
  <c r="AQ39" i="1"/>
  <c r="AR39" i="1" s="1"/>
  <c r="AQ50" i="1"/>
  <c r="AR50" i="1" s="1"/>
  <c r="AQ21" i="1"/>
  <c r="AR21" i="1" s="1"/>
  <c r="AQ6" i="1"/>
  <c r="AR6" i="1" s="1"/>
  <c r="AQ46" i="1"/>
  <c r="AR46" i="1" s="1"/>
  <c r="AQ17" i="1"/>
  <c r="AR17" i="1" s="1"/>
  <c r="AR16" i="1"/>
  <c r="AS53" i="1" l="1"/>
  <c r="AS35" i="1"/>
  <c r="AS50" i="1"/>
  <c r="AS46" i="1"/>
  <c r="AS51" i="1"/>
  <c r="AS45" i="1"/>
  <c r="AS47" i="1"/>
  <c r="AS20" i="1"/>
  <c r="AS44" i="1"/>
  <c r="AU35" i="1" a="1"/>
  <c r="AU35" i="1" s="1"/>
  <c r="AS37" i="1"/>
  <c r="AS43" i="1"/>
  <c r="AS49" i="1"/>
  <c r="AS38" i="1"/>
  <c r="AS42" i="1"/>
  <c r="AS36" i="1"/>
  <c r="AS40" i="1"/>
  <c r="AS41" i="1"/>
  <c r="AS48" i="1"/>
  <c r="AS52" i="1"/>
  <c r="AS39" i="1"/>
  <c r="AS17" i="1"/>
  <c r="AS11" i="1"/>
  <c r="AS21" i="1"/>
  <c r="AS13" i="1"/>
  <c r="AS22" i="1"/>
  <c r="AS5" i="1"/>
  <c r="AS6" i="1"/>
  <c r="AS4" i="1"/>
  <c r="AU4" i="1" a="1"/>
  <c r="AS14" i="1"/>
  <c r="AS10" i="1"/>
  <c r="AS8" i="1"/>
  <c r="AS15" i="1"/>
  <c r="AS19" i="1"/>
  <c r="AS16" i="1"/>
  <c r="AS9" i="1"/>
  <c r="AS18" i="1"/>
  <c r="AS12" i="1"/>
  <c r="AS7" i="1"/>
  <c r="AU20" i="1" l="1"/>
  <c r="AV22" i="1"/>
  <c r="AW8" i="1"/>
  <c r="AV7" i="1"/>
  <c r="AU9" i="1"/>
  <c r="AW6" i="1"/>
  <c r="AW9" i="1"/>
  <c r="AW12" i="1"/>
  <c r="AU21" i="1"/>
  <c r="AU10" i="1"/>
  <c r="AW10" i="1"/>
  <c r="AW4" i="1"/>
  <c r="AU6" i="1"/>
  <c r="AW13" i="1"/>
  <c r="AV5" i="1"/>
  <c r="AU4" i="1"/>
  <c r="AV6" i="1"/>
  <c r="AW22" i="1"/>
  <c r="AW16" i="1"/>
  <c r="AW18" i="1"/>
  <c r="AV19" i="1"/>
  <c r="AV11" i="1"/>
  <c r="AV15" i="1"/>
  <c r="AV20" i="1"/>
  <c r="AU16" i="1"/>
  <c r="AV16" i="1"/>
  <c r="AV21" i="1"/>
  <c r="AV17" i="1"/>
  <c r="AU22" i="1"/>
  <c r="AU13" i="1"/>
  <c r="AU11" i="1"/>
  <c r="AV9" i="1"/>
  <c r="AW7" i="1"/>
  <c r="AW19" i="1"/>
  <c r="AU17" i="1"/>
  <c r="AV10" i="1"/>
  <c r="AV12" i="1"/>
  <c r="AU15" i="1"/>
  <c r="AU19" i="1"/>
  <c r="AW21" i="1"/>
  <c r="AV14" i="1"/>
  <c r="AV4" i="1"/>
  <c r="AW20" i="1"/>
  <c r="AU5" i="1"/>
  <c r="AW11" i="1"/>
  <c r="AU14" i="1"/>
  <c r="AV8" i="1"/>
  <c r="AU8" i="1"/>
  <c r="AW5" i="1"/>
  <c r="AV13" i="1"/>
  <c r="AW14" i="1"/>
  <c r="AW17" i="1"/>
  <c r="AV18" i="1"/>
  <c r="AU12" i="1"/>
  <c r="AW15" i="1"/>
  <c r="AU7" i="1"/>
  <c r="AU18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<sst xmlns="http://schemas.openxmlformats.org/spreadsheetml/2006/main" count="613" uniqueCount="157">
  <si>
    <t>Product</t>
    <phoneticPr fontId="3" type="noConversion"/>
  </si>
  <si>
    <t>Ethylene glycol</t>
    <phoneticPr fontId="3" type="noConversion"/>
  </si>
  <si>
    <t>Caprolactam</t>
  </si>
  <si>
    <t>Limonene</t>
    <phoneticPr fontId="3" type="noConversion"/>
  </si>
  <si>
    <t>Bio-aviation gasoline</t>
    <phoneticPr fontId="3" type="noConversion"/>
  </si>
  <si>
    <t>Biodiesel</t>
  </si>
  <si>
    <t>N-Methyl-2-pyrrolidone</t>
    <phoneticPr fontId="3" type="noConversion"/>
  </si>
  <si>
    <t>Propionic acid</t>
  </si>
  <si>
    <t>Methacrylic acid</t>
    <phoneticPr fontId="3" type="noConversion"/>
  </si>
  <si>
    <t>Ethylamine</t>
  </si>
  <si>
    <t>Valerolactam</t>
    <phoneticPr fontId="3" type="noConversion"/>
  </si>
  <si>
    <t>2-Pyrone-4,6-dicarboxylic acid</t>
    <phoneticPr fontId="3" type="noConversion"/>
  </si>
  <si>
    <t>Malic acid</t>
  </si>
  <si>
    <t xml:space="preserve">Succinic acid </t>
  </si>
  <si>
    <t xml:space="preserve">Polyhydroxyalkanoate </t>
    <phoneticPr fontId="3" type="noConversion"/>
  </si>
  <si>
    <t>2-Pyrrolidone</t>
    <phoneticPr fontId="3" type="noConversion"/>
  </si>
  <si>
    <r>
      <rPr>
        <sz val="11"/>
        <color theme="1"/>
        <rFont val="Calibri"/>
        <family val="3"/>
        <charset val="161"/>
      </rPr>
      <t>β</t>
    </r>
    <r>
      <rPr>
        <sz val="11"/>
        <color theme="1"/>
        <rFont val="맑은 고딕"/>
        <family val="2"/>
        <charset val="129"/>
        <scheme val="minor"/>
      </rPr>
      <t>-alanine</t>
    </r>
    <phoneticPr fontId="3" type="noConversion"/>
  </si>
  <si>
    <t>Putrescine</t>
    <phoneticPr fontId="3" type="noConversion"/>
  </si>
  <si>
    <t>L-Citrulline</t>
  </si>
  <si>
    <t>Violacein</t>
  </si>
  <si>
    <t>TRL</t>
    <phoneticPr fontId="3" type="noConversion"/>
  </si>
  <si>
    <t>CAGR</t>
    <phoneticPr fontId="3" type="noConversion"/>
  </si>
  <si>
    <t>Market size forecast in 2027
(US $million)</t>
    <phoneticPr fontId="3" type="noConversion"/>
  </si>
  <si>
    <t>Carbon dioxide</t>
    <phoneticPr fontId="3" type="noConversion"/>
  </si>
  <si>
    <t>Glucose</t>
    <phoneticPr fontId="3" type="noConversion"/>
  </si>
  <si>
    <t>Xylose</t>
    <phoneticPr fontId="3" type="noConversion"/>
  </si>
  <si>
    <t>Glycerol</t>
    <phoneticPr fontId="3" type="noConversion"/>
  </si>
  <si>
    <t>Case 1</t>
    <phoneticPr fontId="3" type="noConversion"/>
  </si>
  <si>
    <t>Case 2</t>
    <phoneticPr fontId="3" type="noConversion"/>
  </si>
  <si>
    <t>S+</t>
    <phoneticPr fontId="3" type="noConversion"/>
  </si>
  <si>
    <t>S-</t>
    <phoneticPr fontId="3" type="noConversion"/>
  </si>
  <si>
    <t>Index</t>
    <phoneticPr fontId="3" type="noConversion"/>
  </si>
  <si>
    <t>C1</t>
    <phoneticPr fontId="3" type="noConversion"/>
  </si>
  <si>
    <t>C2</t>
    <phoneticPr fontId="3" type="noConversion"/>
  </si>
  <si>
    <t>C3</t>
    <phoneticPr fontId="3" type="noConversion"/>
  </si>
  <si>
    <t>C4</t>
    <phoneticPr fontId="3" type="noConversion"/>
  </si>
  <si>
    <t>C5</t>
    <phoneticPr fontId="3" type="noConversion"/>
  </si>
  <si>
    <t>S++S-</t>
    <phoneticPr fontId="3" type="noConversion"/>
  </si>
  <si>
    <t>Rank</t>
    <phoneticPr fontId="3" type="noConversion"/>
  </si>
  <si>
    <t>A1</t>
    <phoneticPr fontId="3" type="noConversion"/>
  </si>
  <si>
    <t>A2</t>
    <phoneticPr fontId="3" type="noConversion"/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</si>
  <si>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</si>
  <si>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</si>
  <si>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</si>
  <si>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</si>
  <si>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</si>
  <si>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</si>
  <si>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</si>
  <si>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</si>
  <si>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</si>
  <si>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</si>
  <si>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</si>
  <si>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</si>
  <si>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</si>
  <si>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</si>
  <si>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</si>
  <si>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</si>
  <si>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</si>
  <si>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V+</t>
    <phoneticPr fontId="3" type="noConversion"/>
  </si>
  <si>
    <t>Max</t>
    <phoneticPr fontId="3" type="noConversion"/>
  </si>
  <si>
    <t>V-</t>
    <phoneticPr fontId="3" type="noConversion"/>
  </si>
  <si>
    <t>Min</t>
    <phoneticPr fontId="3" type="noConversion"/>
  </si>
  <si>
    <t>Max-Min</t>
    <phoneticPr fontId="3" type="noConversion"/>
  </si>
  <si>
    <t>weighting factor</t>
    <phoneticPr fontId="3" type="noConversion"/>
  </si>
  <si>
    <t>C5</t>
  </si>
  <si>
    <t>Domestic facility substitutability</t>
    <phoneticPr fontId="3" type="noConversion"/>
  </si>
  <si>
    <t>C1</t>
  </si>
  <si>
    <t>C2</t>
  </si>
  <si>
    <t>C3</t>
  </si>
  <si>
    <t>C4</t>
  </si>
  <si>
    <t>Weighting calculation</t>
    <phoneticPr fontId="3" type="noConversion"/>
  </si>
  <si>
    <t>Weighting</t>
  </si>
  <si>
    <t>Weighting</t>
    <phoneticPr fontId="3" type="noConversion"/>
  </si>
  <si>
    <t>Example: environmentally biased preference</t>
    <phoneticPr fontId="3" type="noConversion"/>
  </si>
  <si>
    <t>Sum</t>
    <phoneticPr fontId="3" type="noConversion"/>
  </si>
  <si>
    <t>Global market size for 2027</t>
    <phoneticPr fontId="3" type="noConversion"/>
  </si>
  <si>
    <t>Minimum raw material cost</t>
    <phoneticPr fontId="3" type="noConversion"/>
  </si>
  <si>
    <t>Minimum GHG emissions</t>
    <phoneticPr fontId="3" type="noConversion"/>
  </si>
  <si>
    <t>2. Normalized decision matrix</t>
    <phoneticPr fontId="3" type="noConversion"/>
  </si>
  <si>
    <t>1. Decision matrix</t>
    <phoneticPr fontId="3" type="noConversion"/>
  </si>
  <si>
    <t>The distance of every feasible solution from the ideal solution</t>
    <phoneticPr fontId="3" type="noConversion"/>
  </si>
  <si>
    <t>The distance of every feasible solution from the negative ideal solution</t>
    <phoneticPr fontId="3" type="noConversion"/>
  </si>
  <si>
    <t>Ci</t>
    <phoneticPr fontId="3" type="noConversion"/>
  </si>
  <si>
    <t>The relative closeness to the ideal solution</t>
    <phoneticPr fontId="3" type="noConversion"/>
  </si>
  <si>
    <t>3. Weighted normalized matrix</t>
    <phoneticPr fontId="3" type="noConversion"/>
  </si>
  <si>
    <t>The positive ideal solution (PIS)</t>
    <phoneticPr fontId="3" type="noConversion"/>
  </si>
  <si>
    <t>The negative ideal solution (NIS)</t>
    <phoneticPr fontId="3" type="noConversion"/>
  </si>
  <si>
    <t>4. Separation distance form PIS of each alternative</t>
    <phoneticPr fontId="3" type="noConversion"/>
  </si>
  <si>
    <t>5. Separation distance form NIS of each alternative</t>
    <phoneticPr fontId="3" type="noConversion"/>
  </si>
  <si>
    <t>6. Relative closeness to the ideal solution</t>
    <phoneticPr fontId="3" type="noConversion"/>
  </si>
  <si>
    <t>Ammonium sulfate</t>
    <phoneticPr fontId="3" type="noConversion"/>
  </si>
  <si>
    <t>Carbon source</t>
    <phoneticPr fontId="3" type="noConversion"/>
  </si>
  <si>
    <t>Intensity of importance on an absolute scale</t>
    <phoneticPr fontId="3" type="noConversion"/>
  </si>
  <si>
    <t>Definition</t>
    <phoneticPr fontId="3" type="noConversion"/>
  </si>
  <si>
    <t>Equal importance</t>
    <phoneticPr fontId="3" type="noConversion"/>
  </si>
  <si>
    <t>Moderate importance of one over another</t>
    <phoneticPr fontId="3" type="noConversion"/>
  </si>
  <si>
    <t>Essential or strong importance</t>
    <phoneticPr fontId="3" type="noConversion"/>
  </si>
  <si>
    <t>Very strong importance</t>
    <phoneticPr fontId="3" type="noConversion"/>
  </si>
  <si>
    <t>Extreme importance</t>
    <phoneticPr fontId="3" type="noConversion"/>
  </si>
  <si>
    <t>Two activities contribute equally to the objective</t>
    <phoneticPr fontId="3" type="noConversion"/>
  </si>
  <si>
    <t>Experience and judgment strongly favor one activity over another</t>
    <phoneticPr fontId="3" type="noConversion"/>
  </si>
  <si>
    <t>An activity is strongly favored and its dominance demonstrated in practice</t>
    <phoneticPr fontId="3" type="noConversion"/>
  </si>
  <si>
    <t>The evidence favoring one activity over another is of the highest possible order of affirmation</t>
    <phoneticPr fontId="3" type="noConversion"/>
  </si>
  <si>
    <t>2,4,6,8</t>
    <phoneticPr fontId="3" type="noConversion"/>
  </si>
  <si>
    <t>Intermediate values between the two adjacent judgement</t>
    <phoneticPr fontId="3" type="noConversion"/>
  </si>
  <si>
    <t>1. Pairwise comparison for preference</t>
    <phoneticPr fontId="3" type="noConversion"/>
  </si>
  <si>
    <t>**The value 6 is automatically entered in the transpose position (2,1) for (C2, C1).</t>
    <phoneticPr fontId="3" type="noConversion"/>
  </si>
  <si>
    <t>2. Calculation of the relative weighting</t>
    <phoneticPr fontId="3" type="noConversion"/>
  </si>
  <si>
    <t xml:space="preserve">3. Check the consistency ratio </t>
    <phoneticPr fontId="3" type="noConversion"/>
  </si>
  <si>
    <t>Consistency index</t>
    <phoneticPr fontId="3" type="noConversion"/>
  </si>
  <si>
    <t>Consistency ratio</t>
    <phoneticPr fontId="3" type="noConversion"/>
  </si>
  <si>
    <t>Random consistency index (for 5 criteria)</t>
    <phoneticPr fontId="3" type="noConversion"/>
  </si>
  <si>
    <t>Matrix multiplication</t>
    <phoneticPr fontId="3" type="noConversion"/>
  </si>
  <si>
    <t>2022-2030</t>
    <phoneticPr fontId="3" type="noConversion"/>
  </si>
  <si>
    <t>2023-2030</t>
    <phoneticPr fontId="3" type="noConversion"/>
  </si>
  <si>
    <t>2022-2028</t>
    <phoneticPr fontId="3" type="noConversion"/>
  </si>
  <si>
    <t>2022-2029</t>
    <phoneticPr fontId="3" type="noConversion"/>
  </si>
  <si>
    <t>2022-2032</t>
    <phoneticPr fontId="3" type="noConversion"/>
  </si>
  <si>
    <t>2023-2033</t>
    <phoneticPr fontId="3" type="noConversion"/>
  </si>
  <si>
    <t>2022-2027</t>
    <phoneticPr fontId="3" type="noConversion"/>
  </si>
  <si>
    <t>2023-2032</t>
    <phoneticPr fontId="3" type="noConversion"/>
  </si>
  <si>
    <t>2023-2028</t>
    <phoneticPr fontId="3" type="noConversion"/>
  </si>
  <si>
    <t>2022- 2029</t>
    <phoneticPr fontId="3" type="noConversion"/>
  </si>
  <si>
    <t>2020- 2027</t>
    <phoneticPr fontId="3" type="noConversion"/>
  </si>
  <si>
    <t>Note 
(current year-end year)</t>
    <phoneticPr fontId="3" type="noConversion"/>
  </si>
  <si>
    <t>Current market size
(US $million)</t>
    <phoneticPr fontId="3" type="noConversion"/>
  </si>
  <si>
    <t>Score</t>
    <phoneticPr fontId="3" type="noConversion"/>
  </si>
  <si>
    <t>N-Methyl-2-pyrrolidone (NMP)</t>
    <phoneticPr fontId="3" type="noConversion"/>
  </si>
  <si>
    <t>2-Pyrone-4,6-dicarboxylic acid (PDC)</t>
    <phoneticPr fontId="3" type="noConversion"/>
  </si>
  <si>
    <t>Polyhydroxyalkanoate (PHA)</t>
    <phoneticPr fontId="3" type="noConversion"/>
  </si>
  <si>
    <t>PDC</t>
    <phoneticPr fontId="3" type="noConversion"/>
  </si>
  <si>
    <t>NMP</t>
    <phoneticPr fontId="3" type="noConversion"/>
  </si>
  <si>
    <t>PHA</t>
    <phoneticPr fontId="3" type="noConversion"/>
  </si>
  <si>
    <t>The fundamental scale for importance</t>
    <phoneticPr fontId="3" type="noConversion"/>
  </si>
  <si>
    <t>Pairwise comparison for importance</t>
    <phoneticPr fontId="3" type="noConversion"/>
  </si>
  <si>
    <t>β-alanine</t>
    <phoneticPr fontId="3" type="noConversion"/>
  </si>
  <si>
    <t>Consistent (&lt;0.1)</t>
    <phoneticPr fontId="3" type="noConversion"/>
  </si>
  <si>
    <r>
      <t>Inconsistent (</t>
    </r>
    <r>
      <rPr>
        <sz val="11"/>
        <color rgb="FF9C0006"/>
        <rFont val="맑은 고딕"/>
        <family val="3"/>
        <charset val="129"/>
      </rPr>
      <t>≤0.1)</t>
    </r>
    <phoneticPr fontId="3" type="noConversion"/>
  </si>
  <si>
    <t xml:space="preserve">*If C2 is actually preferred strongly (6 times) over C1, the reciprocal value 1/6 is entered in the (1,2) position. </t>
    <phoneticPr fontId="3" type="noConversion"/>
  </si>
  <si>
    <t>Decision matrix of Case 1; conventional pathway of glucose production</t>
    <phoneticPr fontId="3" type="noConversion"/>
  </si>
  <si>
    <t>Decision matrix of Case 2; alternative pathway of glucose produciton</t>
    <phoneticPr fontId="3" type="noConversion"/>
  </si>
  <si>
    <t>Global market size for 2027**</t>
    <phoneticPr fontId="3" type="noConversion"/>
  </si>
  <si>
    <t>Global market size for 2027*</t>
    <phoneticPr fontId="3" type="noConversion"/>
  </si>
  <si>
    <t>Vector</t>
    <phoneticPr fontId="3" type="noConversion"/>
  </si>
  <si>
    <t>Yes</t>
    <phoneticPr fontId="3" type="noConversion"/>
  </si>
  <si>
    <t>No</t>
    <phoneticPr fontId="3" type="noConversion"/>
  </si>
  <si>
    <t>Is it produced domestically?</t>
  </si>
  <si>
    <r>
      <t>Consistency ratio of each criterion(λ</t>
    </r>
    <r>
      <rPr>
        <sz val="7.7"/>
        <color theme="1"/>
        <rFont val="Arial"/>
        <family val="2"/>
      </rPr>
      <t>)</t>
    </r>
    <phoneticPr fontId="3" type="noConversion"/>
  </si>
  <si>
    <r>
      <t>λ</t>
    </r>
    <r>
      <rPr>
        <sz val="7.7"/>
        <color theme="1"/>
        <rFont val="Arial"/>
        <family val="2"/>
      </rPr>
      <t>max</t>
    </r>
    <phoneticPr fontId="3" type="noConversion"/>
  </si>
  <si>
    <t>Criteria</t>
    <phoneticPr fontId="3" type="noConversion"/>
  </si>
  <si>
    <t>Global market size</t>
    <phoneticPr fontId="3" type="noConversion"/>
  </si>
  <si>
    <t>Price ($/kg)</t>
    <phoneticPr fontId="3" type="noConversion"/>
  </si>
  <si>
    <t>Raw material consumption (kg/kg-product)</t>
    <phoneticPr fontId="3" type="noConversion"/>
  </si>
  <si>
    <t>Minimum GHG emissions ((kg-CO2eq/kg-product)</t>
    <phoneticPr fontId="3" type="noConversion"/>
  </si>
  <si>
    <t>Minimum raw material costs ($/kg-product)</t>
    <phoneticPr fontId="3" type="noConversion"/>
  </si>
  <si>
    <t>Price of raw material ($/kg)</t>
    <phoneticPr fontId="3" type="noConversion"/>
  </si>
  <si>
    <t>Description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</si>
</sst>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8">
    <numFmt numFmtId="41" formatCode="_-* #,##0_-;\-* #,##0_-;_-* &quot;-&quot;_-;_-@_-"/>
    <numFmt numFmtId="176" formatCode="0.000"/>
    <numFmt numFmtId="177" formatCode="0.00000"/>
    <numFmt numFmtId="178" formatCode="0.0"/>
    <numFmt numFmtId="179" formatCode="_-[$$-409]* #,##0.00_ ;_-[$$-409]* \-#,##0.00\ ;_-[$$-409]* &quot;-&quot;??_ ;_-@_ "/>
    <numFmt numFmtId="180" formatCode="0.00_);[Red]\(0.00\)"/>
    <numFmt numFmtId="181" formatCode="0.00_ "/>
    <numFmt numFmtId="182" formatCode="0_);[Red]\(0\)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61"/>
      <scheme val="minor"/>
    </font>
    <font>
      <sz val="11"/>
      <color theme="1"/>
      <name val="Calibri"/>
      <family val="3"/>
      <charset val="161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b/>
      <sz val="11"/>
      <name val="Arial"/>
      <family val="2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9C0006"/>
      <name val="맑은 고딕"/>
      <family val="3"/>
      <charset val="129"/>
    </font>
    <font>
      <sz val="11"/>
      <name val="Arial"/>
      <family val="2"/>
    </font>
    <font>
      <sz val="11"/>
      <color theme="1" tint="0.499984740745262"/>
      <name val="Arial"/>
      <family val="2"/>
    </font>
    <font>
      <b/>
      <sz val="14"/>
      <color theme="1"/>
      <name val="Arial"/>
      <family val="2"/>
    </font>
    <font>
      <sz val="7.7"/>
      <color theme="1"/>
      <name val="Arial"/>
      <family val="2"/>
    </font>
    <font>
      <sz val="12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BFBA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</borders>
  <cellStyleXfs count="6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</cellStyleXfs>
  <cellXfs count="11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4" fillId="0" borderId="0" xfId="0" applyFont="1">
      <alignment vertical="center"/>
    </xf>
    <xf numFmtId="176" fontId="0" fillId="0" borderId="0" xfId="0" applyNumberFormat="1">
      <alignment vertical="center"/>
    </xf>
    <xf numFmtId="2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left"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180" fontId="0" fillId="0" borderId="0" xfId="0" applyNumberFormat="1" applyAlignment="1">
      <alignment vertical="center" wrapText="1"/>
    </xf>
    <xf numFmtId="0" fontId="6" fillId="0" borderId="0" xfId="0" applyFont="1">
      <alignment vertical="center"/>
    </xf>
    <xf numFmtId="176" fontId="6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0" fontId="6" fillId="0" borderId="0" xfId="0" applyFont="1" applyAlignment="1">
      <alignment horizontal="center" vertical="center"/>
    </xf>
    <xf numFmtId="182" fontId="0" fillId="0" borderId="0" xfId="0" applyNumberFormat="1">
      <alignment vertical="center"/>
    </xf>
    <xf numFmtId="0" fontId="0" fillId="0" borderId="0" xfId="0" applyProtection="1">
      <alignment vertical="center"/>
      <protection locked="0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vertical="center" wrapText="1"/>
    </xf>
    <xf numFmtId="2" fontId="11" fillId="0" borderId="1" xfId="0" applyNumberFormat="1" applyFont="1" applyBorder="1">
      <alignment vertical="center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9" fontId="12" fillId="0" borderId="1" xfId="2" applyFont="1" applyBorder="1" applyProtection="1">
      <alignment vertical="center"/>
    </xf>
    <xf numFmtId="0" fontId="11" fillId="0" borderId="1" xfId="0" applyFont="1" applyBorder="1" applyAlignment="1">
      <alignment horizontal="left" vertical="center"/>
    </xf>
    <xf numFmtId="0" fontId="8" fillId="3" borderId="1" xfId="4" applyBorder="1" applyProtection="1">
      <alignment vertical="center"/>
      <protection locked="0"/>
    </xf>
    <xf numFmtId="0" fontId="9" fillId="4" borderId="1" xfId="5" applyBorder="1" applyProtection="1">
      <alignment vertical="center"/>
      <protection locked="0"/>
    </xf>
    <xf numFmtId="0" fontId="11" fillId="5" borderId="1" xfId="0" applyFont="1" applyFill="1" applyBorder="1" applyProtection="1">
      <alignment vertical="center"/>
      <protection locked="0"/>
    </xf>
    <xf numFmtId="178" fontId="11" fillId="5" borderId="1" xfId="0" applyNumberFormat="1" applyFont="1" applyFill="1" applyBorder="1" applyProtection="1">
      <alignment vertical="center"/>
      <protection locked="0"/>
    </xf>
    <xf numFmtId="1" fontId="11" fillId="5" borderId="1" xfId="0" applyNumberFormat="1" applyFont="1" applyFill="1" applyBorder="1" applyProtection="1">
      <alignment vertical="center"/>
      <protection locked="0"/>
    </xf>
    <xf numFmtId="0" fontId="0" fillId="6" borderId="0" xfId="0" applyFill="1" applyProtection="1">
      <alignment vertical="center"/>
      <protection locked="0"/>
    </xf>
    <xf numFmtId="0" fontId="11" fillId="6" borderId="0" xfId="0" applyFont="1" applyFill="1" applyProtection="1">
      <alignment vertical="center"/>
      <protection locked="0"/>
    </xf>
    <xf numFmtId="0" fontId="0" fillId="6" borderId="0" xfId="0" applyFill="1">
      <alignment vertical="center"/>
    </xf>
    <xf numFmtId="0" fontId="0" fillId="6" borderId="0" xfId="0" applyFill="1" applyAlignment="1" applyProtection="1">
      <alignment vertical="center" wrapText="1"/>
      <protection locked="0"/>
    </xf>
    <xf numFmtId="179" fontId="11" fillId="6" borderId="0" xfId="0" applyNumberFormat="1" applyFont="1" applyFill="1" applyAlignment="1" applyProtection="1">
      <alignment horizontal="center" vertical="center"/>
      <protection locked="0"/>
    </xf>
    <xf numFmtId="0" fontId="0" fillId="8" borderId="0" xfId="0" applyFill="1">
      <alignment vertical="center"/>
    </xf>
    <xf numFmtId="0" fontId="0" fillId="8" borderId="0" xfId="0" applyFill="1" applyProtection="1">
      <alignment vertical="center"/>
      <protection locked="0"/>
    </xf>
    <xf numFmtId="0" fontId="0" fillId="9" borderId="0" xfId="0" applyFill="1">
      <alignment vertical="center"/>
    </xf>
    <xf numFmtId="0" fontId="11" fillId="8" borderId="0" xfId="0" applyFont="1" applyFill="1">
      <alignment vertical="center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4" fillId="0" borderId="5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1" fillId="0" borderId="2" xfId="0" applyFont="1" applyBorder="1">
      <alignment vertical="center"/>
    </xf>
    <xf numFmtId="2" fontId="15" fillId="0" borderId="2" xfId="0" applyNumberFormat="1" applyFont="1" applyBorder="1">
      <alignment vertical="center"/>
    </xf>
    <xf numFmtId="0" fontId="11" fillId="8" borderId="0" xfId="1" applyNumberFormat="1" applyFont="1" applyFill="1" applyAlignment="1">
      <alignment vertical="center"/>
    </xf>
    <xf numFmtId="0" fontId="11" fillId="8" borderId="0" xfId="0" applyFont="1" applyFill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1" fillId="0" borderId="23" xfId="0" applyFont="1" applyBorder="1" applyAlignment="1">
      <alignment horizontal="center" vertical="center"/>
    </xf>
    <xf numFmtId="0" fontId="11" fillId="8" borderId="7" xfId="0" applyFont="1" applyFill="1" applyBorder="1">
      <alignment vertical="center"/>
    </xf>
    <xf numFmtId="179" fontId="11" fillId="8" borderId="7" xfId="0" applyNumberFormat="1" applyFont="1" applyFill="1" applyBorder="1" applyAlignment="1">
      <alignment horizontal="center" vertical="center"/>
    </xf>
    <xf numFmtId="0" fontId="11" fillId="8" borderId="8" xfId="0" applyFont="1" applyFill="1" applyBorder="1">
      <alignment vertical="center"/>
    </xf>
    <xf numFmtId="179" fontId="11" fillId="8" borderId="0" xfId="0" applyNumberFormat="1" applyFont="1" applyFill="1" applyAlignment="1">
      <alignment horizontal="center" vertical="center"/>
    </xf>
    <xf numFmtId="0" fontId="11" fillId="8" borderId="0" xfId="0" applyFont="1" applyFill="1" applyAlignment="1">
      <alignment vertical="center" wrapText="1"/>
    </xf>
    <xf numFmtId="0" fontId="11" fillId="8" borderId="10" xfId="0" applyFont="1" applyFill="1" applyBorder="1">
      <alignment vertical="center"/>
    </xf>
    <xf numFmtId="0" fontId="11" fillId="8" borderId="11" xfId="0" applyFont="1" applyFill="1" applyBorder="1">
      <alignment vertical="center"/>
    </xf>
    <xf numFmtId="178" fontId="11" fillId="8" borderId="0" xfId="0" applyNumberFormat="1" applyFont="1" applyFill="1">
      <alignment vertical="center"/>
    </xf>
    <xf numFmtId="0" fontId="11" fillId="8" borderId="12" xfId="0" applyFont="1" applyFill="1" applyBorder="1">
      <alignment vertical="center"/>
    </xf>
    <xf numFmtId="0" fontId="11" fillId="8" borderId="13" xfId="0" applyFont="1" applyFill="1" applyBorder="1">
      <alignment vertical="center"/>
    </xf>
    <xf numFmtId="0" fontId="11" fillId="8" borderId="14" xfId="0" applyFont="1" applyFill="1" applyBorder="1">
      <alignment vertical="center"/>
    </xf>
    <xf numFmtId="2" fontId="11" fillId="0" borderId="5" xfId="0" applyNumberFormat="1" applyFont="1" applyBorder="1" applyProtection="1">
      <alignment vertical="center"/>
      <protection locked="0"/>
    </xf>
    <xf numFmtId="2" fontId="11" fillId="0" borderId="2" xfId="0" applyNumberFormat="1" applyFont="1" applyBorder="1" applyProtection="1">
      <alignment vertical="center"/>
      <protection locked="0"/>
    </xf>
    <xf numFmtId="2" fontId="11" fillId="0" borderId="24" xfId="0" applyNumberFormat="1" applyFont="1" applyBorder="1" applyProtection="1">
      <alignment vertical="center"/>
      <protection locked="0"/>
    </xf>
    <xf numFmtId="2" fontId="11" fillId="0" borderId="25" xfId="0" applyNumberFormat="1" applyFont="1" applyBorder="1" applyProtection="1">
      <alignment vertical="center"/>
      <protection locked="0"/>
    </xf>
    <xf numFmtId="41" fontId="14" fillId="0" borderId="5" xfId="1" applyFont="1" applyBorder="1" applyProtection="1">
      <alignment vertical="center"/>
      <protection locked="0"/>
    </xf>
    <xf numFmtId="9" fontId="14" fillId="0" borderId="1" xfId="2" applyFont="1" applyBorder="1" applyProtection="1">
      <alignment vertical="center"/>
      <protection locked="0"/>
    </xf>
    <xf numFmtId="41" fontId="14" fillId="0" borderId="1" xfId="1" applyFont="1" applyBorder="1" applyProtection="1">
      <alignment vertical="center"/>
      <protection locked="0"/>
    </xf>
    <xf numFmtId="0" fontId="11" fillId="0" borderId="4" xfId="1" applyNumberFormat="1" applyFont="1" applyBorder="1" applyAlignment="1" applyProtection="1">
      <alignment vertical="center"/>
      <protection locked="0"/>
    </xf>
    <xf numFmtId="2" fontId="11" fillId="5" borderId="1" xfId="0" applyNumberFormat="1" applyFont="1" applyFill="1" applyBorder="1" applyProtection="1">
      <alignment vertical="center"/>
      <protection locked="0"/>
    </xf>
    <xf numFmtId="0" fontId="11" fillId="0" borderId="1" xfId="0" applyFont="1" applyBorder="1" applyProtection="1">
      <alignment vertical="center"/>
      <protection locked="0"/>
    </xf>
    <xf numFmtId="178" fontId="11" fillId="0" borderId="1" xfId="0" applyNumberFormat="1" applyFont="1" applyBorder="1" applyProtection="1">
      <alignment vertical="center"/>
      <protection locked="0"/>
    </xf>
    <xf numFmtId="2" fontId="11" fillId="0" borderId="1" xfId="0" applyNumberFormat="1" applyFont="1" applyBorder="1" applyProtection="1">
      <alignment vertical="center"/>
      <protection locked="0"/>
    </xf>
    <xf numFmtId="178" fontId="11" fillId="0" borderId="6" xfId="0" applyNumberFormat="1" applyFont="1" applyBorder="1" applyProtection="1">
      <alignment vertical="center"/>
      <protection locked="0"/>
    </xf>
    <xf numFmtId="0" fontId="11" fillId="0" borderId="9" xfId="0" applyFont="1" applyBorder="1" applyAlignment="1">
      <alignment horizontal="center" vertical="center"/>
    </xf>
    <xf numFmtId="0" fontId="11" fillId="5" borderId="1" xfId="0" applyFont="1" applyFill="1" applyBorder="1" applyAlignment="1" applyProtection="1">
      <alignment horizontal="right" vertical="center"/>
      <protection locked="0"/>
    </xf>
    <xf numFmtId="0" fontId="11" fillId="5" borderId="1" xfId="0" applyFont="1" applyFill="1" applyBorder="1" applyAlignment="1">
      <alignment horizontal="right" vertical="center"/>
    </xf>
    <xf numFmtId="0" fontId="11" fillId="0" borderId="9" xfId="0" applyFont="1" applyBorder="1" applyAlignment="1">
      <alignment horizontal="left" vertical="center"/>
    </xf>
    <xf numFmtId="0" fontId="10" fillId="7" borderId="1" xfId="3" applyFont="1" applyFill="1" applyBorder="1" applyAlignment="1" applyProtection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>
      <alignment vertical="center"/>
    </xf>
    <xf numFmtId="0" fontId="11" fillId="0" borderId="1" xfId="0" applyFont="1" applyBorder="1" applyAlignment="1">
      <alignment horizontal="center" vertical="center" wrapText="1"/>
    </xf>
    <xf numFmtId="0" fontId="11" fillId="5" borderId="1" xfId="0" applyFont="1" applyFill="1" applyBorder="1" applyAlignment="1" applyProtection="1">
      <alignment horizontal="right" vertical="center"/>
      <protection locked="0"/>
    </xf>
    <xf numFmtId="0" fontId="11" fillId="0" borderId="1" xfId="0" applyFont="1" applyBorder="1" applyAlignment="1" applyProtection="1">
      <alignment horizontal="center" vertical="center"/>
      <protection locked="0"/>
    </xf>
    <xf numFmtId="0" fontId="11" fillId="5" borderId="6" xfId="0" applyFont="1" applyFill="1" applyBorder="1" applyAlignment="1" applyProtection="1">
      <alignment horizontal="right" vertical="center"/>
      <protection locked="0"/>
    </xf>
    <xf numFmtId="0" fontId="11" fillId="5" borderId="3" xfId="0" applyFont="1" applyFill="1" applyBorder="1" applyAlignment="1" applyProtection="1">
      <alignment horizontal="right" vertical="center"/>
      <protection locked="0"/>
    </xf>
    <xf numFmtId="2" fontId="18" fillId="0" borderId="1" xfId="0" applyNumberFormat="1" applyFont="1" applyBorder="1" applyAlignment="1">
      <alignment horizontal="center" vertical="center"/>
    </xf>
    <xf numFmtId="0" fontId="7" fillId="2" borderId="0" xfId="3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11" fillId="0" borderId="5" xfId="0" applyFont="1" applyBorder="1" applyAlignment="1">
      <alignment horizontal="center" vertical="center" wrapText="1"/>
    </xf>
    <xf numFmtId="0" fontId="11" fillId="5" borderId="1" xfId="0" applyFont="1" applyFill="1" applyBorder="1" applyAlignment="1">
      <alignment horizontal="right" vertical="center"/>
    </xf>
    <xf numFmtId="0" fontId="11" fillId="0" borderId="3" xfId="0" applyFont="1" applyBorder="1" applyAlignment="1" applyProtection="1">
      <alignment horizontal="right" vertical="center"/>
      <protection locked="0"/>
    </xf>
    <xf numFmtId="0" fontId="11" fillId="0" borderId="1" xfId="0" applyFont="1" applyBorder="1" applyAlignment="1" applyProtection="1">
      <alignment horizontal="right" vertical="center"/>
      <protection locked="0"/>
    </xf>
    <xf numFmtId="0" fontId="11" fillId="0" borderId="5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 wrapText="1" shrinkToFit="1"/>
    </xf>
    <xf numFmtId="0" fontId="11" fillId="0" borderId="1" xfId="0" applyFont="1" applyBorder="1" applyAlignment="1">
      <alignment horizontal="center" vertical="center" wrapText="1" shrinkToFit="1"/>
    </xf>
    <xf numFmtId="41" fontId="11" fillId="0" borderId="4" xfId="1" applyFont="1" applyBorder="1" applyAlignment="1">
      <alignment horizontal="center" vertical="center"/>
    </xf>
    <xf numFmtId="2" fontId="11" fillId="0" borderId="2" xfId="0" applyNumberFormat="1" applyFont="1" applyBorder="1" applyAlignment="1">
      <alignment horizontal="left" vertical="center"/>
    </xf>
    <xf numFmtId="0" fontId="11" fillId="0" borderId="20" xfId="0" applyFont="1" applyBorder="1" applyAlignment="1" applyProtection="1">
      <alignment horizontal="right" vertical="center"/>
      <protection locked="0"/>
    </xf>
    <xf numFmtId="0" fontId="11" fillId="0" borderId="15" xfId="0" applyFont="1" applyBorder="1" applyAlignment="1" applyProtection="1">
      <alignment horizontal="right" vertical="center"/>
      <protection locked="0"/>
    </xf>
    <xf numFmtId="0" fontId="16" fillId="0" borderId="17" xfId="0" applyFont="1" applyBorder="1" applyAlignment="1">
      <alignment horizontal="center" vertical="center"/>
    </xf>
    <xf numFmtId="0" fontId="16" fillId="0" borderId="19" xfId="0" applyFont="1" applyBorder="1" applyAlignment="1">
      <alignment horizontal="center" vertical="center"/>
    </xf>
    <xf numFmtId="0" fontId="11" fillId="0" borderId="18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11" fillId="0" borderId="26" xfId="0" applyFont="1" applyBorder="1" applyAlignment="1">
      <alignment horizontal="center" vertical="center" wrapText="1"/>
    </xf>
    <xf numFmtId="0" fontId="11" fillId="0" borderId="27" xfId="0" applyFont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right" vertical="center"/>
    </xf>
    <xf numFmtId="0" fontId="11" fillId="5" borderId="3" xfId="0" applyFont="1" applyFill="1" applyBorder="1" applyAlignment="1">
      <alignment horizontal="right" vertical="center"/>
    </xf>
  </cellXfs>
  <cellStyles count="6">
    <cellStyle name="나쁨" xfId="5" builtinId="27"/>
    <cellStyle name="백분율" xfId="2" builtinId="5"/>
    <cellStyle name="보통" xfId="3" builtinId="28"/>
    <cellStyle name="쉼표 [0]" xfId="1" builtinId="6"/>
    <cellStyle name="좋음" xfId="4" builtinId="26"/>
    <cellStyle name="표준" xfId="0" builtinId="0"/>
  </cellStyles>
  <dxfs count="18"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colors>
    <mruColors>
      <color rgb="FFED992A"/>
      <color rgb="FFFBFBA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920"/>
              <a:t>Case 1</a:t>
            </a:r>
            <a:endParaRPr lang="ko-KR" sz="192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chemeClr val="tx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42524719229162705"/>
          <c:y val="6.515839324432271E-2"/>
          <c:w val="0.50438630755993918"/>
          <c:h val="0.92028985507246375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chemeClr val="accent1">
                <a:lumMod val="5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tx1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Score calculation'!$AU$4:$AU$22</c:f>
              <c:strCache>
                <c:ptCount val="19"/>
                <c:pt idx="0">
                  <c:v>PDC</c:v>
                </c:pt>
                <c:pt idx="1">
                  <c:v>Ethylene glycol</c:v>
                </c:pt>
                <c:pt idx="2">
                  <c:v>Malic acid</c:v>
                </c:pt>
                <c:pt idx="3">
                  <c:v>Succinic acid </c:v>
                </c:pt>
                <c:pt idx="4">
                  <c:v>PHA</c:v>
                </c:pt>
                <c:pt idx="5">
                  <c:v>Propionic acid</c:v>
                </c:pt>
                <c:pt idx="6">
                  <c:v>Methacrylic acid</c:v>
                </c:pt>
                <c:pt idx="7">
                  <c:v>β-alanine</c:v>
                </c:pt>
                <c:pt idx="8">
                  <c:v>Caprolactam</c:v>
                </c:pt>
                <c:pt idx="9">
                  <c:v>L-Citrulline</c:v>
                </c:pt>
                <c:pt idx="10">
                  <c:v>NMP</c:v>
                </c:pt>
                <c:pt idx="11">
                  <c:v>2-Pyrrolidone</c:v>
                </c:pt>
                <c:pt idx="12">
                  <c:v>Biodiesel</c:v>
                </c:pt>
                <c:pt idx="13">
                  <c:v>Valerolactam</c:v>
                </c:pt>
                <c:pt idx="14">
                  <c:v>Limonene</c:v>
                </c:pt>
                <c:pt idx="15">
                  <c:v>Violacein</c:v>
                </c:pt>
                <c:pt idx="16">
                  <c:v>Ethylamine</c:v>
                </c:pt>
                <c:pt idx="17">
                  <c:v>Putrescine</c:v>
                </c:pt>
                <c:pt idx="18">
                  <c:v>Bio-aviation gasoline</c:v>
                </c:pt>
              </c:strCache>
            </c:strRef>
          </c:cat>
          <c:val>
            <c:numRef>
              <c:f>'2. Score calculation'!$AW$4:$AW$22</c:f>
              <c:numCache>
                <c:formatCode>0.00</c:formatCode>
                <c:ptCount val="19"/>
                <c:pt idx="0">
                  <c:v>0.82510990076151935</c:v>
                </c:pt>
                <c:pt idx="1">
                  <c:v>0.82434110464553123</c:v>
                </c:pt>
                <c:pt idx="2">
                  <c:v>0.81726258783342276</c:v>
                </c:pt>
                <c:pt idx="3">
                  <c:v>0.81396707956178516</c:v>
                </c:pt>
                <c:pt idx="4">
                  <c:v>0.69915769890717161</c:v>
                </c:pt>
                <c:pt idx="5">
                  <c:v>0.69024730661782807</c:v>
                </c:pt>
                <c:pt idx="6">
                  <c:v>0.67602459447555918</c:v>
                </c:pt>
                <c:pt idx="7">
                  <c:v>0.60890316606110562</c:v>
                </c:pt>
                <c:pt idx="8">
                  <c:v>0.54798895011243132</c:v>
                </c:pt>
                <c:pt idx="9">
                  <c:v>0.53945560672839865</c:v>
                </c:pt>
                <c:pt idx="10">
                  <c:v>0.49456909285092993</c:v>
                </c:pt>
                <c:pt idx="11">
                  <c:v>0.47054185845391611</c:v>
                </c:pt>
                <c:pt idx="12">
                  <c:v>0.29657108294333612</c:v>
                </c:pt>
                <c:pt idx="13">
                  <c:v>0.28715951770185272</c:v>
                </c:pt>
                <c:pt idx="14">
                  <c:v>0.27995909040238254</c:v>
                </c:pt>
                <c:pt idx="15">
                  <c:v>0.26942393781592316</c:v>
                </c:pt>
                <c:pt idx="16">
                  <c:v>0.18500936010515942</c:v>
                </c:pt>
                <c:pt idx="17">
                  <c:v>0.17187230899557748</c:v>
                </c:pt>
                <c:pt idx="18">
                  <c:v>0.14766615116472809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26F-4369-8BB1-69B7DFA45FA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72"/>
        <c:axId val="488346319"/>
        <c:axId val="488345359"/>
      </c:barChart>
      <c:catAx>
        <c:axId val="488346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488345359"/>
        <c:crosses val="autoZero"/>
        <c:auto val="1"/>
        <c:lblAlgn val="ctr"/>
        <c:lblOffset val="100"/>
        <c:noMultiLvlLbl val="0"/>
      </c:catAx>
      <c:valAx>
        <c:axId val="488345359"/>
        <c:scaling>
          <c:orientation val="minMax"/>
        </c:scaling>
        <c:delete val="1"/>
        <c:axPos val="t"/>
        <c:numFmt formatCode="0.00" sourceLinked="1"/>
        <c:majorTickMark val="none"/>
        <c:minorTickMark val="none"/>
        <c:tickLblPos val="nextTo"/>
        <c:crossAx val="48834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chemeClr val="tx1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920" b="0" i="0" u="none" strike="noStrike" kern="1200" spc="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r>
              <a:rPr lang="en-US" sz="1920"/>
              <a:t>Case 2</a:t>
            </a:r>
            <a:endParaRPr lang="ko-KR" sz="192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920" b="0" i="0" u="none" strike="noStrike" kern="1200" spc="0" baseline="0">
              <a:solidFill>
                <a:sysClr val="windowText" lastClr="000000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defRPr>
          </a:pPr>
          <a:endParaRPr lang="ko-KR"/>
        </a:p>
      </c:txPr>
    </c:title>
    <c:autoTitleDeleted val="0"/>
    <c:plotArea>
      <c:layout>
        <c:manualLayout>
          <c:layoutTarget val="inner"/>
          <c:xMode val="edge"/>
          <c:yMode val="edge"/>
          <c:x val="0.51340730395199674"/>
          <c:y val="4.9894970968324286E-2"/>
          <c:w val="0.39462083591971858"/>
          <c:h val="0.93428804870846716"/>
        </c:manualLayout>
      </c:layout>
      <c:barChart>
        <c:barDir val="bar"/>
        <c:grouping val="clustered"/>
        <c:varyColors val="0"/>
        <c:ser>
          <c:idx val="0"/>
          <c:order val="0"/>
          <c:spPr>
            <a:solidFill>
              <a:srgbClr val="ED992A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400" b="0" i="0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ko-KR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'2. Score calculation'!$AU$35:$AU$53</c:f>
              <c:strCache>
                <c:ptCount val="19"/>
                <c:pt idx="0">
                  <c:v>PDC</c:v>
                </c:pt>
                <c:pt idx="1">
                  <c:v>Succinic acid </c:v>
                </c:pt>
                <c:pt idx="2">
                  <c:v>Ethylene glycol</c:v>
                </c:pt>
                <c:pt idx="3">
                  <c:v>Malic acid</c:v>
                </c:pt>
                <c:pt idx="4">
                  <c:v>Propionic acid</c:v>
                </c:pt>
                <c:pt idx="5">
                  <c:v>Methacrylic acid</c:v>
                </c:pt>
                <c:pt idx="6">
                  <c:v>PHA</c:v>
                </c:pt>
                <c:pt idx="7">
                  <c:v>β-alanine</c:v>
                </c:pt>
                <c:pt idx="8">
                  <c:v>L-Citrulline</c:v>
                </c:pt>
                <c:pt idx="9">
                  <c:v>2-Pyrrolidone</c:v>
                </c:pt>
                <c:pt idx="10">
                  <c:v>NMP</c:v>
                </c:pt>
                <c:pt idx="11">
                  <c:v>Biodiesel</c:v>
                </c:pt>
                <c:pt idx="12">
                  <c:v>Caprolactam</c:v>
                </c:pt>
                <c:pt idx="13">
                  <c:v>Valerolactam</c:v>
                </c:pt>
                <c:pt idx="14">
                  <c:v>Violacein</c:v>
                </c:pt>
                <c:pt idx="15">
                  <c:v>Bio-aviation gasoline</c:v>
                </c:pt>
                <c:pt idx="16">
                  <c:v>Ethylamine</c:v>
                </c:pt>
                <c:pt idx="17">
                  <c:v>Putrescine</c:v>
                </c:pt>
                <c:pt idx="18">
                  <c:v>Limonene</c:v>
                </c:pt>
              </c:strCache>
            </c:strRef>
          </c:cat>
          <c:val>
            <c:numRef>
              <c:f>'2. Score calculation'!$AW$35:$AW$53</c:f>
              <c:numCache>
                <c:formatCode>0.00</c:formatCode>
                <c:ptCount val="19"/>
                <c:pt idx="0">
                  <c:v>0.89578647843239123</c:v>
                </c:pt>
                <c:pt idx="1">
                  <c:v>0.83488506994317246</c:v>
                </c:pt>
                <c:pt idx="2">
                  <c:v>0.82434110464553123</c:v>
                </c:pt>
                <c:pt idx="3">
                  <c:v>0.82031086703939626</c:v>
                </c:pt>
                <c:pt idx="4">
                  <c:v>0.80843657607723385</c:v>
                </c:pt>
                <c:pt idx="5">
                  <c:v>0.80319193709550218</c:v>
                </c:pt>
                <c:pt idx="6">
                  <c:v>0.79457751895202289</c:v>
                </c:pt>
                <c:pt idx="7">
                  <c:v>0.69720331291181947</c:v>
                </c:pt>
                <c:pt idx="8">
                  <c:v>0.65177177401584663</c:v>
                </c:pt>
                <c:pt idx="9">
                  <c:v>0.64549161742587458</c:v>
                </c:pt>
                <c:pt idx="10">
                  <c:v>0.57174303654169389</c:v>
                </c:pt>
                <c:pt idx="11">
                  <c:v>0.57109258419446207</c:v>
                </c:pt>
                <c:pt idx="12">
                  <c:v>0.54798895011243132</c:v>
                </c:pt>
                <c:pt idx="13">
                  <c:v>0.50666916374983195</c:v>
                </c:pt>
                <c:pt idx="14">
                  <c:v>0.50651645338324758</c:v>
                </c:pt>
                <c:pt idx="15">
                  <c:v>0.44015531309042927</c:v>
                </c:pt>
                <c:pt idx="16">
                  <c:v>0.36445907070587014</c:v>
                </c:pt>
                <c:pt idx="17">
                  <c:v>0.34420115085855152</c:v>
                </c:pt>
                <c:pt idx="18">
                  <c:v>0.27995909040238254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5-4D73-BF25-B9FA3A57CB7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72"/>
        <c:axId val="482248735"/>
        <c:axId val="482249695"/>
      </c:barChart>
      <c:catAx>
        <c:axId val="4822487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ysClr val="windowText" lastClr="000000"/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ko-KR"/>
          </a:p>
        </c:txPr>
        <c:crossAx val="482249695"/>
        <c:crosses val="autoZero"/>
        <c:auto val="1"/>
        <c:lblAlgn val="ctr"/>
        <c:lblOffset val="100"/>
        <c:noMultiLvlLbl val="0"/>
      </c:catAx>
      <c:valAx>
        <c:axId val="482249695"/>
        <c:scaling>
          <c:orientation val="minMax"/>
        </c:scaling>
        <c:delete val="1"/>
        <c:axPos val="t"/>
        <c:numFmt formatCode="0.00" sourceLinked="1"/>
        <c:majorTickMark val="none"/>
        <c:minorTickMark val="none"/>
        <c:tickLblPos val="nextTo"/>
        <c:crossAx val="48224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 sz="1400">
          <a:solidFill>
            <a:sysClr val="windowText" lastClr="000000"/>
          </a:solidFill>
          <a:latin typeface="Arial" panose="020B0604020202020204" pitchFamily="34" charset="0"/>
          <a:cs typeface="Arial" panose="020B0604020202020204" pitchFamily="34" charset="0"/>
        </a:defRPr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 Score calculation'!$AU$4:$AU$22</c:f>
              <c:strCache>
                <c:ptCount val="19"/>
                <c:pt idx="0">
                  <c:v>PDC</c:v>
                </c:pt>
                <c:pt idx="1">
                  <c:v>Ethylene glycol</c:v>
                </c:pt>
                <c:pt idx="2">
                  <c:v>Malic acid</c:v>
                </c:pt>
                <c:pt idx="3">
                  <c:v>Succinic acid </c:v>
                </c:pt>
                <c:pt idx="4">
                  <c:v>PHA</c:v>
                </c:pt>
                <c:pt idx="5">
                  <c:v>Propionic acid</c:v>
                </c:pt>
                <c:pt idx="6">
                  <c:v>Methacrylic acid</c:v>
                </c:pt>
                <c:pt idx="7">
                  <c:v>β-alanine</c:v>
                </c:pt>
                <c:pt idx="8">
                  <c:v>Caprolactam</c:v>
                </c:pt>
                <c:pt idx="9">
                  <c:v>L-Citrulline</c:v>
                </c:pt>
                <c:pt idx="10">
                  <c:v>NMP</c:v>
                </c:pt>
                <c:pt idx="11">
                  <c:v>2-Pyrrolidone</c:v>
                </c:pt>
                <c:pt idx="12">
                  <c:v>Biodiesel</c:v>
                </c:pt>
                <c:pt idx="13">
                  <c:v>Valerolactam</c:v>
                </c:pt>
                <c:pt idx="14">
                  <c:v>Limonene</c:v>
                </c:pt>
                <c:pt idx="15">
                  <c:v>Violacein</c:v>
                </c:pt>
                <c:pt idx="16">
                  <c:v>Ethylamine</c:v>
                </c:pt>
                <c:pt idx="17">
                  <c:v>Putrescine</c:v>
                </c:pt>
                <c:pt idx="18">
                  <c:v>Bio-aviation gasoline</c:v>
                </c:pt>
              </c:strCache>
            </c:strRef>
          </c:cat>
          <c:val>
            <c:numRef>
              <c:f>'2. Score calculation'!$AW$4:$AW$22</c:f>
              <c:numCache>
                <c:formatCode>0.00</c:formatCode>
                <c:ptCount val="19"/>
                <c:pt idx="0">
                  <c:v>0.82510990076151935</c:v>
                </c:pt>
                <c:pt idx="1">
                  <c:v>0.82434110464553123</c:v>
                </c:pt>
                <c:pt idx="2">
                  <c:v>0.81726258783342276</c:v>
                </c:pt>
                <c:pt idx="3">
                  <c:v>0.81396707956178516</c:v>
                </c:pt>
                <c:pt idx="4">
                  <c:v>0.69915769890717161</c:v>
                </c:pt>
                <c:pt idx="5">
                  <c:v>0.69024730661782807</c:v>
                </c:pt>
                <c:pt idx="6">
                  <c:v>0.67602459447555918</c:v>
                </c:pt>
                <c:pt idx="7">
                  <c:v>0.60890316606110562</c:v>
                </c:pt>
                <c:pt idx="8">
                  <c:v>0.54798895011243132</c:v>
                </c:pt>
                <c:pt idx="9">
                  <c:v>0.53945560672839865</c:v>
                </c:pt>
                <c:pt idx="10">
                  <c:v>0.49456909285092993</c:v>
                </c:pt>
                <c:pt idx="11">
                  <c:v>0.47054185845391611</c:v>
                </c:pt>
                <c:pt idx="12">
                  <c:v>0.29657108294333612</c:v>
                </c:pt>
                <c:pt idx="13">
                  <c:v>0.28715951770185272</c:v>
                </c:pt>
                <c:pt idx="14">
                  <c:v>0.27995909040238254</c:v>
                </c:pt>
                <c:pt idx="15">
                  <c:v>0.26942393781592316</c:v>
                </c:pt>
                <c:pt idx="16">
                  <c:v>0.18500936010515942</c:v>
                </c:pt>
                <c:pt idx="17">
                  <c:v>0.17187230899557748</c:v>
                </c:pt>
                <c:pt idx="18">
                  <c:v>0.14766615116472809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80-4445-98A1-ADF25EACC28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8346319"/>
        <c:axId val="488345359"/>
      </c:barChart>
      <c:catAx>
        <c:axId val="488346319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8345359"/>
        <c:crosses val="autoZero"/>
        <c:auto val="1"/>
        <c:lblAlgn val="ctr"/>
        <c:lblOffset val="100"/>
        <c:noMultiLvlLbl val="0"/>
      </c:catAx>
      <c:valAx>
        <c:axId val="488345359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48834631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'2. Score calculation'!$AU$35:$AU$53</c:f>
              <c:strCache>
                <c:ptCount val="19"/>
                <c:pt idx="0">
                  <c:v>PDC</c:v>
                </c:pt>
                <c:pt idx="1">
                  <c:v>Succinic acid </c:v>
                </c:pt>
                <c:pt idx="2">
                  <c:v>Ethylene glycol</c:v>
                </c:pt>
                <c:pt idx="3">
                  <c:v>Malic acid</c:v>
                </c:pt>
                <c:pt idx="4">
                  <c:v>Propionic acid</c:v>
                </c:pt>
                <c:pt idx="5">
                  <c:v>Methacrylic acid</c:v>
                </c:pt>
                <c:pt idx="6">
                  <c:v>PHA</c:v>
                </c:pt>
                <c:pt idx="7">
                  <c:v>β-alanine</c:v>
                </c:pt>
                <c:pt idx="8">
                  <c:v>L-Citrulline</c:v>
                </c:pt>
                <c:pt idx="9">
                  <c:v>2-Pyrrolidone</c:v>
                </c:pt>
                <c:pt idx="10">
                  <c:v>NMP</c:v>
                </c:pt>
                <c:pt idx="11">
                  <c:v>Biodiesel</c:v>
                </c:pt>
                <c:pt idx="12">
                  <c:v>Caprolactam</c:v>
                </c:pt>
                <c:pt idx="13">
                  <c:v>Valerolactam</c:v>
                </c:pt>
                <c:pt idx="14">
                  <c:v>Violacein</c:v>
                </c:pt>
                <c:pt idx="15">
                  <c:v>Bio-aviation gasoline</c:v>
                </c:pt>
                <c:pt idx="16">
                  <c:v>Ethylamine</c:v>
                </c:pt>
                <c:pt idx="17">
                  <c:v>Putrescine</c:v>
                </c:pt>
                <c:pt idx="18">
                  <c:v>Limonene</c:v>
                </c:pt>
              </c:strCache>
            </c:strRef>
          </c:cat>
          <c:val>
            <c:numRef>
              <c:f>'2. Score calculation'!$AW$35:$AW$53</c:f>
              <c:numCache>
                <c:formatCode>0.00</c:formatCode>
                <c:ptCount val="19"/>
                <c:pt idx="0">
                  <c:v>0.89578647843239123</c:v>
                </c:pt>
                <c:pt idx="1">
                  <c:v>0.83488506994317246</c:v>
                </c:pt>
                <c:pt idx="2">
                  <c:v>0.82434110464553123</c:v>
                </c:pt>
                <c:pt idx="3">
                  <c:v>0.82031086703939626</c:v>
                </c:pt>
                <c:pt idx="4">
                  <c:v>0.80843657607723385</c:v>
                </c:pt>
                <c:pt idx="5">
                  <c:v>0.80319193709550218</c:v>
                </c:pt>
                <c:pt idx="6">
                  <c:v>0.79457751895202289</c:v>
                </c:pt>
                <c:pt idx="7">
                  <c:v>0.69720331291181947</c:v>
                </c:pt>
                <c:pt idx="8">
                  <c:v>0.65177177401584663</c:v>
                </c:pt>
                <c:pt idx="9">
                  <c:v>0.64549161742587458</c:v>
                </c:pt>
                <c:pt idx="10">
                  <c:v>0.57174303654169389</c:v>
                </c:pt>
                <c:pt idx="11">
                  <c:v>0.57109258419446207</c:v>
                </c:pt>
                <c:pt idx="12">
                  <c:v>0.54798895011243132</c:v>
                </c:pt>
                <c:pt idx="13">
                  <c:v>0.50666916374983195</c:v>
                </c:pt>
                <c:pt idx="14">
                  <c:v>0.50651645338324758</c:v>
                </c:pt>
                <c:pt idx="15">
                  <c:v>0.44015531309042927</c:v>
                </c:pt>
                <c:pt idx="16">
                  <c:v>0.36445907070587014</c:v>
                </c:pt>
                <c:pt idx="17">
                  <c:v>0.34420115085855152</c:v>
                </c:pt>
                <c:pt idx="18">
                  <c:v>0.27995909040238254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982-42EF-ACE6-B25AC1A21BA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82"/>
        <c:axId val="482248735"/>
        <c:axId val="482249695"/>
      </c:barChart>
      <c:catAx>
        <c:axId val="482248735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482249695"/>
        <c:crosses val="autoZero"/>
        <c:auto val="1"/>
        <c:lblAlgn val="ctr"/>
        <c:lblOffset val="100"/>
        <c:noMultiLvlLbl val="0"/>
      </c:catAx>
      <c:valAx>
        <c:axId val="482249695"/>
        <c:scaling>
          <c:orientation val="minMax"/>
        </c:scaling>
        <c:delete val="1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crossAx val="4822487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590055</xdr:colOff>
      <xdr:row>0</xdr:row>
      <xdr:rowOff>81643</xdr:rowOff>
    </xdr:from>
    <xdr:to>
      <xdr:col>24</xdr:col>
      <xdr:colOff>557893</xdr:colOff>
      <xdr:row>7</xdr:row>
      <xdr:rowOff>85355</xdr:rowOff>
    </xdr:to>
    <xdr:sp macro="" textlink="">
      <xdr:nvSpPr>
        <xdr:cNvPr id="5" name="사각형: 둥근 모서리 4">
          <a:extLst>
            <a:ext uri="{FF2B5EF4-FFF2-40B4-BE49-F238E27FC236}">
              <a16:creationId xmlns:a16="http://schemas.microsoft.com/office/drawing/2014/main" id="{BA21BE4A-1122-92E4-93D8-DCBC64292591}"/>
            </a:ext>
          </a:extLst>
        </xdr:cNvPr>
        <xdr:cNvSpPr/>
      </xdr:nvSpPr>
      <xdr:spPr>
        <a:xfrm>
          <a:off x="590055" y="81643"/>
          <a:ext cx="24678409" cy="1432462"/>
        </a:xfrm>
        <a:prstGeom prst="roundRect">
          <a:avLst>
            <a:gd name="adj" fmla="val 6653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altLang="ko-KR" sz="1400">
              <a:solidFill>
                <a:schemeClr val="tx1"/>
              </a:solidFill>
              <a:latin typeface="Arial" panose="020B0604020202020204" pitchFamily="34" charset="0"/>
              <a:cs typeface="Arial" panose="020B0604020202020204" pitchFamily="34" charset="0"/>
            </a:rPr>
            <a:t>[Supplementary Information] Rapid screening of microbial fermentation-based biochemical production pathways using multi-criteria decision analysis</a:t>
          </a:r>
          <a:r>
            <a:rPr lang="en-US" altLang="ko-KR" sz="1200" baseline="0">
              <a:solidFill>
                <a:schemeClr val="tx1"/>
              </a:solidFill>
            </a:rPr>
            <a:t> </a:t>
          </a:r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14</xdr:col>
      <xdr:colOff>134835</xdr:colOff>
      <xdr:row>7</xdr:row>
      <xdr:rowOff>200396</xdr:rowOff>
    </xdr:from>
    <xdr:to>
      <xdr:col>18</xdr:col>
      <xdr:colOff>517072</xdr:colOff>
      <xdr:row>48</xdr:row>
      <xdr:rowOff>0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364ED7CE-9557-491B-833E-B144F3AA9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660565</xdr:colOff>
      <xdr:row>8</xdr:row>
      <xdr:rowOff>6184</xdr:rowOff>
    </xdr:from>
    <xdr:to>
      <xdr:col>24</xdr:col>
      <xdr:colOff>444823</xdr:colOff>
      <xdr:row>48</xdr:row>
      <xdr:rowOff>35670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E764EBDC-E38B-48F2-B61F-D404E7AC97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</xdr:col>
      <xdr:colOff>204108</xdr:colOff>
      <xdr:row>2</xdr:row>
      <xdr:rowOff>190499</xdr:rowOff>
    </xdr:from>
    <xdr:to>
      <xdr:col>10</xdr:col>
      <xdr:colOff>0</xdr:colOff>
      <xdr:row>6</xdr:row>
      <xdr:rowOff>68034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248C8D20-787F-6D4F-4F8D-CDEA96742E04}"/>
            </a:ext>
          </a:extLst>
        </xdr:cNvPr>
        <xdr:cNvSpPr txBox="1"/>
      </xdr:nvSpPr>
      <xdr:spPr>
        <a:xfrm>
          <a:off x="429244" y="606135"/>
          <a:ext cx="11901301" cy="708808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US" altLang="ko-KR" sz="4000" u="sng">
              <a:latin typeface="Arial" panose="020B0604020202020204" pitchFamily="34" charset="0"/>
              <a:cs typeface="Arial" panose="020B0604020202020204" pitchFamily="34" charset="0"/>
            </a:rPr>
            <a:t>Microbial-based bioproducts pathway</a:t>
          </a:r>
          <a:r>
            <a:rPr lang="en-US" altLang="ko-KR" sz="4000" u="sng" baseline="0">
              <a:latin typeface="Arial" panose="020B0604020202020204" pitchFamily="34" charset="0"/>
              <a:cs typeface="Arial" panose="020B0604020202020204" pitchFamily="34" charset="0"/>
            </a:rPr>
            <a:t> evaluation</a:t>
          </a:r>
          <a:endParaRPr lang="ko-KR" altLang="en-US" sz="4000" u="sng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10</xdr:col>
      <xdr:colOff>136072</xdr:colOff>
      <xdr:row>1</xdr:row>
      <xdr:rowOff>122464</xdr:rowOff>
    </xdr:from>
    <xdr:to>
      <xdr:col>24</xdr:col>
      <xdr:colOff>312965</xdr:colOff>
      <xdr:row>6</xdr:row>
      <xdr:rowOff>95249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53046821-2F79-BD2F-38A0-8C4208A2CEFA}"/>
            </a:ext>
          </a:extLst>
        </xdr:cNvPr>
        <xdr:cNvSpPr txBox="1"/>
      </xdr:nvSpPr>
      <xdr:spPr>
        <a:xfrm>
          <a:off x="12477751" y="326571"/>
          <a:ext cx="12096750" cy="993321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altLang="ko-KR" sz="1600">
              <a:latin typeface="Arial" panose="020B0604020202020204" pitchFamily="34" charset="0"/>
              <a:cs typeface="Arial" panose="020B0604020202020204" pitchFamily="34" charset="0"/>
            </a:rPr>
            <a:t>This spreadsheet allows users to evaluate microbial fermentation-based bioproducts using MCDA. The data for the products corresponding to Case 1 and Case 2 are organized in a table. </a:t>
          </a:r>
          <a:r>
            <a:rPr lang="en-US" altLang="ko-KR" sz="1600" u="sng">
              <a:latin typeface="Arial" panose="020B0604020202020204" pitchFamily="34" charset="0"/>
              <a:cs typeface="Arial" panose="020B0604020202020204" pitchFamily="34" charset="0"/>
            </a:rPr>
            <a:t>Users can modify the raw material price and pairwise comparison importance for each criterion in the yellow cells.</a:t>
          </a:r>
          <a:r>
            <a:rPr lang="en-US" altLang="ko-KR" sz="1600">
              <a:latin typeface="Arial" panose="020B0604020202020204" pitchFamily="34" charset="0"/>
              <a:cs typeface="Arial" panose="020B0604020202020204" pitchFamily="34" charset="0"/>
            </a:rPr>
            <a:t> The bar charts present the aggregated scores and rankings derived from MCDA.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49</xdr:col>
      <xdr:colOff>549089</xdr:colOff>
      <xdr:row>1</xdr:row>
      <xdr:rowOff>174811</xdr:rowOff>
    </xdr:from>
    <xdr:to>
      <xdr:col>56</xdr:col>
      <xdr:colOff>336178</xdr:colOff>
      <xdr:row>21</xdr:row>
      <xdr:rowOff>212911</xdr:rowOff>
    </xdr:to>
    <xdr:graphicFrame macro="">
      <xdr:nvGraphicFramePr>
        <xdr:cNvPr id="3" name="차트 2">
          <a:extLst>
            <a:ext uri="{FF2B5EF4-FFF2-40B4-BE49-F238E27FC236}">
              <a16:creationId xmlns:a16="http://schemas.microsoft.com/office/drawing/2014/main" id="{169CCC0B-88AD-6767-E2BB-7D1B5C155B5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49</xdr:col>
      <xdr:colOff>646338</xdr:colOff>
      <xdr:row>32</xdr:row>
      <xdr:rowOff>179613</xdr:rowOff>
    </xdr:from>
    <xdr:to>
      <xdr:col>56</xdr:col>
      <xdr:colOff>455838</xdr:colOff>
      <xdr:row>53</xdr:row>
      <xdr:rowOff>13606</xdr:rowOff>
    </xdr:to>
    <xdr:graphicFrame macro="">
      <xdr:nvGraphicFramePr>
        <xdr:cNvPr id="4" name="차트 3">
          <a:extLst>
            <a:ext uri="{FF2B5EF4-FFF2-40B4-BE49-F238E27FC236}">
              <a16:creationId xmlns:a16="http://schemas.microsoft.com/office/drawing/2014/main" id="{1589350F-35BE-0604-97BE-D7B56703275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256062</xdr:colOff>
      <xdr:row>1</xdr:row>
      <xdr:rowOff>122464</xdr:rowOff>
    </xdr:from>
    <xdr:to>
      <xdr:col>17</xdr:col>
      <xdr:colOff>68036</xdr:colOff>
      <xdr:row>7</xdr:row>
      <xdr:rowOff>34636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762A9F2-EAF5-44D6-AC24-89E63D348FC5}"/>
            </a:ext>
          </a:extLst>
        </xdr:cNvPr>
        <xdr:cNvSpPr/>
      </xdr:nvSpPr>
      <xdr:spPr>
        <a:xfrm>
          <a:off x="256062" y="326571"/>
          <a:ext cx="22372617" cy="1136815"/>
        </a:xfrm>
        <a:prstGeom prst="roundRect">
          <a:avLst>
            <a:gd name="adj" fmla="val 6653"/>
          </a:avLst>
        </a:prstGeom>
        <a:solidFill>
          <a:sysClr val="window" lastClr="FFFFFF"/>
        </a:solidFill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1</xdr:col>
      <xdr:colOff>154342</xdr:colOff>
      <xdr:row>2</xdr:row>
      <xdr:rowOff>118848</xdr:rowOff>
    </xdr:from>
    <xdr:to>
      <xdr:col>7</xdr:col>
      <xdr:colOff>1228725</xdr:colOff>
      <xdr:row>5</xdr:row>
      <xdr:rowOff>200490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83FCD50-FED4-48DF-834E-18E45DA54618}"/>
            </a:ext>
          </a:extLst>
        </xdr:cNvPr>
        <xdr:cNvSpPr txBox="1"/>
      </xdr:nvSpPr>
      <xdr:spPr>
        <a:xfrm>
          <a:off x="426485" y="527062"/>
          <a:ext cx="10640204" cy="693964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l"/>
          <a:r>
            <a:rPr lang="en-US" altLang="ko-KR" sz="4000" u="sng">
              <a:latin typeface="Arial" panose="020B0604020202020204" pitchFamily="34" charset="0"/>
              <a:cs typeface="Arial" panose="020B0604020202020204" pitchFamily="34" charset="0"/>
            </a:rPr>
            <a:t>Database</a:t>
          </a:r>
          <a:endParaRPr lang="ko-KR" altLang="en-US" sz="4000" u="sng">
            <a:latin typeface="Arial" panose="020B0604020202020204" pitchFamily="34" charset="0"/>
            <a:cs typeface="Arial" panose="020B0604020202020204" pitchFamily="34" charset="0"/>
          </a:endParaRPr>
        </a:p>
      </xdr:txBody>
    </xdr:sp>
    <xdr:clientData/>
  </xdr:twoCellAnchor>
  <xdr:twoCellAnchor>
    <xdr:from>
      <xdr:col>1</xdr:col>
      <xdr:colOff>2600201</xdr:colOff>
      <xdr:row>2</xdr:row>
      <xdr:rowOff>100195</xdr:rowOff>
    </xdr:from>
    <xdr:to>
      <xdr:col>16</xdr:col>
      <xdr:colOff>435429</xdr:colOff>
      <xdr:row>6</xdr:row>
      <xdr:rowOff>68035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BFB8D658-7405-4F2D-98F3-D23943991B6E}"/>
            </a:ext>
          </a:extLst>
        </xdr:cNvPr>
        <xdr:cNvSpPr txBox="1"/>
      </xdr:nvSpPr>
      <xdr:spPr>
        <a:xfrm>
          <a:off x="2872344" y="508409"/>
          <a:ext cx="19497799" cy="784269"/>
        </a:xfrm>
        <a:prstGeom prst="rect">
          <a:avLst/>
        </a:prstGeom>
        <a:solidFill>
          <a:schemeClr val="bg1">
            <a:lumMod val="95000"/>
          </a:schemeClr>
        </a:solidFill>
        <a:ln w="9525" cmpd="sng">
          <a:solidFill>
            <a:schemeClr val="bg2"/>
          </a:solidFill>
        </a:ln>
        <a:effectLst>
          <a:outerShdw blurRad="50800" dist="38100" dir="2700000" algn="tl" rotWithShape="0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marL="0" indent="0"/>
          <a:r>
            <a:rPr lang="en-US" altLang="ko-KR" sz="1600">
              <a:solidFill>
                <a:schemeClr val="dk1"/>
              </a:solidFill>
              <a:latin typeface="Arial" panose="020B0604020202020204" pitchFamily="34" charset="0"/>
              <a:ea typeface="+mn-ea"/>
              <a:cs typeface="Arial" panose="020B0604020202020204" pitchFamily="34" charset="0"/>
            </a:rPr>
            <a:t>This spreadsheet allows users to modify bioproducts data related to evaluation criteria. Note that the yellow cells are values ​​that the user has already entered in the spreadsheet "1. Dashboard", so do not change them here.</a:t>
          </a: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46CE0-2E06-49A3-A628-62F30EB0CA40}">
  <dimension ref="A1:Z54"/>
  <sheetViews>
    <sheetView showGridLines="0" zoomScale="70" zoomScaleNormal="70" workbookViewId="0">
      <selection activeCell="A4" sqref="A4"/>
    </sheetView>
  </sheetViews>
  <sheetFormatPr defaultRowHeight="16.5" x14ac:dyDescent="0.3"/>
  <cols>
    <col min="1" max="1" width="3" style="16" customWidth="1"/>
    <col min="2" max="2" width="32.5" style="16" customWidth="1"/>
    <col min="3" max="5" width="14.75" style="16" customWidth="1"/>
    <col min="6" max="6" width="13.625" style="16" customWidth="1"/>
    <col min="7" max="7" width="14.625" style="16" customWidth="1"/>
    <col min="8" max="8" width="9" style="16"/>
    <col min="9" max="9" width="31.75" style="16" customWidth="1"/>
    <col min="10" max="10" width="13" style="16" customWidth="1"/>
    <col min="11" max="11" width="13.75" style="16" customWidth="1"/>
    <col min="12" max="12" width="14" style="16" customWidth="1"/>
    <col min="13" max="13" width="14.625" style="16" customWidth="1"/>
    <col min="14" max="14" width="14.75" style="16" customWidth="1"/>
    <col min="15" max="16" width="9" style="16"/>
    <col min="17" max="17" width="19" style="16" customWidth="1"/>
    <col min="18" max="16384" width="9" style="16"/>
  </cols>
  <sheetData>
    <row r="1" spans="1:26" x14ac:dyDescent="0.3">
      <c r="A1" s="30"/>
      <c r="B1" s="30"/>
      <c r="C1" s="30"/>
      <c r="D1" s="30"/>
      <c r="E1" s="30"/>
      <c r="F1" s="30"/>
      <c r="G1" s="30"/>
      <c r="H1" s="30"/>
      <c r="I1" s="30"/>
      <c r="J1" s="30"/>
      <c r="K1" s="30"/>
      <c r="L1" s="30"/>
      <c r="M1" s="30"/>
      <c r="N1" s="30"/>
      <c r="O1" s="30"/>
      <c r="P1" s="30"/>
      <c r="Q1" s="30"/>
      <c r="R1" s="30"/>
      <c r="S1" s="30"/>
      <c r="T1" s="30"/>
      <c r="U1" s="30"/>
      <c r="V1" s="30"/>
      <c r="W1" s="30"/>
      <c r="X1" s="30"/>
      <c r="Y1" s="30"/>
      <c r="Z1" s="30"/>
    </row>
    <row r="2" spans="1:26" x14ac:dyDescent="0.3">
      <c r="A2" s="30"/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0"/>
      <c r="X2" s="30"/>
      <c r="Y2" s="30"/>
      <c r="Z2" s="30"/>
    </row>
    <row r="3" spans="1:26" x14ac:dyDescent="0.3">
      <c r="A3" s="30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0"/>
      <c r="V3" s="30"/>
      <c r="W3" s="30"/>
      <c r="X3" s="30"/>
      <c r="Y3" s="30"/>
      <c r="Z3" s="30"/>
    </row>
    <row r="4" spans="1:26" x14ac:dyDescent="0.3">
      <c r="A4" s="30"/>
      <c r="B4" s="30"/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  <c r="P4" s="30"/>
      <c r="Q4" s="30"/>
      <c r="R4" s="30"/>
      <c r="S4" s="30"/>
      <c r="T4" s="30"/>
      <c r="U4" s="30"/>
      <c r="V4" s="30"/>
      <c r="W4" s="30"/>
      <c r="X4" s="30"/>
      <c r="Y4" s="30"/>
      <c r="Z4" s="30"/>
    </row>
    <row r="5" spans="1:26" x14ac:dyDescent="0.3">
      <c r="A5" s="30"/>
      <c r="B5" s="30"/>
      <c r="C5" s="30"/>
      <c r="D5" s="30"/>
      <c r="E5" s="30"/>
      <c r="F5" s="30"/>
      <c r="G5" s="30"/>
      <c r="H5" s="30"/>
      <c r="I5" s="30"/>
      <c r="J5" s="30"/>
      <c r="K5" s="30"/>
      <c r="L5" s="30"/>
      <c r="M5" s="30"/>
      <c r="N5" s="30"/>
      <c r="O5" s="30"/>
      <c r="P5" s="30"/>
      <c r="Q5" s="30"/>
      <c r="R5" s="30"/>
      <c r="S5" s="30"/>
      <c r="T5" s="30"/>
      <c r="U5" s="30"/>
      <c r="V5" s="30"/>
      <c r="W5" s="30"/>
      <c r="X5" s="30"/>
      <c r="Y5" s="30"/>
      <c r="Z5" s="30"/>
    </row>
    <row r="6" spans="1:26" x14ac:dyDescent="0.3">
      <c r="A6" s="30"/>
      <c r="B6" s="30"/>
      <c r="C6" s="30"/>
      <c r="D6" s="30"/>
      <c r="E6" s="30"/>
      <c r="F6" s="30"/>
      <c r="G6" s="30"/>
      <c r="H6" s="30"/>
      <c r="I6" s="30"/>
      <c r="J6" s="30"/>
      <c r="K6" s="30"/>
      <c r="L6" s="30"/>
      <c r="M6" s="30"/>
      <c r="N6" s="30"/>
      <c r="O6" s="30"/>
      <c r="P6" s="30"/>
      <c r="Q6" s="30"/>
      <c r="R6" s="30"/>
      <c r="S6" s="30"/>
      <c r="T6" s="30"/>
      <c r="U6" s="30"/>
      <c r="V6" s="30"/>
      <c r="W6" s="30"/>
      <c r="X6" s="30"/>
      <c r="Y6" s="30"/>
      <c r="Z6" s="30"/>
    </row>
    <row r="7" spans="1:26" x14ac:dyDescent="0.3">
      <c r="A7" s="30"/>
      <c r="B7" s="30"/>
      <c r="C7" s="30"/>
      <c r="D7" s="30"/>
      <c r="E7" s="30"/>
      <c r="F7" s="30"/>
      <c r="G7" s="30"/>
      <c r="H7" s="30"/>
      <c r="I7" s="30"/>
      <c r="J7" s="30"/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</row>
    <row r="8" spans="1:26" x14ac:dyDescent="0.3">
      <c r="A8" s="30"/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  <c r="M8" s="30"/>
      <c r="N8" s="30"/>
      <c r="O8" s="30"/>
      <c r="P8" s="30"/>
      <c r="Q8" s="30"/>
      <c r="R8" s="30"/>
      <c r="S8" s="30"/>
      <c r="T8" s="30"/>
      <c r="U8" s="30"/>
      <c r="V8" s="30"/>
      <c r="W8" s="30"/>
      <c r="X8" s="30"/>
      <c r="Y8" s="30"/>
      <c r="Z8" s="30"/>
    </row>
    <row r="9" spans="1:26" x14ac:dyDescent="0.3">
      <c r="A9" s="30"/>
      <c r="B9" s="79" t="s">
        <v>139</v>
      </c>
      <c r="C9" s="79"/>
      <c r="D9" s="79"/>
      <c r="E9" s="79"/>
      <c r="F9" s="79"/>
      <c r="G9" s="79"/>
      <c r="H9" s="31"/>
      <c r="I9" s="79" t="s">
        <v>140</v>
      </c>
      <c r="J9" s="79"/>
      <c r="K9" s="79"/>
      <c r="L9" s="79"/>
      <c r="M9" s="79"/>
      <c r="N9" s="79"/>
      <c r="O9" s="30"/>
      <c r="P9" s="30"/>
      <c r="Q9" s="30"/>
      <c r="R9" s="30"/>
      <c r="S9" s="30"/>
      <c r="T9" s="30"/>
      <c r="U9" s="30"/>
      <c r="V9" s="30"/>
      <c r="W9" s="30"/>
      <c r="X9" s="30"/>
      <c r="Y9" s="30"/>
      <c r="Z9" s="30"/>
    </row>
    <row r="10" spans="1:26" ht="33" customHeight="1" x14ac:dyDescent="0.3">
      <c r="A10" s="30"/>
      <c r="B10" s="17"/>
      <c r="C10" s="21" t="s">
        <v>20</v>
      </c>
      <c r="D10" s="22" t="s">
        <v>75</v>
      </c>
      <c r="E10" s="22" t="s">
        <v>76</v>
      </c>
      <c r="F10" s="22" t="s">
        <v>77</v>
      </c>
      <c r="G10" s="22" t="s">
        <v>65</v>
      </c>
      <c r="H10" s="31"/>
      <c r="I10" s="17"/>
      <c r="J10" s="21" t="s">
        <v>20</v>
      </c>
      <c r="K10" s="22" t="s">
        <v>75</v>
      </c>
      <c r="L10" s="22" t="s">
        <v>76</v>
      </c>
      <c r="M10" s="22" t="s">
        <v>77</v>
      </c>
      <c r="N10" s="22" t="s">
        <v>65</v>
      </c>
      <c r="O10" s="30"/>
      <c r="P10" s="30"/>
      <c r="Q10" s="30"/>
      <c r="R10" s="30"/>
      <c r="S10" s="30"/>
      <c r="T10" s="30"/>
      <c r="U10" s="30"/>
      <c r="V10" s="30"/>
      <c r="W10" s="30"/>
      <c r="X10" s="30"/>
      <c r="Y10" s="30"/>
      <c r="Z10" s="30"/>
    </row>
    <row r="11" spans="1:26" x14ac:dyDescent="0.3">
      <c r="A11" s="30"/>
      <c r="B11" s="17" t="s">
        <v>1</v>
      </c>
      <c r="C11" s="17">
        <f>'2. Score calculation'!F4</f>
        <v>3</v>
      </c>
      <c r="D11" s="19">
        <f>'2. Score calculation'!G4</f>
        <v>4.7518152835453034</v>
      </c>
      <c r="E11" s="19">
        <f>'2. Score calculation'!H4</f>
        <v>0.57689388188856838</v>
      </c>
      <c r="F11" s="19">
        <f>'2. Score calculation'!I4</f>
        <v>1.59987445073112</v>
      </c>
      <c r="G11" s="17">
        <f>'2. Score calculation'!J4</f>
        <v>1</v>
      </c>
      <c r="H11" s="31"/>
      <c r="I11" s="17" t="s">
        <v>1</v>
      </c>
      <c r="J11" s="17">
        <f>'2. Score calculation'!F35</f>
        <v>3</v>
      </c>
      <c r="K11" s="19">
        <f>'2. Score calculation'!G35</f>
        <v>4.7518152835453034</v>
      </c>
      <c r="L11" s="19">
        <f>'2. Score calculation'!H35</f>
        <v>0.57689388188856838</v>
      </c>
      <c r="M11" s="19">
        <f>'2. Score calculation'!I35</f>
        <v>1.59987445073112</v>
      </c>
      <c r="N11" s="17">
        <f>'2. Score calculation'!J35</f>
        <v>1</v>
      </c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</row>
    <row r="12" spans="1:26" x14ac:dyDescent="0.3">
      <c r="A12" s="30"/>
      <c r="B12" s="17" t="s">
        <v>2</v>
      </c>
      <c r="C12" s="17">
        <f>'2. Score calculation'!F5</f>
        <v>2</v>
      </c>
      <c r="D12" s="19">
        <f>'2. Score calculation'!G5</f>
        <v>4.2582676869478995</v>
      </c>
      <c r="E12" s="19">
        <f>'2. Score calculation'!H5</f>
        <v>1.325731572310946</v>
      </c>
      <c r="F12" s="19">
        <f>'2. Score calculation'!I5</f>
        <v>3.2456892678421054</v>
      </c>
      <c r="G12" s="17">
        <f>'2. Score calculation'!J5</f>
        <v>0</v>
      </c>
      <c r="H12" s="31"/>
      <c r="I12" s="17" t="s">
        <v>2</v>
      </c>
      <c r="J12" s="17">
        <f>'2. Score calculation'!F36</f>
        <v>2</v>
      </c>
      <c r="K12" s="19">
        <f>'2. Score calculation'!G36</f>
        <v>4.2582676869478995</v>
      </c>
      <c r="L12" s="19">
        <f>'2. Score calculation'!H36</f>
        <v>1.325731572310946</v>
      </c>
      <c r="M12" s="19">
        <f>'2. Score calculation'!I36</f>
        <v>3.2456892678421054</v>
      </c>
      <c r="N12" s="17">
        <f>'2. Score calculation'!J36</f>
        <v>0</v>
      </c>
      <c r="O12" s="30"/>
      <c r="P12" s="30"/>
      <c r="Q12" s="30"/>
      <c r="R12" s="30"/>
      <c r="S12" s="30"/>
      <c r="T12" s="30"/>
      <c r="U12" s="30"/>
      <c r="V12" s="30"/>
      <c r="W12" s="30"/>
      <c r="X12" s="30"/>
      <c r="Y12" s="30"/>
      <c r="Z12" s="30"/>
    </row>
    <row r="13" spans="1:26" x14ac:dyDescent="0.3">
      <c r="A13" s="30"/>
      <c r="B13" s="17" t="s">
        <v>3</v>
      </c>
      <c r="C13" s="17">
        <f>'2. Score calculation'!F6</f>
        <v>1</v>
      </c>
      <c r="D13" s="19">
        <f>'2. Score calculation'!G6</f>
        <v>2.6208230949891842</v>
      </c>
      <c r="E13" s="19">
        <f>'2. Score calculation'!H6</f>
        <v>2.1384021384021383</v>
      </c>
      <c r="F13" s="19">
        <f>'2. Score calculation'!I6</f>
        <v>4.7383049150608851</v>
      </c>
      <c r="G13" s="17">
        <f>'2. Score calculation'!J6</f>
        <v>0</v>
      </c>
      <c r="H13" s="31"/>
      <c r="I13" s="17" t="s">
        <v>3</v>
      </c>
      <c r="J13" s="17">
        <f>'2. Score calculation'!F37</f>
        <v>1</v>
      </c>
      <c r="K13" s="19">
        <f>'2. Score calculation'!G37</f>
        <v>2.6208230949891842</v>
      </c>
      <c r="L13" s="19">
        <f>'2. Score calculation'!H37</f>
        <v>2.1384021384021383</v>
      </c>
      <c r="M13" s="19">
        <f>'2. Score calculation'!I37</f>
        <v>4.7383049150608851</v>
      </c>
      <c r="N13" s="17">
        <f>'2. Score calculation'!J37</f>
        <v>0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</row>
    <row r="14" spans="1:26" x14ac:dyDescent="0.3">
      <c r="A14" s="30"/>
      <c r="B14" s="18" t="s">
        <v>4</v>
      </c>
      <c r="C14" s="17">
        <f>'2. Score calculation'!F7</f>
        <v>5</v>
      </c>
      <c r="D14" s="19">
        <f>'2. Score calculation'!G7</f>
        <v>3.4455830194541708</v>
      </c>
      <c r="E14" s="19">
        <f>'2. Score calculation'!H7</f>
        <v>3.7854406130268199</v>
      </c>
      <c r="F14" s="19">
        <f>'2. Score calculation'!I7</f>
        <v>6.2995316427251211</v>
      </c>
      <c r="G14" s="17">
        <f>'2. Score calculation'!J7</f>
        <v>1</v>
      </c>
      <c r="H14" s="31"/>
      <c r="I14" s="18" t="s">
        <v>4</v>
      </c>
      <c r="J14" s="17">
        <f>'2. Score calculation'!F38</f>
        <v>5</v>
      </c>
      <c r="K14" s="19">
        <f>'2. Score calculation'!G38</f>
        <v>3.4455830194541708</v>
      </c>
      <c r="L14" s="19">
        <f>'2. Score calculation'!H38</f>
        <v>1.4559386973180077</v>
      </c>
      <c r="M14" s="19">
        <f>'2. Score calculation'!I38</f>
        <v>3.9240527155220564</v>
      </c>
      <c r="N14" s="17">
        <f>'2. Score calculation'!J38</f>
        <v>1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</row>
    <row r="15" spans="1:26" x14ac:dyDescent="0.3">
      <c r="A15" s="30"/>
      <c r="B15" s="18" t="s">
        <v>5</v>
      </c>
      <c r="C15" s="17">
        <f>'2. Score calculation'!F8</f>
        <v>5</v>
      </c>
      <c r="D15" s="19">
        <f>'2. Score calculation'!G8</f>
        <v>4.7212118868921964</v>
      </c>
      <c r="E15" s="19">
        <f>'2. Score calculation'!H8</f>
        <v>2.9939393939393937</v>
      </c>
      <c r="F15" s="19">
        <f>'2. Score calculation'!I8</f>
        <v>5.0984428275867941</v>
      </c>
      <c r="G15" s="17">
        <f>'2. Score calculation'!J8</f>
        <v>1</v>
      </c>
      <c r="H15" s="31"/>
      <c r="I15" s="18" t="s">
        <v>5</v>
      </c>
      <c r="J15" s="17">
        <f>'2. Score calculation'!F39</f>
        <v>5</v>
      </c>
      <c r="K15" s="19">
        <f>'2. Score calculation'!G39</f>
        <v>4.7212118868921964</v>
      </c>
      <c r="L15" s="19">
        <f>'2. Score calculation'!H39</f>
        <v>1.1515151515151516</v>
      </c>
      <c r="M15" s="19">
        <f>'2. Score calculation'!I39</f>
        <v>3.2196549487989152</v>
      </c>
      <c r="N15" s="17">
        <f>'2. Score calculation'!J39</f>
        <v>1</v>
      </c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</row>
    <row r="16" spans="1:26" x14ac:dyDescent="0.3">
      <c r="A16" s="30"/>
      <c r="B16" s="17" t="s">
        <v>127</v>
      </c>
      <c r="C16" s="17">
        <f>'2. Score calculation'!F9</f>
        <v>2</v>
      </c>
      <c r="D16" s="19">
        <f>'2. Score calculation'!G9</f>
        <v>3.249666381923666</v>
      </c>
      <c r="E16" s="19">
        <f>'2. Score calculation'!H9</f>
        <v>0.85360757484485084</v>
      </c>
      <c r="F16" s="19">
        <f>'2. Score calculation'!I9</f>
        <v>3.551669634058972</v>
      </c>
      <c r="G16" s="17">
        <f>'2. Score calculation'!J9</f>
        <v>1</v>
      </c>
      <c r="H16" s="31"/>
      <c r="I16" s="17" t="s">
        <v>127</v>
      </c>
      <c r="J16" s="17">
        <f>'2. Score calculation'!F40</f>
        <v>2</v>
      </c>
      <c r="K16" s="19">
        <f>'2. Score calculation'!G40</f>
        <v>3.249666381923666</v>
      </c>
      <c r="L16" s="19">
        <f>'2. Score calculation'!H40</f>
        <v>0.37752895923135149</v>
      </c>
      <c r="M16" s="19">
        <f>'2. Score calculation'!I40</f>
        <v>3.0661947299794168</v>
      </c>
      <c r="N16" s="17">
        <f>'2. Score calculation'!J40</f>
        <v>1</v>
      </c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</row>
    <row r="17" spans="1:26" x14ac:dyDescent="0.3">
      <c r="A17" s="30"/>
      <c r="B17" s="17" t="s">
        <v>7</v>
      </c>
      <c r="C17" s="17">
        <f>'2. Score calculation'!F10</f>
        <v>1</v>
      </c>
      <c r="D17" s="19">
        <f>'2. Score calculation'!G10</f>
        <v>3.3069242325079786</v>
      </c>
      <c r="E17" s="19">
        <f>'2. Score calculation'!H10</f>
        <v>1.4565826330532212</v>
      </c>
      <c r="F17" s="19">
        <f>'2. Score calculation'!I10</f>
        <v>2.1478892937358784</v>
      </c>
      <c r="G17" s="17">
        <f>'2. Score calculation'!J10</f>
        <v>0</v>
      </c>
      <c r="H17" s="31"/>
      <c r="I17" s="17" t="s">
        <v>7</v>
      </c>
      <c r="J17" s="17">
        <f>'2. Score calculation'!F41</f>
        <v>1</v>
      </c>
      <c r="K17" s="19">
        <f>'2. Score calculation'!G41</f>
        <v>3.3069242325079786</v>
      </c>
      <c r="L17" s="19">
        <f>'2. Score calculation'!H41</f>
        <v>0.56022408963585435</v>
      </c>
      <c r="M17" s="19">
        <f>'2. Score calculation'!I41</f>
        <v>1.2338394632773795</v>
      </c>
      <c r="N17" s="17">
        <f>'2. Score calculation'!J41</f>
        <v>0</v>
      </c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</row>
    <row r="18" spans="1:26" x14ac:dyDescent="0.3">
      <c r="A18" s="30"/>
      <c r="B18" s="17" t="s">
        <v>8</v>
      </c>
      <c r="C18" s="17">
        <f>'2. Score calculation'!F11</f>
        <v>1</v>
      </c>
      <c r="D18" s="19">
        <f>'2. Score calculation'!G11</f>
        <v>3.1513586269692353</v>
      </c>
      <c r="E18" s="19">
        <f>'2. Score calculation'!H11</f>
        <v>1.5765118876655497</v>
      </c>
      <c r="F18" s="19">
        <f>'2. Score calculation'!I11</f>
        <v>2.2133817399417541</v>
      </c>
      <c r="G18" s="17">
        <f>'2. Score calculation'!J11</f>
        <v>0</v>
      </c>
      <c r="H18" s="31"/>
      <c r="I18" s="17" t="s">
        <v>8</v>
      </c>
      <c r="J18" s="17">
        <f>'2. Score calculation'!F42</f>
        <v>1</v>
      </c>
      <c r="K18" s="19">
        <f>'2. Score calculation'!G42</f>
        <v>3.1513586269692353</v>
      </c>
      <c r="L18" s="19">
        <f>'2. Score calculation'!H42</f>
        <v>0.60635072602521145</v>
      </c>
      <c r="M18" s="19">
        <f>'2. Score calculation'!I42</f>
        <v>1.2240726606374617</v>
      </c>
      <c r="N18" s="17">
        <f>'2. Score calculation'!J42</f>
        <v>0</v>
      </c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</row>
    <row r="19" spans="1:26" x14ac:dyDescent="0.3">
      <c r="A19" s="30"/>
      <c r="B19" s="18" t="s">
        <v>9</v>
      </c>
      <c r="C19" s="17">
        <f>'2. Score calculation'!F12</f>
        <v>1</v>
      </c>
      <c r="D19" s="19">
        <f>'2. Score calculation'!G12</f>
        <v>3.3978364324130048</v>
      </c>
      <c r="E19" s="19">
        <f>'2. Score calculation'!H12</f>
        <v>2.1066928409381953</v>
      </c>
      <c r="F19" s="19">
        <f>'2. Score calculation'!I12</f>
        <v>5.6175236060045854</v>
      </c>
      <c r="G19" s="17">
        <f>'2. Score calculation'!J12</f>
        <v>0</v>
      </c>
      <c r="H19" s="31"/>
      <c r="I19" s="18" t="s">
        <v>9</v>
      </c>
      <c r="J19" s="17">
        <f>'2. Score calculation'!F43</f>
        <v>1</v>
      </c>
      <c r="K19" s="19">
        <f>'2. Score calculation'!G43</f>
        <v>3.3978364324130048</v>
      </c>
      <c r="L19" s="19">
        <f>'2. Score calculation'!H43</f>
        <v>0.91849663222215072</v>
      </c>
      <c r="M19" s="19">
        <f>'2. Score calculation'!I43</f>
        <v>4.4058761563270403</v>
      </c>
      <c r="N19" s="17">
        <f>'2. Score calculation'!J43</f>
        <v>0</v>
      </c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</row>
    <row r="20" spans="1:26" x14ac:dyDescent="0.3">
      <c r="A20" s="30"/>
      <c r="B20" s="17" t="s">
        <v>10</v>
      </c>
      <c r="C20" s="17">
        <f>'2. Score calculation'!F13</f>
        <v>1</v>
      </c>
      <c r="D20" s="19">
        <f>'2. Score calculation'!G13</f>
        <v>4.0644579892269181</v>
      </c>
      <c r="E20" s="19">
        <f>'2. Score calculation'!H13</f>
        <v>2.331062075555165</v>
      </c>
      <c r="F20" s="19">
        <f>'2. Score calculation'!I13</f>
        <v>4.9254482422686801</v>
      </c>
      <c r="G20" s="17">
        <f>'2. Score calculation'!J13</f>
        <v>0</v>
      </c>
      <c r="H20" s="31"/>
      <c r="I20" s="17" t="s">
        <v>10</v>
      </c>
      <c r="J20" s="17">
        <f>'2. Score calculation'!F44</f>
        <v>1</v>
      </c>
      <c r="K20" s="19">
        <f>'2. Score calculation'!G44</f>
        <v>4.0644579892269181</v>
      </c>
      <c r="L20" s="19">
        <f>'2. Score calculation'!H44</f>
        <v>0.94578069027377998</v>
      </c>
      <c r="M20" s="19">
        <f>'2. Score calculation'!I44</f>
        <v>3.5128257770146409</v>
      </c>
      <c r="N20" s="17">
        <f>'2. Score calculation'!J44</f>
        <v>0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</row>
    <row r="21" spans="1:26" x14ac:dyDescent="0.3">
      <c r="A21" s="30"/>
      <c r="B21" s="17" t="s">
        <v>128</v>
      </c>
      <c r="C21" s="17">
        <f>'2. Score calculation'!F14</f>
        <v>1</v>
      </c>
      <c r="D21" s="19">
        <f>'2. Score calculation'!G14</f>
        <v>5.053566572004792</v>
      </c>
      <c r="E21" s="19">
        <f>'2. Score calculation'!H14</f>
        <v>1.1404825118319288</v>
      </c>
      <c r="F21" s="19">
        <f>'2. Score calculation'!I14</f>
        <v>1.4082881218977299</v>
      </c>
      <c r="G21" s="17">
        <f>'2. Score calculation'!J14</f>
        <v>0</v>
      </c>
      <c r="H21" s="31"/>
      <c r="I21" s="17" t="s">
        <v>128</v>
      </c>
      <c r="J21" s="17">
        <f>'2. Score calculation'!F45</f>
        <v>1</v>
      </c>
      <c r="K21" s="19">
        <f>'2. Score calculation'!G45</f>
        <v>5.053566572004792</v>
      </c>
      <c r="L21" s="19">
        <f>'2. Score calculation'!H45</f>
        <v>0.43864711993535727</v>
      </c>
      <c r="M21" s="19">
        <f>'2. Score calculation'!I45</f>
        <v>0.69260071568740622</v>
      </c>
      <c r="N21" s="17">
        <f>'2. Score calculation'!J45</f>
        <v>0</v>
      </c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</row>
    <row r="22" spans="1:26" x14ac:dyDescent="0.3">
      <c r="A22" s="30"/>
      <c r="B22" s="17" t="s">
        <v>12</v>
      </c>
      <c r="C22" s="17">
        <f>'2. Score calculation'!F15</f>
        <v>3</v>
      </c>
      <c r="D22" s="19">
        <f>'2. Score calculation'!G15</f>
        <v>2.4234327044026847</v>
      </c>
      <c r="E22" s="19">
        <f>'2. Score calculation'!H15</f>
        <v>0.68533842725810246</v>
      </c>
      <c r="F22" s="19">
        <f>'2. Score calculation'!I15</f>
        <v>0.55966136566754199</v>
      </c>
      <c r="G22" s="17">
        <f>'2. Score calculation'!J15</f>
        <v>0</v>
      </c>
      <c r="H22" s="31"/>
      <c r="I22" s="17" t="s">
        <v>12</v>
      </c>
      <c r="J22" s="17">
        <f>'2. Score calculation'!F46</f>
        <v>3</v>
      </c>
      <c r="K22" s="19">
        <f>'2. Score calculation'!G46</f>
        <v>2.4234327044026847</v>
      </c>
      <c r="L22" s="19">
        <f>'2. Score calculation'!H46</f>
        <v>0.270661029904399</v>
      </c>
      <c r="M22" s="19">
        <f>'2. Score calculation'!I46</f>
        <v>0.13679954599764715</v>
      </c>
      <c r="N22" s="17">
        <f>'2. Score calculation'!J46</f>
        <v>0</v>
      </c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</row>
    <row r="23" spans="1:26" x14ac:dyDescent="0.3">
      <c r="A23" s="30"/>
      <c r="B23" s="17" t="s">
        <v>13</v>
      </c>
      <c r="C23" s="17">
        <f>'2. Score calculation'!F16</f>
        <v>3</v>
      </c>
      <c r="D23" s="19">
        <f>'2. Score calculation'!G16</f>
        <v>2.5089148786372051</v>
      </c>
      <c r="E23" s="19">
        <f>'2. Score calculation'!H16</f>
        <v>0.90104434075398288</v>
      </c>
      <c r="F23" s="19">
        <f>'2. Score calculation'!I16</f>
        <v>0.94990923569546537</v>
      </c>
      <c r="G23" s="17">
        <f>'2. Score calculation'!J16</f>
        <v>1</v>
      </c>
      <c r="H23" s="31"/>
      <c r="I23" s="17" t="s">
        <v>13</v>
      </c>
      <c r="J23" s="17">
        <f>'2. Score calculation'!F47</f>
        <v>3</v>
      </c>
      <c r="K23" s="19">
        <f>'2. Score calculation'!G47</f>
        <v>2.5089148786372051</v>
      </c>
      <c r="L23" s="19">
        <f>'2. Score calculation'!H47</f>
        <v>0.35056901255117623</v>
      </c>
      <c r="M23" s="19">
        <f>'2. Score calculation'!I47</f>
        <v>0.38856926285707694</v>
      </c>
      <c r="N23" s="17">
        <f>'2. Score calculation'!J47</f>
        <v>1</v>
      </c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</row>
    <row r="24" spans="1:26" x14ac:dyDescent="0.3">
      <c r="A24" s="30"/>
      <c r="B24" s="18" t="s">
        <v>129</v>
      </c>
      <c r="C24" s="17">
        <f>'2. Score calculation'!F17</f>
        <v>4</v>
      </c>
      <c r="D24" s="19">
        <f>'2. Score calculation'!G17</f>
        <v>2.2257242788008007</v>
      </c>
      <c r="E24" s="19">
        <f>'2. Score calculation'!H17</f>
        <v>1.5253975605990426</v>
      </c>
      <c r="F24" s="19">
        <f>'2. Score calculation'!I17</f>
        <v>1.8839718928687423</v>
      </c>
      <c r="G24" s="17">
        <f>'2. Score calculation'!J17</f>
        <v>0</v>
      </c>
      <c r="H24" s="31"/>
      <c r="I24" s="18" t="s">
        <v>129</v>
      </c>
      <c r="J24" s="17">
        <f>'2. Score calculation'!F48</f>
        <v>4</v>
      </c>
      <c r="K24" s="19">
        <f>'2. Score calculation'!G48</f>
        <v>2.2257242788008007</v>
      </c>
      <c r="L24" s="19">
        <f>'2. Score calculation'!H48</f>
        <v>0.58669136946117029</v>
      </c>
      <c r="M24" s="19">
        <f>'2. Score calculation'!I48</f>
        <v>0.92673860585314882</v>
      </c>
      <c r="N24" s="17">
        <f>'2. Score calculation'!J48</f>
        <v>0</v>
      </c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</row>
    <row r="25" spans="1:26" x14ac:dyDescent="0.3">
      <c r="A25" s="30"/>
      <c r="B25" s="17" t="s">
        <v>15</v>
      </c>
      <c r="C25" s="17">
        <f>'2. Score calculation'!F18</f>
        <v>1</v>
      </c>
      <c r="D25" s="19">
        <f>'2. Score calculation'!G18</f>
        <v>2.6419185158158522</v>
      </c>
      <c r="E25" s="19">
        <f>'2. Score calculation'!H18</f>
        <v>1.8872350024088931</v>
      </c>
      <c r="F25" s="19">
        <f>'2. Score calculation'!I18</f>
        <v>3.5142672127464181</v>
      </c>
      <c r="G25" s="17">
        <f>'2. Score calculation'!J18</f>
        <v>0</v>
      </c>
      <c r="H25" s="31"/>
      <c r="I25" s="17" t="s">
        <v>15</v>
      </c>
      <c r="J25" s="17">
        <f>'2. Score calculation'!F49</f>
        <v>1</v>
      </c>
      <c r="K25" s="19">
        <f>'2. Score calculation'!G49</f>
        <v>2.6419185158158522</v>
      </c>
      <c r="L25" s="19">
        <f>'2. Score calculation'!H49</f>
        <v>0.78318561072558079</v>
      </c>
      <c r="M25" s="19">
        <f>'2. Score calculation'!I49</f>
        <v>2.3884273725430405</v>
      </c>
      <c r="N25" s="17">
        <f>'2. Score calculation'!J49</f>
        <v>0</v>
      </c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</row>
    <row r="26" spans="1:26" x14ac:dyDescent="0.3">
      <c r="A26" s="30"/>
      <c r="B26" s="17" t="s">
        <v>135</v>
      </c>
      <c r="C26" s="17">
        <f>'2. Score calculation'!F19</f>
        <v>1</v>
      </c>
      <c r="D26" s="19">
        <f>'2. Score calculation'!G19</f>
        <v>1.9718070804268304</v>
      </c>
      <c r="E26" s="19">
        <f>'2. Score calculation'!H19</f>
        <v>1.1544520120445221</v>
      </c>
      <c r="F26" s="19">
        <f>'2. Score calculation'!I19</f>
        <v>2.5565253430515913</v>
      </c>
      <c r="G26" s="17">
        <f>'2. Score calculation'!J19</f>
        <v>1</v>
      </c>
      <c r="H26" s="31"/>
      <c r="I26" s="17" t="s">
        <v>135</v>
      </c>
      <c r="J26" s="17">
        <f>'2. Score calculation'!F50</f>
        <v>1</v>
      </c>
      <c r="K26" s="19">
        <f>'2. Score calculation'!G50</f>
        <v>1.9718070804268304</v>
      </c>
      <c r="L26" s="19">
        <f>'2. Score calculation'!H50</f>
        <v>0.49878502185795903</v>
      </c>
      <c r="M26" s="19">
        <f>'2. Score calculation'!I50</f>
        <v>1.8879175570060831</v>
      </c>
      <c r="N26" s="17">
        <f>'2. Score calculation'!J50</f>
        <v>1</v>
      </c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</row>
    <row r="27" spans="1:26" x14ac:dyDescent="0.3">
      <c r="A27" s="30"/>
      <c r="B27" s="17" t="s">
        <v>17</v>
      </c>
      <c r="C27" s="17">
        <f>'2. Score calculation'!F20</f>
        <v>1</v>
      </c>
      <c r="D27" s="19">
        <f>'2. Score calculation'!G20</f>
        <v>3.6214100944626124</v>
      </c>
      <c r="E27" s="19">
        <f>'2. Score calculation'!H20</f>
        <v>2.1907839450772859</v>
      </c>
      <c r="F27" s="19">
        <f>'2. Score calculation'!I20</f>
        <v>5.8444898073272604</v>
      </c>
      <c r="G27" s="17">
        <f>'2. Score calculation'!J20</f>
        <v>0</v>
      </c>
      <c r="H27" s="31"/>
      <c r="I27" s="17" t="s">
        <v>17</v>
      </c>
      <c r="J27" s="17">
        <f>'2. Score calculation'!F51</f>
        <v>1</v>
      </c>
      <c r="K27" s="19">
        <f>'2. Score calculation'!G51</f>
        <v>3.6214100944626124</v>
      </c>
      <c r="L27" s="19">
        <f>'2. Score calculation'!H51</f>
        <v>0.95325086956334315</v>
      </c>
      <c r="M27" s="19">
        <f>'2. Score calculation'!I51</f>
        <v>4.5825317369018581</v>
      </c>
      <c r="N27" s="17">
        <f>'2. Score calculation'!J51</f>
        <v>0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</row>
    <row r="28" spans="1:26" x14ac:dyDescent="0.3">
      <c r="A28" s="30"/>
      <c r="B28" s="18" t="s">
        <v>18</v>
      </c>
      <c r="C28" s="17">
        <f>'2. Score calculation'!F21</f>
        <v>1</v>
      </c>
      <c r="D28" s="19">
        <f>'2. Score calculation'!G21</f>
        <v>4.5005619384412956</v>
      </c>
      <c r="E28" s="19">
        <f>'2. Score calculation'!H21</f>
        <v>1.2704501698662387</v>
      </c>
      <c r="F28" s="19">
        <f>'2. Score calculation'!I21</f>
        <v>3.3203467063463661</v>
      </c>
      <c r="G28" s="17">
        <f>'2. Score calculation'!J21</f>
        <v>0</v>
      </c>
      <c r="H28" s="31"/>
      <c r="I28" s="18" t="s">
        <v>18</v>
      </c>
      <c r="J28" s="17">
        <f>'2. Score calculation'!F52</f>
        <v>1</v>
      </c>
      <c r="K28" s="19">
        <f>'2. Score calculation'!G52</f>
        <v>4.5005619384412956</v>
      </c>
      <c r="L28" s="19">
        <f>'2. Score calculation'!H52</f>
        <v>0.57224162599853068</v>
      </c>
      <c r="M28" s="19">
        <f>'2. Score calculation'!I52</f>
        <v>2.6083577306917953</v>
      </c>
      <c r="N28" s="17">
        <f>'2. Score calculation'!J52</f>
        <v>0</v>
      </c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</row>
    <row r="29" spans="1:26" x14ac:dyDescent="0.3">
      <c r="A29" s="30"/>
      <c r="B29" s="17" t="s">
        <v>19</v>
      </c>
      <c r="C29" s="17">
        <f>'2. Score calculation'!F22</f>
        <v>1</v>
      </c>
      <c r="D29" s="19">
        <f>'2. Score calculation'!G22</f>
        <v>1.7616783312286095</v>
      </c>
      <c r="E29" s="19">
        <f>'2. Score calculation'!H22</f>
        <v>2.4187550751072751</v>
      </c>
      <c r="F29" s="19">
        <f>'2. Score calculation'!I22</f>
        <v>4.7094771442139711</v>
      </c>
      <c r="G29" s="17">
        <f>'2. Score calculation'!J22</f>
        <v>0</v>
      </c>
      <c r="H29" s="31"/>
      <c r="I29" s="17" t="s">
        <v>19</v>
      </c>
      <c r="J29" s="17">
        <f>'2. Score calculation'!F53</f>
        <v>1</v>
      </c>
      <c r="K29" s="19">
        <f>'2. Score calculation'!G53</f>
        <v>1.7616783312286095</v>
      </c>
      <c r="L29" s="19">
        <f>'2. Score calculation'!H53</f>
        <v>0.9728573343224951</v>
      </c>
      <c r="M29" s="19">
        <f>'2. Score calculation'!I53</f>
        <v>3.2350419480189649</v>
      </c>
      <c r="N29" s="17">
        <f>'2. Score calculation'!J53</f>
        <v>0</v>
      </c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</row>
    <row r="30" spans="1:26" x14ac:dyDescent="0.3">
      <c r="A30" s="30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</row>
    <row r="31" spans="1:26" x14ac:dyDescent="0.3">
      <c r="A31" s="30"/>
      <c r="B31" s="86" t="s">
        <v>155</v>
      </c>
      <c r="C31" s="86"/>
      <c r="D31" s="86"/>
      <c r="E31" s="31"/>
      <c r="F31" s="31"/>
      <c r="G31" s="31"/>
      <c r="H31" s="31"/>
      <c r="I31" s="80" t="s">
        <v>72</v>
      </c>
      <c r="J31" s="80" t="s">
        <v>20</v>
      </c>
      <c r="K31" s="84" t="s">
        <v>75</v>
      </c>
      <c r="L31" s="84" t="s">
        <v>76</v>
      </c>
      <c r="M31" s="84" t="s">
        <v>77</v>
      </c>
      <c r="N31" s="84" t="s">
        <v>65</v>
      </c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</row>
    <row r="32" spans="1:26" x14ac:dyDescent="0.3">
      <c r="A32" s="30"/>
      <c r="B32" s="20"/>
      <c r="C32" s="20" t="s">
        <v>27</v>
      </c>
      <c r="D32" s="20" t="s">
        <v>28</v>
      </c>
      <c r="E32" s="31"/>
      <c r="F32" s="31"/>
      <c r="G32" s="31"/>
      <c r="H32" s="31"/>
      <c r="I32" s="80"/>
      <c r="J32" s="80"/>
      <c r="K32" s="84"/>
      <c r="L32" s="84"/>
      <c r="M32" s="84"/>
      <c r="N32" s="84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</row>
    <row r="33" spans="1:26" x14ac:dyDescent="0.3">
      <c r="A33" s="30"/>
      <c r="B33" s="21" t="s">
        <v>23</v>
      </c>
      <c r="C33" s="87">
        <v>3.5000000000000003E-2</v>
      </c>
      <c r="D33" s="88"/>
      <c r="E33" s="31"/>
      <c r="F33" s="31"/>
      <c r="G33" s="31"/>
      <c r="H33" s="31"/>
      <c r="I33" s="80"/>
      <c r="J33" s="23">
        <f>'2. Score calculation'!M$29</f>
        <v>4.4781642251848053E-2</v>
      </c>
      <c r="K33" s="23">
        <f>'2. Score calculation'!N$29</f>
        <v>0.2406339124413755</v>
      </c>
      <c r="L33" s="23">
        <f>'2. Score calculation'!O$29</f>
        <v>0.10240921925560835</v>
      </c>
      <c r="M33" s="23">
        <f>'2. Score calculation'!P$29</f>
        <v>0.57252178892752525</v>
      </c>
      <c r="N33" s="23">
        <f>'2. Score calculation'!Q$29</f>
        <v>3.9653437123642922E-2</v>
      </c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</row>
    <row r="34" spans="1:26" x14ac:dyDescent="0.3">
      <c r="A34" s="30"/>
      <c r="B34" s="21" t="s">
        <v>90</v>
      </c>
      <c r="C34" s="85">
        <v>0.12</v>
      </c>
      <c r="D34" s="85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3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</row>
    <row r="35" spans="1:26" x14ac:dyDescent="0.3">
      <c r="A35" s="30"/>
      <c r="B35" s="21" t="s">
        <v>24</v>
      </c>
      <c r="C35" s="76">
        <v>0.98799999999999999</v>
      </c>
      <c r="D35" s="76">
        <v>0.38</v>
      </c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3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</row>
    <row r="36" spans="1:26" x14ac:dyDescent="0.3">
      <c r="A36" s="30"/>
      <c r="B36" s="21" t="s">
        <v>25</v>
      </c>
      <c r="C36" s="85">
        <v>0.38</v>
      </c>
      <c r="D36" s="85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3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</row>
    <row r="37" spans="1:26" x14ac:dyDescent="0.3">
      <c r="A37" s="30"/>
      <c r="B37" s="21" t="s">
        <v>26</v>
      </c>
      <c r="C37" s="85">
        <v>0.72</v>
      </c>
      <c r="D37" s="85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3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</row>
    <row r="38" spans="1:26" x14ac:dyDescent="0.3">
      <c r="A38" s="30"/>
      <c r="B38" s="31"/>
      <c r="C38" s="34"/>
      <c r="D38" s="34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3"/>
      <c r="P38" s="30"/>
      <c r="Q38" s="30"/>
      <c r="R38" s="30"/>
      <c r="S38" s="30"/>
      <c r="T38" s="30"/>
      <c r="U38" s="30"/>
      <c r="V38" s="30"/>
      <c r="W38" s="30"/>
      <c r="X38" s="30"/>
      <c r="Y38" s="30"/>
      <c r="Z38" s="30"/>
    </row>
    <row r="39" spans="1:26" x14ac:dyDescent="0.3">
      <c r="A39" s="30"/>
      <c r="B39" s="80" t="s">
        <v>134</v>
      </c>
      <c r="C39" s="80"/>
      <c r="D39" s="80"/>
      <c r="E39" s="80"/>
      <c r="F39" s="80"/>
      <c r="G39" s="80"/>
      <c r="H39" s="31"/>
      <c r="I39" s="80" t="s">
        <v>133</v>
      </c>
      <c r="J39" s="80"/>
      <c r="K39" s="80"/>
      <c r="L39" s="80"/>
      <c r="M39" s="80"/>
      <c r="N39" s="8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1:26" ht="28.5" x14ac:dyDescent="0.3">
      <c r="A40" s="30"/>
      <c r="B40" s="17"/>
      <c r="C40" s="21" t="s">
        <v>20</v>
      </c>
      <c r="D40" s="22" t="s">
        <v>142</v>
      </c>
      <c r="E40" s="22" t="s">
        <v>76</v>
      </c>
      <c r="F40" s="22" t="s">
        <v>77</v>
      </c>
      <c r="G40" s="22" t="s">
        <v>65</v>
      </c>
      <c r="H40" s="31"/>
      <c r="I40" s="22" t="s">
        <v>92</v>
      </c>
      <c r="J40" s="80" t="s">
        <v>93</v>
      </c>
      <c r="K40" s="80"/>
      <c r="L40" s="80" t="s">
        <v>156</v>
      </c>
      <c r="M40" s="80"/>
      <c r="N40" s="8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1:26" x14ac:dyDescent="0.3">
      <c r="A41" s="30"/>
      <c r="B41" s="21" t="s">
        <v>20</v>
      </c>
      <c r="C41" s="27">
        <v>1</v>
      </c>
      <c r="D41" s="28">
        <f>1/6</f>
        <v>0.16666666666666666</v>
      </c>
      <c r="E41" s="28">
        <f>1/3</f>
        <v>0.33333333333333331</v>
      </c>
      <c r="F41" s="28">
        <f>1/9</f>
        <v>0.1111111111111111</v>
      </c>
      <c r="G41" s="27">
        <v>1</v>
      </c>
      <c r="H41" s="31"/>
      <c r="I41" s="21">
        <v>1</v>
      </c>
      <c r="J41" s="83" t="s">
        <v>94</v>
      </c>
      <c r="K41" s="83"/>
      <c r="L41" s="24" t="s">
        <v>99</v>
      </c>
      <c r="M41" s="24"/>
      <c r="N41" s="24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1:26" ht="16.5" customHeight="1" x14ac:dyDescent="0.3">
      <c r="A42" s="30"/>
      <c r="B42" s="22" t="s">
        <v>141</v>
      </c>
      <c r="C42" s="27">
        <v>6</v>
      </c>
      <c r="D42" s="29">
        <v>1</v>
      </c>
      <c r="E42" s="27">
        <v>4</v>
      </c>
      <c r="F42" s="28">
        <f>1/5</f>
        <v>0.2</v>
      </c>
      <c r="G42" s="27">
        <v>6</v>
      </c>
      <c r="H42" s="31"/>
      <c r="I42" s="80">
        <v>3</v>
      </c>
      <c r="J42" s="81" t="s">
        <v>95</v>
      </c>
      <c r="K42" s="81"/>
      <c r="L42" s="82" t="s">
        <v>100</v>
      </c>
      <c r="M42" s="82"/>
      <c r="N42" s="82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1:26" x14ac:dyDescent="0.3">
      <c r="A43" s="30"/>
      <c r="B43" s="22" t="s">
        <v>76</v>
      </c>
      <c r="C43" s="27">
        <v>3</v>
      </c>
      <c r="D43" s="28">
        <f>1/4</f>
        <v>0.25</v>
      </c>
      <c r="E43" s="27">
        <v>1</v>
      </c>
      <c r="F43" s="28">
        <f>1/7</f>
        <v>0.14285714285714285</v>
      </c>
      <c r="G43" s="27">
        <v>3</v>
      </c>
      <c r="H43" s="31"/>
      <c r="I43" s="80"/>
      <c r="J43" s="81"/>
      <c r="K43" s="81"/>
      <c r="L43" s="82"/>
      <c r="M43" s="82"/>
      <c r="N43" s="82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1:26" x14ac:dyDescent="0.3">
      <c r="A44" s="30"/>
      <c r="B44" s="22" t="s">
        <v>77</v>
      </c>
      <c r="C44" s="27">
        <v>9</v>
      </c>
      <c r="D44" s="29">
        <v>5</v>
      </c>
      <c r="E44" s="27">
        <v>7</v>
      </c>
      <c r="F44" s="27">
        <v>1</v>
      </c>
      <c r="G44" s="27">
        <v>9</v>
      </c>
      <c r="H44" s="31"/>
      <c r="I44" s="21">
        <v>5</v>
      </c>
      <c r="J44" s="83" t="s">
        <v>96</v>
      </c>
      <c r="K44" s="83"/>
      <c r="L44" s="82"/>
      <c r="M44" s="82"/>
      <c r="N44" s="82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1:26" ht="16.5" customHeight="1" x14ac:dyDescent="0.3">
      <c r="A45" s="30"/>
      <c r="B45" s="22" t="s">
        <v>65</v>
      </c>
      <c r="C45" s="27">
        <f>1/2</f>
        <v>0.5</v>
      </c>
      <c r="D45" s="28">
        <f>1/6</f>
        <v>0.16666666666666666</v>
      </c>
      <c r="E45" s="28">
        <f>1/3</f>
        <v>0.33333333333333331</v>
      </c>
      <c r="F45" s="28">
        <f>1/9</f>
        <v>0.1111111111111111</v>
      </c>
      <c r="G45" s="27">
        <v>1</v>
      </c>
      <c r="H45" s="31"/>
      <c r="I45" s="80">
        <v>7</v>
      </c>
      <c r="J45" s="83" t="s">
        <v>97</v>
      </c>
      <c r="K45" s="83"/>
      <c r="L45" s="82" t="s">
        <v>101</v>
      </c>
      <c r="M45" s="82"/>
      <c r="N45" s="82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1:26" x14ac:dyDescent="0.3">
      <c r="A46" s="30"/>
      <c r="B46" s="31"/>
      <c r="C46" s="31"/>
      <c r="D46" s="31"/>
      <c r="E46" s="31"/>
      <c r="F46" s="31"/>
      <c r="G46" s="31"/>
      <c r="H46" s="31"/>
      <c r="I46" s="80"/>
      <c r="J46" s="83"/>
      <c r="K46" s="83"/>
      <c r="L46" s="82"/>
      <c r="M46" s="82"/>
      <c r="N46" s="82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1:26" ht="29.25" customHeight="1" x14ac:dyDescent="0.3">
      <c r="A47" s="30"/>
      <c r="B47" s="17" t="s">
        <v>110</v>
      </c>
      <c r="C47" s="89">
        <f>'2. Database'!M59</f>
        <v>3.7010491938470134E-2</v>
      </c>
      <c r="D47" s="82" t="s">
        <v>138</v>
      </c>
      <c r="E47" s="82"/>
      <c r="F47" s="82"/>
      <c r="G47" s="82"/>
      <c r="H47" s="31"/>
      <c r="I47" s="80">
        <v>9</v>
      </c>
      <c r="J47" s="83" t="s">
        <v>98</v>
      </c>
      <c r="K47" s="83"/>
      <c r="L47" s="82" t="s">
        <v>102</v>
      </c>
      <c r="M47" s="82"/>
      <c r="N47" s="82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1:26" ht="16.5" customHeight="1" x14ac:dyDescent="0.3">
      <c r="A48" s="30"/>
      <c r="B48" s="25" t="s">
        <v>136</v>
      </c>
      <c r="C48" s="89"/>
      <c r="D48" s="82" t="s">
        <v>106</v>
      </c>
      <c r="E48" s="82"/>
      <c r="F48" s="82"/>
      <c r="G48" s="82"/>
      <c r="H48" s="31"/>
      <c r="I48" s="80"/>
      <c r="J48" s="83"/>
      <c r="K48" s="83"/>
      <c r="L48" s="82"/>
      <c r="M48" s="82"/>
      <c r="N48" s="82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1:26" ht="16.5" customHeight="1" x14ac:dyDescent="0.3">
      <c r="A49" s="30"/>
      <c r="B49" s="26" t="s">
        <v>137</v>
      </c>
      <c r="C49" s="89"/>
      <c r="D49" s="82"/>
      <c r="E49" s="82"/>
      <c r="F49" s="82"/>
      <c r="G49" s="82"/>
      <c r="H49" s="30"/>
      <c r="I49" s="80" t="s">
        <v>103</v>
      </c>
      <c r="J49" s="81" t="s">
        <v>104</v>
      </c>
      <c r="K49" s="81"/>
      <c r="L49" s="80"/>
      <c r="M49" s="80"/>
      <c r="N49" s="8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1:26" x14ac:dyDescent="0.3">
      <c r="A50" s="30"/>
      <c r="B50" s="30"/>
      <c r="C50" s="30"/>
      <c r="D50" s="30"/>
      <c r="E50" s="30"/>
      <c r="F50" s="30"/>
      <c r="G50" s="30"/>
      <c r="H50" s="30"/>
      <c r="I50" s="80"/>
      <c r="J50" s="81"/>
      <c r="K50" s="81"/>
      <c r="L50" s="80"/>
      <c r="M50" s="80"/>
      <c r="N50" s="8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1:26" ht="16.5" customHeight="1" x14ac:dyDescent="0.3">
      <c r="A51" s="30"/>
      <c r="B51" s="30"/>
      <c r="C51" s="30"/>
      <c r="D51" s="30"/>
      <c r="E51" s="30"/>
      <c r="F51" s="30"/>
      <c r="G51" s="30"/>
      <c r="H51" s="30"/>
      <c r="I51" s="30"/>
      <c r="J51" s="32"/>
      <c r="K51" s="32"/>
      <c r="L51" s="32"/>
      <c r="M51" s="32"/>
      <c r="N51" s="32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1:26" ht="16.5" customHeight="1" x14ac:dyDescent="0.3">
      <c r="A52" s="30"/>
      <c r="B52" s="30"/>
      <c r="C52" s="30"/>
      <c r="D52" s="30"/>
      <c r="E52" s="30"/>
      <c r="F52" s="30"/>
      <c r="G52" s="30"/>
      <c r="H52" s="30"/>
      <c r="I52" s="30"/>
      <c r="J52" s="32"/>
      <c r="K52" s="32"/>
      <c r="L52" s="32"/>
      <c r="M52" s="32"/>
      <c r="N52" s="32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1:26" x14ac:dyDescent="0.3">
      <c r="A53" s="30"/>
      <c r="B53" s="30"/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  <row r="54" spans="1:26" x14ac:dyDescent="0.3">
      <c r="A54" s="30"/>
      <c r="B54" s="30"/>
      <c r="C54" s="30"/>
      <c r="D54" s="30"/>
      <c r="E54" s="30"/>
      <c r="F54" s="30"/>
      <c r="G54" s="30"/>
      <c r="H54" s="30"/>
      <c r="I54" s="30"/>
      <c r="J54" s="30"/>
      <c r="K54" s="30"/>
      <c r="L54" s="30"/>
      <c r="M54" s="30"/>
      <c r="N54" s="30"/>
      <c r="O54" s="30"/>
      <c r="P54" s="30"/>
      <c r="Q54" s="30"/>
      <c r="R54" s="30"/>
      <c r="S54" s="30"/>
      <c r="T54" s="30"/>
      <c r="U54" s="30"/>
      <c r="V54" s="30"/>
      <c r="W54" s="30"/>
      <c r="X54" s="30"/>
      <c r="Y54" s="30"/>
      <c r="Z54" s="30"/>
    </row>
  </sheetData>
  <sheetProtection sheet="1" selectLockedCells="1"/>
  <mergeCells count="34">
    <mergeCell ref="J49:K50"/>
    <mergeCell ref="L49:N50"/>
    <mergeCell ref="C47:C49"/>
    <mergeCell ref="D47:G47"/>
    <mergeCell ref="D48:G49"/>
    <mergeCell ref="I42:I43"/>
    <mergeCell ref="J45:K46"/>
    <mergeCell ref="I45:I46"/>
    <mergeCell ref="L47:N48"/>
    <mergeCell ref="J47:K48"/>
    <mergeCell ref="I47:I48"/>
    <mergeCell ref="N31:N32"/>
    <mergeCell ref="I31:I33"/>
    <mergeCell ref="C37:D37"/>
    <mergeCell ref="B31:D31"/>
    <mergeCell ref="C33:D33"/>
    <mergeCell ref="C34:D34"/>
    <mergeCell ref="C36:D36"/>
    <mergeCell ref="B9:G9"/>
    <mergeCell ref="I9:N9"/>
    <mergeCell ref="I49:I50"/>
    <mergeCell ref="J42:K43"/>
    <mergeCell ref="J40:K40"/>
    <mergeCell ref="L40:N40"/>
    <mergeCell ref="L45:N46"/>
    <mergeCell ref="L42:N44"/>
    <mergeCell ref="J41:K41"/>
    <mergeCell ref="J44:K44"/>
    <mergeCell ref="I39:N39"/>
    <mergeCell ref="B39:G39"/>
    <mergeCell ref="J31:J32"/>
    <mergeCell ref="K31:K32"/>
    <mergeCell ref="L31:L32"/>
    <mergeCell ref="M31:M32"/>
  </mergeCells>
  <phoneticPr fontId="3" type="noConversion"/>
  <conditionalFormatting sqref="C47">
    <cfRule type="cellIs" dxfId="17" priority="1" operator="lessThan">
      <formula>0.1</formula>
    </cfRule>
    <cfRule type="cellIs" dxfId="16" priority="2" operator="greaterThan">
      <formula>0.1</formula>
    </cfRule>
  </conditionalFormatting>
  <pageMargins left="0.7" right="0.7" top="0.75" bottom="0.75" header="0.3" footer="0.3"/>
  <ignoredErrors>
    <ignoredError sqref="D41:F42 C45:F45 D43:E43" unlockedFormula="1"/>
  </ignoredError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2457-3670-455A-9229-CBA2324AEB3D}">
  <dimension ref="B1:AX57"/>
  <sheetViews>
    <sheetView topLeftCell="A43" zoomScale="70" zoomScaleNormal="70" workbookViewId="0">
      <selection activeCell="E61" sqref="E61:M86"/>
    </sheetView>
  </sheetViews>
  <sheetFormatPr defaultRowHeight="16.5" x14ac:dyDescent="0.3"/>
  <cols>
    <col min="3" max="3" width="68.125" bestFit="1" customWidth="1"/>
    <col min="6" max="6" width="9.5" bestFit="1" customWidth="1"/>
    <col min="42" max="42" width="24.125" customWidth="1"/>
    <col min="47" max="47" width="25.625" customWidth="1"/>
  </cols>
  <sheetData>
    <row r="1" spans="2:50" x14ac:dyDescent="0.3">
      <c r="E1" s="90" t="s">
        <v>27</v>
      </c>
      <c r="F1" s="90"/>
    </row>
    <row r="2" spans="2:50" x14ac:dyDescent="0.3">
      <c r="B2" s="91" t="s">
        <v>31</v>
      </c>
      <c r="C2" s="91"/>
      <c r="E2" s="7" t="s">
        <v>79</v>
      </c>
      <c r="L2" t="s">
        <v>78</v>
      </c>
      <c r="S2" t="s">
        <v>84</v>
      </c>
      <c r="Z2" t="s">
        <v>87</v>
      </c>
      <c r="AH2" t="s">
        <v>88</v>
      </c>
      <c r="AP2" t="s">
        <v>89</v>
      </c>
      <c r="AX2" s="5"/>
    </row>
    <row r="3" spans="2:50" x14ac:dyDescent="0.3">
      <c r="B3" t="s">
        <v>32</v>
      </c>
      <c r="C3" t="s">
        <v>20</v>
      </c>
      <c r="E3" t="s">
        <v>31</v>
      </c>
      <c r="F3" t="s">
        <v>32</v>
      </c>
      <c r="G3" s="4" t="s">
        <v>33</v>
      </c>
      <c r="H3" s="4" t="s">
        <v>34</v>
      </c>
      <c r="I3" t="s">
        <v>35</v>
      </c>
      <c r="J3" t="s">
        <v>36</v>
      </c>
      <c r="L3" t="s">
        <v>31</v>
      </c>
      <c r="M3" t="s">
        <v>32</v>
      </c>
      <c r="N3" s="4" t="s">
        <v>33</v>
      </c>
      <c r="O3" s="4" t="s">
        <v>34</v>
      </c>
      <c r="P3" t="s">
        <v>35</v>
      </c>
      <c r="Q3" t="s">
        <v>36</v>
      </c>
      <c r="R3" s="5"/>
      <c r="S3" s="5" t="s">
        <v>31</v>
      </c>
      <c r="T3" s="5" t="s">
        <v>32</v>
      </c>
      <c r="U3" s="5" t="s">
        <v>33</v>
      </c>
      <c r="V3" s="5" t="s">
        <v>34</v>
      </c>
      <c r="W3" s="5" t="s">
        <v>35</v>
      </c>
      <c r="X3" s="5" t="s">
        <v>36</v>
      </c>
      <c r="Y3" s="6"/>
      <c r="Z3" s="5" t="s">
        <v>31</v>
      </c>
      <c r="AA3" s="5" t="s">
        <v>32</v>
      </c>
      <c r="AB3" s="5" t="s">
        <v>33</v>
      </c>
      <c r="AC3" s="5" t="s">
        <v>34</v>
      </c>
      <c r="AD3" s="5" t="s">
        <v>35</v>
      </c>
      <c r="AE3" s="5" t="s">
        <v>36</v>
      </c>
      <c r="AF3" s="5" t="s">
        <v>29</v>
      </c>
      <c r="AH3" s="5" t="s">
        <v>31</v>
      </c>
      <c r="AI3" s="5" t="s">
        <v>32</v>
      </c>
      <c r="AJ3" s="5" t="s">
        <v>33</v>
      </c>
      <c r="AK3" s="5" t="s">
        <v>34</v>
      </c>
      <c r="AL3" s="5" t="s">
        <v>35</v>
      </c>
      <c r="AM3" s="5" t="s">
        <v>36</v>
      </c>
      <c r="AN3" s="5" t="s">
        <v>30</v>
      </c>
      <c r="AO3" s="5"/>
      <c r="AP3" s="5" t="s">
        <v>31</v>
      </c>
      <c r="AQ3" s="5" t="s">
        <v>37</v>
      </c>
      <c r="AR3" s="5" t="s">
        <v>82</v>
      </c>
      <c r="AS3" s="5" t="s">
        <v>38</v>
      </c>
      <c r="AU3" s="5" t="s">
        <v>0</v>
      </c>
      <c r="AV3" s="5" t="s">
        <v>37</v>
      </c>
      <c r="AW3" s="5" t="s">
        <v>126</v>
      </c>
    </row>
    <row r="4" spans="2:50" x14ac:dyDescent="0.3">
      <c r="B4" t="s">
        <v>33</v>
      </c>
      <c r="C4" t="s">
        <v>75</v>
      </c>
      <c r="E4" t="s">
        <v>39</v>
      </c>
      <c r="F4">
        <f>'2. Database'!O11</f>
        <v>3</v>
      </c>
      <c r="G4" s="8">
        <f>LOG('2. Database'!M11)</f>
        <v>4.7518152835453034</v>
      </c>
      <c r="H4" s="4">
        <f>'2. Database'!I11</f>
        <v>0.57689388188856838</v>
      </c>
      <c r="I4" s="8">
        <f>'2. Database'!G11</f>
        <v>1.59987445073112</v>
      </c>
      <c r="J4" s="15">
        <f>'2. Database'!P11</f>
        <v>1</v>
      </c>
      <c r="K4" s="8"/>
      <c r="L4" s="9" t="s">
        <v>39</v>
      </c>
      <c r="M4" s="8">
        <f>'2. Score calculation'!F4/'2. Score calculation'!F$23</f>
        <v>0.28347335475692043</v>
      </c>
      <c r="N4" s="8">
        <f>'2. Score calculation'!G4/'2. Score calculation'!G$23</f>
        <v>0.31248660919816823</v>
      </c>
      <c r="O4" s="8">
        <f>'2. Score calculation'!H4/'2. Score calculation'!H$23</f>
        <v>7.0357349614380671E-2</v>
      </c>
      <c r="P4" s="8">
        <f>'2. Score calculation'!I4/'2. Score calculation'!I$23</f>
        <v>9.6977528429133431E-2</v>
      </c>
      <c r="Q4" s="8">
        <f>'2. Score calculation'!J4/'2. Score calculation'!J$23</f>
        <v>0.40824829046386307</v>
      </c>
      <c r="R4" s="5"/>
      <c r="S4" s="11" t="s">
        <v>39</v>
      </c>
      <c r="T4" s="12">
        <f t="shared" ref="T4:T22" si="0">M4*M$29</f>
        <v>1.269440236065562E-2</v>
      </c>
      <c r="U4" s="12">
        <f t="shared" ref="U4:U22" si="1">N4*N$29</f>
        <v>7.5194875356894342E-2</v>
      </c>
      <c r="V4" s="12">
        <f t="shared" ref="V4:V22" si="2">O4*O$29</f>
        <v>7.2052412429026019E-3</v>
      </c>
      <c r="W4" s="12">
        <f t="shared" ref="W4:W22" si="3">P4*P$29</f>
        <v>5.5521748062017408E-2</v>
      </c>
      <c r="X4" s="12">
        <f t="shared" ref="X4:X22" si="4">Q4*Q$29</f>
        <v>1.6188447916743506E-2</v>
      </c>
      <c r="Y4" s="13"/>
      <c r="Z4" s="13" t="s">
        <v>39</v>
      </c>
      <c r="AA4" s="12">
        <f>(T4-T$23)^2</f>
        <v>7.162126724187507E-5</v>
      </c>
      <c r="AB4" s="12">
        <f t="shared" ref="AB4:AE4" si="5">(U4-U$23)^2</f>
        <v>2.2801092362763519E-5</v>
      </c>
      <c r="AC4" s="12">
        <f t="shared" si="5"/>
        <v>0</v>
      </c>
      <c r="AD4" s="12">
        <f t="shared" si="5"/>
        <v>1.303164022018153E-3</v>
      </c>
      <c r="AE4" s="12">
        <f t="shared" si="5"/>
        <v>0</v>
      </c>
      <c r="AF4" s="12">
        <f>SQRT(SUM(AA4:AE4))</f>
        <v>3.7384306622201671E-2</v>
      </c>
      <c r="AG4" s="13"/>
      <c r="AH4" s="13" t="s">
        <v>39</v>
      </c>
      <c r="AI4" s="12">
        <f>(T4-T$24)^2</f>
        <v>7.1621267241875125E-5</v>
      </c>
      <c r="AJ4" s="12">
        <f t="shared" ref="AJ4:AM4" si="6">(U4-U$24)^2</f>
        <v>2.2389250094953014E-3</v>
      </c>
      <c r="AK4" s="12">
        <f t="shared" si="6"/>
        <v>1.6059126686276393E-3</v>
      </c>
      <c r="AL4" s="12">
        <f t="shared" si="6"/>
        <v>2.6600317281015754E-2</v>
      </c>
      <c r="AM4" s="12">
        <f t="shared" si="6"/>
        <v>2.6206584595311715E-4</v>
      </c>
      <c r="AN4" s="12">
        <f t="shared" ref="AN4:AN22" si="7">SQRT(SUM(AI4:AM4))</f>
        <v>0.17543899815130526</v>
      </c>
      <c r="AO4" s="13"/>
      <c r="AP4" t="s">
        <v>1</v>
      </c>
      <c r="AQ4" s="12">
        <f>AF4+AN4</f>
        <v>0.21282330477350692</v>
      </c>
      <c r="AR4" s="12">
        <f>AN4/AQ4</f>
        <v>0.82434110464553123</v>
      </c>
      <c r="AS4" s="11">
        <f>_xlfn.RANK.EQ(AR4,$AR$4:$AR$22)</f>
        <v>2</v>
      </c>
      <c r="AU4" t="str">
        <f t="array" ref="AU4:AW22">_xlfn._xlws.SORT(AP4:AR22,3,-1)</f>
        <v>PDC</v>
      </c>
      <c r="AV4">
        <v>0.21888613743285926</v>
      </c>
      <c r="AW4" s="4">
        <v>0.82510990076151935</v>
      </c>
    </row>
    <row r="5" spans="2:50" x14ac:dyDescent="0.3">
      <c r="B5" t="s">
        <v>68</v>
      </c>
      <c r="C5" t="s">
        <v>76</v>
      </c>
      <c r="E5" t="s">
        <v>40</v>
      </c>
      <c r="F5">
        <f>'2. Database'!O12</f>
        <v>2</v>
      </c>
      <c r="G5" s="8">
        <f>LOG('2. Database'!M12)</f>
        <v>4.2582676869478995</v>
      </c>
      <c r="H5" s="4">
        <f>'2. Database'!I12</f>
        <v>1.325731572310946</v>
      </c>
      <c r="I5" s="8">
        <f>'2. Database'!G12</f>
        <v>3.2456892678421054</v>
      </c>
      <c r="J5" s="15">
        <f>'2. Database'!P12</f>
        <v>0</v>
      </c>
      <c r="K5" s="8"/>
      <c r="L5" s="9" t="s">
        <v>40</v>
      </c>
      <c r="M5" s="8">
        <f>'2. Score calculation'!F5/'2. Score calculation'!F$23</f>
        <v>0.1889822365046136</v>
      </c>
      <c r="N5" s="8">
        <f>'2. Score calculation'!G5/'2. Score calculation'!G$23</f>
        <v>0.28003016766251154</v>
      </c>
      <c r="O5" s="8">
        <f>'2. Score calculation'!H5/'2. Score calculation'!H$23</f>
        <v>0.16168477887571117</v>
      </c>
      <c r="P5" s="8">
        <f>'2. Score calculation'!I5/'2. Score calculation'!I$23</f>
        <v>0.19673976486120562</v>
      </c>
      <c r="Q5" s="8">
        <f>'2. Score calculation'!J5/'2. Score calculation'!J$23</f>
        <v>0</v>
      </c>
      <c r="R5" s="5"/>
      <c r="S5" s="11" t="s">
        <v>40</v>
      </c>
      <c r="T5" s="12">
        <f t="shared" si="0"/>
        <v>8.4629349071037464E-3</v>
      </c>
      <c r="U5" s="12">
        <f t="shared" si="1"/>
        <v>6.7384754846244496E-2</v>
      </c>
      <c r="V5" s="12">
        <f t="shared" si="2"/>
        <v>1.6558011970177259E-2</v>
      </c>
      <c r="W5" s="12">
        <f t="shared" si="3"/>
        <v>0.11263780213151811</v>
      </c>
      <c r="X5" s="12">
        <f t="shared" si="4"/>
        <v>0</v>
      </c>
      <c r="Y5" s="13"/>
      <c r="Z5" s="13" t="s">
        <v>40</v>
      </c>
      <c r="AA5" s="12">
        <f t="shared" ref="AA5:AA22" si="8">(T5-T$23)^2</f>
        <v>1.6114785129421895E-4</v>
      </c>
      <c r="AB5" s="12">
        <f t="shared" ref="AB5:AB22" si="9">(U5-U$23)^2</f>
        <v>1.5838649005773571E-4</v>
      </c>
      <c r="AC5" s="12">
        <f t="shared" ref="AC5:AC22" si="10">(V5-V$23)^2</f>
        <v>8.7474320276965711E-5</v>
      </c>
      <c r="AD5" s="12">
        <f t="shared" ref="AD5:AD22" si="11">(W5-W$23)^2</f>
        <v>8.689114013041413E-3</v>
      </c>
      <c r="AE5" s="12">
        <f t="shared" ref="AE5:AE22" si="12">(X5-X$23)^2</f>
        <v>2.6206584595311715E-4</v>
      </c>
      <c r="AF5" s="12">
        <f t="shared" ref="AF5:AF22" si="13">SQRT(SUM(AA5:AE5))</f>
        <v>9.6737730594755267E-2</v>
      </c>
      <c r="AG5" s="13"/>
      <c r="AH5" s="13" t="s">
        <v>40</v>
      </c>
      <c r="AI5" s="12">
        <f t="shared" ref="AI5:AI22" si="14">(T5-T$24)^2</f>
        <v>1.7905316810468774E-5</v>
      </c>
      <c r="AJ5" s="12">
        <f t="shared" ref="AJ5:AJ22" si="15">(U5-U$24)^2</f>
        <v>1.5608156700345223E-3</v>
      </c>
      <c r="AK5" s="12">
        <f t="shared" ref="AK5:AK22" si="16">(V5-V$24)^2</f>
        <v>9.4378410974158889E-4</v>
      </c>
      <c r="AL5" s="12">
        <f t="shared" ref="AL5:AL22" si="17">(W5-W$24)^2</f>
        <v>1.1231756779291484E-2</v>
      </c>
      <c r="AM5" s="12">
        <f t="shared" ref="AM5:AM22" si="18">(X5-X$24)^2</f>
        <v>0</v>
      </c>
      <c r="AN5" s="12">
        <f t="shared" si="7"/>
        <v>0.11727856528743036</v>
      </c>
      <c r="AO5" s="13"/>
      <c r="AP5" t="s">
        <v>2</v>
      </c>
      <c r="AQ5" s="12">
        <f t="shared" ref="AQ5:AQ22" si="19">AF5+AN5</f>
        <v>0.21401629588218563</v>
      </c>
      <c r="AR5" s="12">
        <f t="shared" ref="AR5:AR22" si="20">AN5/AQ5</f>
        <v>0.54798895011243132</v>
      </c>
      <c r="AS5" s="11">
        <f t="shared" ref="AS5:AS22" si="21">_xlfn.RANK.EQ(AR5,$AR$4:$AR$22)</f>
        <v>9</v>
      </c>
      <c r="AU5" t="str">
        <v>Ethylene glycol</v>
      </c>
      <c r="AV5">
        <v>0.21282330477350692</v>
      </c>
      <c r="AW5" s="4">
        <v>0.82434110464553123</v>
      </c>
    </row>
    <row r="6" spans="2:50" x14ac:dyDescent="0.3">
      <c r="B6" t="s">
        <v>69</v>
      </c>
      <c r="C6" t="s">
        <v>77</v>
      </c>
      <c r="E6" t="s">
        <v>41</v>
      </c>
      <c r="F6">
        <f>'2. Database'!O13</f>
        <v>1</v>
      </c>
      <c r="G6" s="8">
        <f>LOG('2. Database'!M13)</f>
        <v>2.6208230949891842</v>
      </c>
      <c r="H6" s="4">
        <f>'2. Database'!I13</f>
        <v>2.1384021384021383</v>
      </c>
      <c r="I6" s="8">
        <f>'2. Database'!G13</f>
        <v>4.7383049150608851</v>
      </c>
      <c r="J6" s="15">
        <f>'2. Database'!P13</f>
        <v>0</v>
      </c>
      <c r="K6" s="8"/>
      <c r="L6" s="9" t="s">
        <v>41</v>
      </c>
      <c r="M6" s="8">
        <f>'2. Score calculation'!F6/'2. Score calculation'!F$23</f>
        <v>9.4491118252306799E-2</v>
      </c>
      <c r="N6" s="8">
        <f>'2. Score calculation'!G6/'2. Score calculation'!G$23</f>
        <v>0.17234931776438675</v>
      </c>
      <c r="O6" s="8">
        <f>'2. Score calculation'!H6/'2. Score calculation'!H$23</f>
        <v>0.26079719614145525</v>
      </c>
      <c r="P6" s="8">
        <f>'2. Score calculation'!I6/'2. Score calculation'!I$23</f>
        <v>0.28721572458153233</v>
      </c>
      <c r="Q6" s="8">
        <f>'2. Score calculation'!J6/'2. Score calculation'!J$23</f>
        <v>0</v>
      </c>
      <c r="R6" s="5"/>
      <c r="S6" s="11" t="s">
        <v>41</v>
      </c>
      <c r="T6" s="12">
        <f t="shared" si="0"/>
        <v>4.2314674535518732E-3</v>
      </c>
      <c r="U6" s="12">
        <f t="shared" si="1"/>
        <v>4.1473090640246242E-2</v>
      </c>
      <c r="V6" s="12">
        <f t="shared" si="2"/>
        <v>2.6708037240898187E-2</v>
      </c>
      <c r="W6" s="12">
        <f t="shared" si="3"/>
        <v>0.16443726044553428</v>
      </c>
      <c r="X6" s="12">
        <f t="shared" si="4"/>
        <v>0</v>
      </c>
      <c r="Y6" s="13"/>
      <c r="Z6" s="13" t="s">
        <v>41</v>
      </c>
      <c r="AA6" s="12">
        <f t="shared" si="8"/>
        <v>2.8648506896750039E-4</v>
      </c>
      <c r="AB6" s="12">
        <f t="shared" si="9"/>
        <v>1.4820062014535486E-3</v>
      </c>
      <c r="AC6" s="12">
        <f t="shared" si="10"/>
        <v>3.803590517394326E-4</v>
      </c>
      <c r="AD6" s="12">
        <f t="shared" si="11"/>
        <v>2.1029314134769023E-2</v>
      </c>
      <c r="AE6" s="12">
        <f t="shared" si="12"/>
        <v>2.6206584595311715E-4</v>
      </c>
      <c r="AF6" s="12">
        <f t="shared" si="13"/>
        <v>0.15310202579614229</v>
      </c>
      <c r="AG6" s="13"/>
      <c r="AH6" s="13" t="s">
        <v>41</v>
      </c>
      <c r="AI6" s="12">
        <f t="shared" si="14"/>
        <v>0</v>
      </c>
      <c r="AJ6" s="12">
        <f t="shared" si="15"/>
        <v>1.8483749857852393E-4</v>
      </c>
      <c r="AK6" s="12">
        <f t="shared" si="16"/>
        <v>4.2316785969043658E-4</v>
      </c>
      <c r="AL6" s="12">
        <f t="shared" si="17"/>
        <v>2.9355292463587629E-3</v>
      </c>
      <c r="AM6" s="12">
        <f t="shared" si="18"/>
        <v>0</v>
      </c>
      <c r="AN6" s="12">
        <f t="shared" si="7"/>
        <v>5.9527595320386692E-2</v>
      </c>
      <c r="AO6" s="13"/>
      <c r="AP6" t="s">
        <v>3</v>
      </c>
      <c r="AQ6" s="12">
        <f t="shared" si="19"/>
        <v>0.212629621116529</v>
      </c>
      <c r="AR6" s="12">
        <f t="shared" si="20"/>
        <v>0.27995909040238254</v>
      </c>
      <c r="AS6" s="11">
        <f t="shared" si="21"/>
        <v>15</v>
      </c>
      <c r="AU6" t="str">
        <v>Malic acid</v>
      </c>
      <c r="AV6">
        <v>0.24884268167415188</v>
      </c>
      <c r="AW6" s="4">
        <v>0.81726258783342276</v>
      </c>
    </row>
    <row r="7" spans="2:50" x14ac:dyDescent="0.3">
      <c r="B7" t="s">
        <v>36</v>
      </c>
      <c r="C7" t="s">
        <v>65</v>
      </c>
      <c r="E7" t="s">
        <v>42</v>
      </c>
      <c r="F7">
        <f>'2. Database'!O14</f>
        <v>5</v>
      </c>
      <c r="G7" s="8">
        <f>LOG('2. Database'!M14)</f>
        <v>3.4455830194541708</v>
      </c>
      <c r="H7" s="4">
        <f>'2. Database'!I14</f>
        <v>3.7854406130268199</v>
      </c>
      <c r="I7" s="8">
        <f>'2. Database'!G14</f>
        <v>6.2995316427251211</v>
      </c>
      <c r="J7" s="15">
        <f>'2. Database'!P14</f>
        <v>1</v>
      </c>
      <c r="K7" s="8"/>
      <c r="L7" s="9" t="s">
        <v>42</v>
      </c>
      <c r="M7" s="8">
        <f>'2. Score calculation'!F7/'2. Score calculation'!F$23</f>
        <v>0.47245559126153402</v>
      </c>
      <c r="N7" s="8">
        <f>'2. Score calculation'!G7/'2. Score calculation'!G$23</f>
        <v>0.22658678635687646</v>
      </c>
      <c r="O7" s="8">
        <f>'2. Score calculation'!H7/'2. Score calculation'!H$23</f>
        <v>0.46166821492942767</v>
      </c>
      <c r="P7" s="8">
        <f>'2. Score calculation'!I7/'2. Score calculation'!I$23</f>
        <v>0.38185059377216907</v>
      </c>
      <c r="Q7" s="8">
        <f>'2. Score calculation'!J7/'2. Score calculation'!J$23</f>
        <v>0.40824829046386307</v>
      </c>
      <c r="R7" s="5"/>
      <c r="S7" s="11" t="s">
        <v>42</v>
      </c>
      <c r="T7" s="12">
        <f t="shared" si="0"/>
        <v>2.1157337267759365E-2</v>
      </c>
      <c r="U7" s="12">
        <f t="shared" si="1"/>
        <v>5.4524464908573267E-2</v>
      </c>
      <c r="V7" s="12">
        <f t="shared" si="2"/>
        <v>4.7279081446053077E-2</v>
      </c>
      <c r="W7" s="12">
        <f t="shared" si="3"/>
        <v>0.21861778504947996</v>
      </c>
      <c r="X7" s="12">
        <f t="shared" si="4"/>
        <v>1.6188447916743506E-2</v>
      </c>
      <c r="Y7" s="13"/>
      <c r="Z7" s="13" t="s">
        <v>42</v>
      </c>
      <c r="AA7" s="12">
        <f t="shared" si="8"/>
        <v>0</v>
      </c>
      <c r="AB7" s="12">
        <f t="shared" si="9"/>
        <v>6.4747140339407004E-4</v>
      </c>
      <c r="AC7" s="12">
        <f t="shared" si="10"/>
        <v>1.6059126686276393E-3</v>
      </c>
      <c r="AD7" s="12">
        <f t="shared" si="11"/>
        <v>3.9678807447967215E-2</v>
      </c>
      <c r="AE7" s="12">
        <f t="shared" si="12"/>
        <v>0</v>
      </c>
      <c r="AF7" s="12">
        <f t="shared" si="13"/>
        <v>0.20477351274026856</v>
      </c>
      <c r="AG7" s="13"/>
      <c r="AH7" s="13" t="s">
        <v>42</v>
      </c>
      <c r="AI7" s="12">
        <f t="shared" si="14"/>
        <v>2.8648506896750039E-4</v>
      </c>
      <c r="AJ7" s="12">
        <f t="shared" si="15"/>
        <v>7.1005566979865276E-4</v>
      </c>
      <c r="AK7" s="12">
        <f t="shared" si="16"/>
        <v>0</v>
      </c>
      <c r="AL7" s="12">
        <f t="shared" si="17"/>
        <v>0</v>
      </c>
      <c r="AM7" s="12">
        <f t="shared" si="18"/>
        <v>2.6206584595311715E-4</v>
      </c>
      <c r="AN7" s="12">
        <f t="shared" si="7"/>
        <v>3.5476845754932471E-2</v>
      </c>
      <c r="AO7" s="13"/>
      <c r="AP7" s="1" t="s">
        <v>4</v>
      </c>
      <c r="AQ7" s="12">
        <f t="shared" si="19"/>
        <v>0.24025035849520104</v>
      </c>
      <c r="AR7" s="12">
        <f t="shared" si="20"/>
        <v>0.14766615116472809</v>
      </c>
      <c r="AS7" s="11">
        <f t="shared" si="21"/>
        <v>19</v>
      </c>
      <c r="AU7" s="1" t="str">
        <v xml:space="preserve">Succinic acid </v>
      </c>
      <c r="AV7">
        <v>0.23387076249423894</v>
      </c>
      <c r="AW7" s="4">
        <v>0.81396707956178516</v>
      </c>
    </row>
    <row r="8" spans="2:50" x14ac:dyDescent="0.3">
      <c r="E8" t="s">
        <v>43</v>
      </c>
      <c r="F8">
        <f>'2. Database'!O15</f>
        <v>5</v>
      </c>
      <c r="G8" s="8">
        <f>LOG('2. Database'!M15)</f>
        <v>4.7212118868921964</v>
      </c>
      <c r="H8" s="4">
        <f>'2. Database'!I15</f>
        <v>2.9939393939393937</v>
      </c>
      <c r="I8" s="8">
        <f>'2. Database'!G15</f>
        <v>5.0984428275867941</v>
      </c>
      <c r="J8" s="15">
        <f>'2. Database'!P15</f>
        <v>1</v>
      </c>
      <c r="K8" s="8"/>
      <c r="L8" s="9" t="s">
        <v>43</v>
      </c>
      <c r="M8" s="8">
        <f>'2. Score calculation'!F8/'2. Score calculation'!F$23</f>
        <v>0.47245559126153402</v>
      </c>
      <c r="N8" s="8">
        <f>'2. Score calculation'!G8/'2. Score calculation'!G$23</f>
        <v>0.3104740832308413</v>
      </c>
      <c r="O8" s="8">
        <f>'2. Score calculation'!H8/'2. Score calculation'!H$23</f>
        <v>0.36513758817145642</v>
      </c>
      <c r="P8" s="8">
        <f>'2. Score calculation'!I8/'2. Score calculation'!I$23</f>
        <v>0.30904574045210875</v>
      </c>
      <c r="Q8" s="8">
        <f>'2. Score calculation'!J8/'2. Score calculation'!J$23</f>
        <v>0.40824829046386307</v>
      </c>
      <c r="R8" s="5"/>
      <c r="S8" s="11" t="s">
        <v>43</v>
      </c>
      <c r="T8" s="12">
        <f t="shared" si="0"/>
        <v>2.1157337267759365E-2</v>
      </c>
      <c r="U8" s="12">
        <f t="shared" si="1"/>
        <v>7.4710593359486599E-2</v>
      </c>
      <c r="V8" s="12">
        <f t="shared" si="2"/>
        <v>3.7393455325514705E-2</v>
      </c>
      <c r="W8" s="12">
        <f t="shared" si="3"/>
        <v>0.17693542018407296</v>
      </c>
      <c r="X8" s="12">
        <f t="shared" si="4"/>
        <v>1.6188447916743506E-2</v>
      </c>
      <c r="Y8" s="13"/>
      <c r="Z8" s="13" t="s">
        <v>43</v>
      </c>
      <c r="AA8" s="12">
        <f t="shared" si="8"/>
        <v>0</v>
      </c>
      <c r="AB8" s="12">
        <f t="shared" si="9"/>
        <v>2.7660561890855837E-5</v>
      </c>
      <c r="AC8" s="12">
        <f t="shared" si="10"/>
        <v>9.1132826949761963E-4</v>
      </c>
      <c r="AD8" s="12">
        <f t="shared" si="11"/>
        <v>2.4810356290139089E-2</v>
      </c>
      <c r="AE8" s="12">
        <f t="shared" si="12"/>
        <v>0</v>
      </c>
      <c r="AF8" s="12">
        <f t="shared" si="13"/>
        <v>0.16046602481998351</v>
      </c>
      <c r="AG8" s="13"/>
      <c r="AH8" s="13" t="s">
        <v>43</v>
      </c>
      <c r="AI8" s="12">
        <f t="shared" si="14"/>
        <v>2.8648506896750039E-4</v>
      </c>
      <c r="AJ8" s="12">
        <f t="shared" si="15"/>
        <v>2.193329724573367E-3</v>
      </c>
      <c r="AK8" s="12">
        <f t="shared" si="16"/>
        <v>9.7725603795070559E-5</v>
      </c>
      <c r="AL8" s="12">
        <f t="shared" si="17"/>
        <v>1.7374195407729156E-3</v>
      </c>
      <c r="AM8" s="12">
        <f t="shared" si="18"/>
        <v>2.6206584595311715E-4</v>
      </c>
      <c r="AN8" s="12">
        <f t="shared" si="7"/>
        <v>6.7653719661685791E-2</v>
      </c>
      <c r="AO8" s="13"/>
      <c r="AP8" s="1" t="s">
        <v>5</v>
      </c>
      <c r="AQ8" s="12">
        <f t="shared" si="19"/>
        <v>0.2281197444816693</v>
      </c>
      <c r="AR8" s="12">
        <f t="shared" si="20"/>
        <v>0.29657108294333612</v>
      </c>
      <c r="AS8" s="11">
        <f t="shared" si="21"/>
        <v>13</v>
      </c>
      <c r="AU8" s="1" t="str">
        <v>PHA</v>
      </c>
      <c r="AV8">
        <v>0.22384584582189387</v>
      </c>
      <c r="AW8" s="4">
        <v>0.69915769890717161</v>
      </c>
    </row>
    <row r="9" spans="2:50" x14ac:dyDescent="0.3">
      <c r="B9" t="s">
        <v>39</v>
      </c>
      <c r="C9" t="s">
        <v>1</v>
      </c>
      <c r="E9" t="s">
        <v>44</v>
      </c>
      <c r="F9">
        <f>'2. Database'!O16</f>
        <v>2</v>
      </c>
      <c r="G9" s="8">
        <f>LOG('2. Database'!M16)</f>
        <v>3.249666381923666</v>
      </c>
      <c r="H9" s="4">
        <f>'2. Database'!I16</f>
        <v>0.85360757484485084</v>
      </c>
      <c r="I9" s="8">
        <f>'2. Database'!G16</f>
        <v>3.551669634058972</v>
      </c>
      <c r="J9" s="15">
        <f>'2. Database'!P16</f>
        <v>1</v>
      </c>
      <c r="K9" s="8"/>
      <c r="L9" s="9" t="s">
        <v>44</v>
      </c>
      <c r="M9" s="8">
        <f>'2. Score calculation'!F9/'2. Score calculation'!F$23</f>
        <v>0.1889822365046136</v>
      </c>
      <c r="N9" s="8">
        <f>'2. Score calculation'!G9/'2. Score calculation'!G$23</f>
        <v>0.21370300992739008</v>
      </c>
      <c r="O9" s="8">
        <f>'2. Score calculation'!H9/'2. Score calculation'!H$23</f>
        <v>0.10410505027412195</v>
      </c>
      <c r="P9" s="8">
        <f>'2. Score calculation'!I9/'2. Score calculation'!I$23</f>
        <v>0.21528698251943659</v>
      </c>
      <c r="Q9" s="8">
        <f>'2. Score calculation'!J9/'2. Score calculation'!J$23</f>
        <v>0.40824829046386307</v>
      </c>
      <c r="R9" s="5"/>
      <c r="S9" s="11" t="s">
        <v>44</v>
      </c>
      <c r="T9" s="12">
        <f t="shared" si="0"/>
        <v>8.4629349071037464E-3</v>
      </c>
      <c r="U9" s="12">
        <f t="shared" si="1"/>
        <v>5.1424191379325981E-2</v>
      </c>
      <c r="V9" s="12">
        <f t="shared" si="2"/>
        <v>1.0661316919138686E-2</v>
      </c>
      <c r="W9" s="12">
        <f t="shared" si="3"/>
        <v>0.1232564883648367</v>
      </c>
      <c r="X9" s="12">
        <f t="shared" si="4"/>
        <v>1.6188447916743506E-2</v>
      </c>
      <c r="Y9" s="13"/>
      <c r="Z9" s="13" t="s">
        <v>44</v>
      </c>
      <c r="AA9" s="12">
        <f t="shared" si="8"/>
        <v>1.6114785129421895E-4</v>
      </c>
      <c r="AB9" s="12">
        <f t="shared" si="9"/>
        <v>8.1485886770172038E-4</v>
      </c>
      <c r="AC9" s="12">
        <f t="shared" si="10"/>
        <v>1.1944459079870704E-5</v>
      </c>
      <c r="AD9" s="12">
        <f t="shared" si="11"/>
        <v>1.0781521046128612E-2</v>
      </c>
      <c r="AE9" s="12">
        <f t="shared" si="12"/>
        <v>0</v>
      </c>
      <c r="AF9" s="12">
        <f t="shared" si="13"/>
        <v>0.10848719843467441</v>
      </c>
      <c r="AG9" s="13"/>
      <c r="AH9" s="13" t="s">
        <v>44</v>
      </c>
      <c r="AI9" s="12">
        <f t="shared" si="14"/>
        <v>1.7905316810468774E-5</v>
      </c>
      <c r="AJ9" s="12">
        <f t="shared" si="15"/>
        <v>5.5444219563782597E-4</v>
      </c>
      <c r="AK9" s="12">
        <f t="shared" si="16"/>
        <v>1.3408606789485499E-3</v>
      </c>
      <c r="AL9" s="12">
        <f t="shared" si="17"/>
        <v>9.0937769053765528E-3</v>
      </c>
      <c r="AM9" s="12">
        <f t="shared" si="18"/>
        <v>2.6206584595311715E-4</v>
      </c>
      <c r="AN9" s="12">
        <f t="shared" si="7"/>
        <v>0.10615578619522591</v>
      </c>
      <c r="AO9" s="11"/>
      <c r="AP9" t="s">
        <v>131</v>
      </c>
      <c r="AQ9" s="12">
        <f t="shared" si="19"/>
        <v>0.21464298462990034</v>
      </c>
      <c r="AR9" s="12">
        <f t="shared" si="20"/>
        <v>0.49456909285092993</v>
      </c>
      <c r="AS9" s="11">
        <f t="shared" si="21"/>
        <v>11</v>
      </c>
      <c r="AU9" t="str">
        <v>Propionic acid</v>
      </c>
      <c r="AV9">
        <v>0.21587144171147624</v>
      </c>
      <c r="AW9" s="4">
        <v>0.69024730661782807</v>
      </c>
    </row>
    <row r="10" spans="2:50" x14ac:dyDescent="0.3">
      <c r="B10" t="s">
        <v>40</v>
      </c>
      <c r="C10" t="s">
        <v>2</v>
      </c>
      <c r="E10" t="s">
        <v>45</v>
      </c>
      <c r="F10">
        <f>'2. Database'!O17</f>
        <v>1</v>
      </c>
      <c r="G10" s="8">
        <f>LOG('2. Database'!M17)</f>
        <v>3.3069242325079786</v>
      </c>
      <c r="H10" s="4">
        <f>'2. Database'!I17</f>
        <v>1.4565826330532212</v>
      </c>
      <c r="I10" s="8">
        <f>'2. Database'!G17</f>
        <v>2.1478892937358784</v>
      </c>
      <c r="J10" s="15">
        <f>'2. Database'!P17</f>
        <v>0</v>
      </c>
      <c r="K10" s="8"/>
      <c r="L10" s="9" t="s">
        <v>45</v>
      </c>
      <c r="M10" s="8">
        <f>'2. Score calculation'!F10/'2. Score calculation'!F$23</f>
        <v>9.4491118252306799E-2</v>
      </c>
      <c r="N10" s="8">
        <f>'2. Score calculation'!G10/'2. Score calculation'!G$23</f>
        <v>0.21746837337512873</v>
      </c>
      <c r="O10" s="8">
        <f>'2. Score calculation'!H10/'2. Score calculation'!H$23</f>
        <v>0.17764323175081914</v>
      </c>
      <c r="P10" s="8">
        <f>'2. Score calculation'!I10/'2. Score calculation'!I$23</f>
        <v>0.13019583814887081</v>
      </c>
      <c r="Q10" s="8">
        <f>'2. Score calculation'!J10/'2. Score calculation'!J$23</f>
        <v>0</v>
      </c>
      <c r="R10" s="5"/>
      <c r="S10" s="11" t="s">
        <v>45</v>
      </c>
      <c r="T10" s="12">
        <f t="shared" si="0"/>
        <v>4.2314674535518732E-3</v>
      </c>
      <c r="U10" s="12">
        <f t="shared" si="1"/>
        <v>5.2330265517519077E-2</v>
      </c>
      <c r="V10" s="12">
        <f t="shared" si="2"/>
        <v>1.8192304669644485E-2</v>
      </c>
      <c r="W10" s="12">
        <f t="shared" si="3"/>
        <v>7.4539954167910052E-2</v>
      </c>
      <c r="X10" s="12">
        <f t="shared" si="4"/>
        <v>0</v>
      </c>
      <c r="Y10" s="13"/>
      <c r="Z10" s="13" t="s">
        <v>45</v>
      </c>
      <c r="AA10" s="12">
        <f t="shared" si="8"/>
        <v>2.8648506896750039E-4</v>
      </c>
      <c r="AB10" s="12">
        <f t="shared" si="9"/>
        <v>7.6395073734402655E-4</v>
      </c>
      <c r="AC10" s="12">
        <f t="shared" si="10"/>
        <v>1.2071556274324909E-4</v>
      </c>
      <c r="AD10" s="12">
        <f t="shared" si="11"/>
        <v>3.0379464440105424E-3</v>
      </c>
      <c r="AE10" s="12">
        <f t="shared" si="12"/>
        <v>2.6206584595311715E-4</v>
      </c>
      <c r="AF10" s="12">
        <f t="shared" si="13"/>
        <v>6.6866760494422306E-2</v>
      </c>
      <c r="AG10" s="13"/>
      <c r="AH10" s="13" t="s">
        <v>45</v>
      </c>
      <c r="AI10" s="12">
        <f t="shared" si="14"/>
        <v>0</v>
      </c>
      <c r="AJ10" s="12">
        <f t="shared" si="15"/>
        <v>5.9793308981699036E-4</v>
      </c>
      <c r="AK10" s="12">
        <f t="shared" si="16"/>
        <v>8.4604058324062219E-4</v>
      </c>
      <c r="AL10" s="12">
        <f t="shared" si="17"/>
        <v>2.0758421351538256E-2</v>
      </c>
      <c r="AM10" s="12">
        <f t="shared" si="18"/>
        <v>0</v>
      </c>
      <c r="AN10" s="12">
        <f t="shared" si="7"/>
        <v>0.14900468121705393</v>
      </c>
      <c r="AO10" s="13"/>
      <c r="AP10" t="s">
        <v>7</v>
      </c>
      <c r="AQ10" s="12">
        <f t="shared" si="19"/>
        <v>0.21587144171147624</v>
      </c>
      <c r="AR10" s="12">
        <f t="shared" si="20"/>
        <v>0.69024730661782807</v>
      </c>
      <c r="AS10" s="11">
        <f t="shared" si="21"/>
        <v>6</v>
      </c>
      <c r="AU10" t="str">
        <v>Methacrylic acid</v>
      </c>
      <c r="AV10">
        <v>0.21615787572142434</v>
      </c>
      <c r="AW10" s="4">
        <v>0.67602459447555918</v>
      </c>
    </row>
    <row r="11" spans="2:50" x14ac:dyDescent="0.3">
      <c r="B11" t="s">
        <v>41</v>
      </c>
      <c r="C11" t="s">
        <v>3</v>
      </c>
      <c r="E11" t="s">
        <v>46</v>
      </c>
      <c r="F11">
        <f>'2. Database'!O18</f>
        <v>1</v>
      </c>
      <c r="G11" s="8">
        <f>LOG('2. Database'!M18)</f>
        <v>3.1513586269692353</v>
      </c>
      <c r="H11" s="4">
        <f>'2. Database'!I18</f>
        <v>1.5765118876655497</v>
      </c>
      <c r="I11" s="8">
        <f>'2. Database'!G18</f>
        <v>2.2133817399417541</v>
      </c>
      <c r="J11" s="15">
        <f>'2. Database'!P18</f>
        <v>0</v>
      </c>
      <c r="K11" s="8"/>
      <c r="L11" s="9" t="s">
        <v>46</v>
      </c>
      <c r="M11" s="8">
        <f>'2. Score calculation'!F11/'2. Score calculation'!F$23</f>
        <v>9.4491118252306799E-2</v>
      </c>
      <c r="N11" s="8">
        <f>'2. Score calculation'!G11/'2. Score calculation'!G$23</f>
        <v>0.20723814225671866</v>
      </c>
      <c r="O11" s="8">
        <f>'2. Score calculation'!H11/'2. Score calculation'!H$23</f>
        <v>0.19226967304384973</v>
      </c>
      <c r="P11" s="8">
        <f>'2. Score calculation'!I11/'2. Score calculation'!I$23</f>
        <v>0.13416570938528022</v>
      </c>
      <c r="Q11" s="8">
        <f>'2. Score calculation'!J11/'2. Score calculation'!J$23</f>
        <v>0</v>
      </c>
      <c r="R11" s="5"/>
      <c r="S11" s="11" t="s">
        <v>46</v>
      </c>
      <c r="T11" s="12">
        <f t="shared" si="0"/>
        <v>4.2314674535518732E-3</v>
      </c>
      <c r="U11" s="12">
        <f t="shared" si="1"/>
        <v>4.9868524978316557E-2</v>
      </c>
      <c r="V11" s="12">
        <f t="shared" si="2"/>
        <v>1.9690187102951739E-2</v>
      </c>
      <c r="W11" s="12">
        <f t="shared" si="3"/>
        <v>7.6812791949991091E-2</v>
      </c>
      <c r="X11" s="12">
        <f t="shared" si="4"/>
        <v>0</v>
      </c>
      <c r="Y11" s="13"/>
      <c r="Z11" s="13" t="s">
        <v>46</v>
      </c>
      <c r="AA11" s="12">
        <f t="shared" si="8"/>
        <v>2.8648506896750039E-4</v>
      </c>
      <c r="AB11" s="12">
        <f t="shared" si="9"/>
        <v>9.0609424083163131E-4</v>
      </c>
      <c r="AC11" s="12">
        <f t="shared" si="10"/>
        <v>1.5587387312835808E-4</v>
      </c>
      <c r="AD11" s="12">
        <f t="shared" si="11"/>
        <v>3.2936588234541361E-3</v>
      </c>
      <c r="AE11" s="12">
        <f t="shared" si="12"/>
        <v>2.6206584595311715E-4</v>
      </c>
      <c r="AF11" s="12">
        <f t="shared" si="13"/>
        <v>7.0029835444150118E-2</v>
      </c>
      <c r="AG11" s="13"/>
      <c r="AH11" s="13" t="s">
        <v>46</v>
      </c>
      <c r="AI11" s="12">
        <f t="shared" si="14"/>
        <v>0</v>
      </c>
      <c r="AJ11" s="12">
        <f t="shared" si="15"/>
        <v>4.836009962557882E-4</v>
      </c>
      <c r="AK11" s="12">
        <f t="shared" si="16"/>
        <v>7.6114709107480904E-4</v>
      </c>
      <c r="AL11" s="12">
        <f t="shared" si="17"/>
        <v>2.0108656067946082E-2</v>
      </c>
      <c r="AM11" s="12">
        <f t="shared" si="18"/>
        <v>0</v>
      </c>
      <c r="AN11" s="12">
        <f t="shared" si="7"/>
        <v>0.14612804027727422</v>
      </c>
      <c r="AO11" s="13"/>
      <c r="AP11" t="s">
        <v>8</v>
      </c>
      <c r="AQ11" s="12">
        <f t="shared" si="19"/>
        <v>0.21615787572142434</v>
      </c>
      <c r="AR11" s="12">
        <f t="shared" si="20"/>
        <v>0.67602459447555918</v>
      </c>
      <c r="AS11" s="11">
        <f t="shared" si="21"/>
        <v>7</v>
      </c>
      <c r="AU11" t="str">
        <v>β-alanine</v>
      </c>
      <c r="AV11">
        <v>0.2217165103331406</v>
      </c>
      <c r="AW11" s="4">
        <v>0.60890316606110562</v>
      </c>
    </row>
    <row r="12" spans="2:50" x14ac:dyDescent="0.3">
      <c r="B12" t="s">
        <v>42</v>
      </c>
      <c r="C12" s="1" t="s">
        <v>4</v>
      </c>
      <c r="E12" t="s">
        <v>47</v>
      </c>
      <c r="F12">
        <f>'2. Database'!O19</f>
        <v>1</v>
      </c>
      <c r="G12" s="8">
        <f>LOG('2. Database'!M19)</f>
        <v>3.3978364324130048</v>
      </c>
      <c r="H12" s="4">
        <f>'2. Database'!I19</f>
        <v>2.1066928409381953</v>
      </c>
      <c r="I12" s="8">
        <f>'2. Database'!G19</f>
        <v>5.6175236060045854</v>
      </c>
      <c r="J12" s="15">
        <f>'2. Database'!P19</f>
        <v>0</v>
      </c>
      <c r="K12" s="8"/>
      <c r="L12" s="9" t="s">
        <v>47</v>
      </c>
      <c r="M12" s="8">
        <f>'2. Score calculation'!F12/'2. Score calculation'!F$23</f>
        <v>9.4491118252306799E-2</v>
      </c>
      <c r="N12" s="8">
        <f>'2. Score calculation'!G12/'2. Score calculation'!G$23</f>
        <v>0.22344689808366325</v>
      </c>
      <c r="O12" s="8">
        <f>'2. Score calculation'!H12/'2. Score calculation'!H$23</f>
        <v>0.25692996475326041</v>
      </c>
      <c r="P12" s="8">
        <f>'2. Score calculation'!I12/'2. Score calculation'!I$23</f>
        <v>0.34051019125512255</v>
      </c>
      <c r="Q12" s="8">
        <f>'2. Score calculation'!J12/'2. Score calculation'!J$23</f>
        <v>0</v>
      </c>
      <c r="R12" s="5"/>
      <c r="S12" s="11" t="s">
        <v>47</v>
      </c>
      <c r="T12" s="12">
        <f t="shared" si="0"/>
        <v>4.2314674535518732E-3</v>
      </c>
      <c r="U12" s="12">
        <f t="shared" si="1"/>
        <v>5.3768901308761177E-2</v>
      </c>
      <c r="V12" s="12">
        <f t="shared" si="2"/>
        <v>2.6311997093752371E-2</v>
      </c>
      <c r="W12" s="12">
        <f t="shared" si="3"/>
        <v>0.19494950384543652</v>
      </c>
      <c r="X12" s="12">
        <f t="shared" si="4"/>
        <v>0</v>
      </c>
      <c r="Y12" s="13"/>
      <c r="Z12" s="13" t="s">
        <v>47</v>
      </c>
      <c r="AA12" s="12">
        <f t="shared" si="8"/>
        <v>2.8648506896750039E-4</v>
      </c>
      <c r="AB12" s="12">
        <f t="shared" si="9"/>
        <v>6.8649360553342379E-4</v>
      </c>
      <c r="AC12" s="12">
        <f t="shared" si="10"/>
        <v>3.6506811914398187E-4</v>
      </c>
      <c r="AD12" s="12">
        <f t="shared" si="11"/>
        <v>3.0809769491679066E-2</v>
      </c>
      <c r="AE12" s="12">
        <f t="shared" si="12"/>
        <v>2.6206584595311715E-4</v>
      </c>
      <c r="AF12" s="12">
        <f t="shared" si="13"/>
        <v>0.18002744827185962</v>
      </c>
      <c r="AG12" s="13"/>
      <c r="AH12" s="13" t="s">
        <v>47</v>
      </c>
      <c r="AI12" s="12">
        <f t="shared" si="14"/>
        <v>0</v>
      </c>
      <c r="AJ12" s="12">
        <f t="shared" si="15"/>
        <v>6.7035973642201596E-4</v>
      </c>
      <c r="AK12" s="12">
        <f t="shared" si="16"/>
        <v>4.3961862623649313E-4</v>
      </c>
      <c r="AL12" s="12">
        <f t="shared" si="17"/>
        <v>5.6018753515367568E-4</v>
      </c>
      <c r="AM12" s="12">
        <f t="shared" si="18"/>
        <v>0</v>
      </c>
      <c r="AN12" s="12">
        <f t="shared" si="7"/>
        <v>4.0867663229161813E-2</v>
      </c>
      <c r="AO12" s="13"/>
      <c r="AP12" s="1" t="s">
        <v>9</v>
      </c>
      <c r="AQ12" s="12">
        <f t="shared" si="19"/>
        <v>0.22089511150102142</v>
      </c>
      <c r="AR12" s="12">
        <f t="shared" si="20"/>
        <v>0.18500936010515942</v>
      </c>
      <c r="AS12" s="11">
        <f t="shared" si="21"/>
        <v>17</v>
      </c>
      <c r="AU12" s="1" t="str">
        <v>Caprolactam</v>
      </c>
      <c r="AV12">
        <v>0.21401629588218563</v>
      </c>
      <c r="AW12" s="4">
        <v>0.54798895011243132</v>
      </c>
    </row>
    <row r="13" spans="2:50" x14ac:dyDescent="0.3">
      <c r="B13" t="s">
        <v>43</v>
      </c>
      <c r="C13" s="1" t="s">
        <v>5</v>
      </c>
      <c r="E13" t="s">
        <v>48</v>
      </c>
      <c r="F13">
        <f>'2. Database'!O20</f>
        <v>1</v>
      </c>
      <c r="G13" s="8">
        <f>LOG('2. Database'!M20)</f>
        <v>4.0644579892269181</v>
      </c>
      <c r="H13" s="4">
        <f>'2. Database'!I20</f>
        <v>2.331062075555165</v>
      </c>
      <c r="I13" s="8">
        <f>'2. Database'!G20</f>
        <v>4.9254482422686801</v>
      </c>
      <c r="J13" s="15">
        <f>'2. Database'!P20</f>
        <v>0</v>
      </c>
      <c r="K13" s="8"/>
      <c r="L13" s="9" t="s">
        <v>48</v>
      </c>
      <c r="M13" s="8">
        <f>'2. Score calculation'!F13/'2. Score calculation'!F$23</f>
        <v>9.4491118252306799E-2</v>
      </c>
      <c r="N13" s="8">
        <f>'2. Score calculation'!G13/'2. Score calculation'!G$23</f>
        <v>0.26728494680338638</v>
      </c>
      <c r="O13" s="8">
        <f>'2. Score calculation'!H13/'2. Score calculation'!H$23</f>
        <v>0.28429379227554002</v>
      </c>
      <c r="P13" s="8">
        <f>'2. Score calculation'!I13/'2. Score calculation'!I$23</f>
        <v>0.29855955054632777</v>
      </c>
      <c r="Q13" s="8">
        <f>'2. Score calculation'!J13/'2. Score calculation'!J$23</f>
        <v>0</v>
      </c>
      <c r="R13" s="5"/>
      <c r="S13" s="11" t="s">
        <v>48</v>
      </c>
      <c r="T13" s="12">
        <f t="shared" si="0"/>
        <v>4.2314674535518732E-3</v>
      </c>
      <c r="U13" s="12">
        <f t="shared" si="1"/>
        <v>6.4317822485983792E-2</v>
      </c>
      <c r="V13" s="12">
        <f t="shared" si="2"/>
        <v>2.9114305306154154E-2</v>
      </c>
      <c r="W13" s="12">
        <f t="shared" si="3"/>
        <v>0.17093184798018146</v>
      </c>
      <c r="X13" s="12">
        <f t="shared" si="4"/>
        <v>0</v>
      </c>
      <c r="Y13" s="13"/>
      <c r="Z13" s="13" t="s">
        <v>48</v>
      </c>
      <c r="AA13" s="12">
        <f t="shared" si="8"/>
        <v>2.8648506896750039E-4</v>
      </c>
      <c r="AB13" s="12">
        <f t="shared" si="9"/>
        <v>2.4498829104459269E-4</v>
      </c>
      <c r="AC13" s="12">
        <f t="shared" si="10"/>
        <v>4.8000708812766062E-4</v>
      </c>
      <c r="AD13" s="12">
        <f t="shared" si="11"/>
        <v>2.2955117408363663E-2</v>
      </c>
      <c r="AE13" s="12">
        <f t="shared" si="12"/>
        <v>2.6206584595311715E-4</v>
      </c>
      <c r="AF13" s="12">
        <f t="shared" si="13"/>
        <v>0.15565559322573838</v>
      </c>
      <c r="AG13" s="13"/>
      <c r="AH13" s="13" t="s">
        <v>48</v>
      </c>
      <c r="AI13" s="12">
        <f t="shared" si="14"/>
        <v>0</v>
      </c>
      <c r="AJ13" s="12">
        <f t="shared" si="15"/>
        <v>1.3278901708531062E-3</v>
      </c>
      <c r="AK13" s="12">
        <f t="shared" si="16"/>
        <v>3.2995909221264123E-4</v>
      </c>
      <c r="AL13" s="12">
        <f t="shared" si="17"/>
        <v>2.2739485941770964E-3</v>
      </c>
      <c r="AM13" s="12">
        <f t="shared" si="18"/>
        <v>0</v>
      </c>
      <c r="AN13" s="12">
        <f t="shared" si="7"/>
        <v>6.2704049767481868E-2</v>
      </c>
      <c r="AO13" s="13"/>
      <c r="AP13" t="s">
        <v>10</v>
      </c>
      <c r="AQ13" s="12">
        <f t="shared" si="19"/>
        <v>0.21835964299322025</v>
      </c>
      <c r="AR13" s="12">
        <f t="shared" si="20"/>
        <v>0.28715951770185272</v>
      </c>
      <c r="AS13" s="11">
        <f t="shared" si="21"/>
        <v>14</v>
      </c>
      <c r="AU13" t="str">
        <v>L-Citrulline</v>
      </c>
      <c r="AV13">
        <v>0.21581685533398948</v>
      </c>
      <c r="AW13" s="4">
        <v>0.53945560672839865</v>
      </c>
    </row>
    <row r="14" spans="2:50" x14ac:dyDescent="0.3">
      <c r="B14" t="s">
        <v>44</v>
      </c>
      <c r="C14" t="s">
        <v>6</v>
      </c>
      <c r="E14" t="s">
        <v>49</v>
      </c>
      <c r="F14">
        <f>'2. Database'!O21</f>
        <v>1</v>
      </c>
      <c r="G14" s="8">
        <f>LOG('2. Database'!M21)</f>
        <v>5.053566572004792</v>
      </c>
      <c r="H14" s="4">
        <f>'2. Database'!I21</f>
        <v>1.1404825118319288</v>
      </c>
      <c r="I14" s="8">
        <f>'2. Database'!G21</f>
        <v>1.4082881218977299</v>
      </c>
      <c r="J14" s="15">
        <f>'2. Database'!P21</f>
        <v>0</v>
      </c>
      <c r="K14" s="8"/>
      <c r="L14" s="9" t="s">
        <v>49</v>
      </c>
      <c r="M14" s="8">
        <f>'2. Score calculation'!F14/'2. Score calculation'!F$23</f>
        <v>9.4491118252306799E-2</v>
      </c>
      <c r="N14" s="8">
        <f>'2. Score calculation'!G14/'2. Score calculation'!G$23</f>
        <v>0.33233023343970908</v>
      </c>
      <c r="O14" s="8">
        <f>'2. Score calculation'!H14/'2. Score calculation'!H$23</f>
        <v>0.13909200519055825</v>
      </c>
      <c r="P14" s="8">
        <f>'2. Score calculation'!I14/'2. Score calculation'!I$23</f>
        <v>8.5364386758808738E-2</v>
      </c>
      <c r="Q14" s="8">
        <f>'2. Score calculation'!J14/'2. Score calculation'!J$23</f>
        <v>0</v>
      </c>
      <c r="R14" s="5"/>
      <c r="S14" s="11" t="s">
        <v>49</v>
      </c>
      <c r="T14" s="12">
        <f t="shared" si="0"/>
        <v>4.2314674535518732E-3</v>
      </c>
      <c r="U14" s="12">
        <f t="shared" si="1"/>
        <v>7.9969924295152831E-2</v>
      </c>
      <c r="V14" s="12">
        <f t="shared" si="2"/>
        <v>1.4244303656262095E-2</v>
      </c>
      <c r="W14" s="12">
        <f t="shared" si="3"/>
        <v>4.8872971417854329E-2</v>
      </c>
      <c r="X14" s="12">
        <f t="shared" si="4"/>
        <v>0</v>
      </c>
      <c r="Y14" s="13"/>
      <c r="Z14" s="13" t="s">
        <v>49</v>
      </c>
      <c r="AA14" s="12">
        <f t="shared" si="8"/>
        <v>2.8648506896750039E-4</v>
      </c>
      <c r="AB14" s="12">
        <f t="shared" si="9"/>
        <v>0</v>
      </c>
      <c r="AC14" s="12">
        <f t="shared" si="10"/>
        <v>4.9548399659170369E-5</v>
      </c>
      <c r="AD14" s="12">
        <f t="shared" si="11"/>
        <v>8.6733704731837256E-4</v>
      </c>
      <c r="AE14" s="12">
        <f t="shared" si="12"/>
        <v>2.6206584595311715E-4</v>
      </c>
      <c r="AF14" s="12">
        <f t="shared" si="13"/>
        <v>3.8281018297560483E-2</v>
      </c>
      <c r="AG14" s="13"/>
      <c r="AH14" s="13" t="s">
        <v>49</v>
      </c>
      <c r="AI14" s="12">
        <f t="shared" si="14"/>
        <v>0</v>
      </c>
      <c r="AJ14" s="12">
        <f t="shared" si="15"/>
        <v>2.713610759419277E-3</v>
      </c>
      <c r="AK14" s="12">
        <f t="shared" si="16"/>
        <v>1.0912965436208678E-3</v>
      </c>
      <c r="AL14" s="12">
        <f t="shared" si="17"/>
        <v>2.8813301754835319E-2</v>
      </c>
      <c r="AM14" s="12">
        <f t="shared" si="18"/>
        <v>0</v>
      </c>
      <c r="AN14" s="3">
        <f t="shared" si="7"/>
        <v>0.18060511913529878</v>
      </c>
      <c r="AO14" s="13"/>
      <c r="AP14" t="s">
        <v>130</v>
      </c>
      <c r="AQ14" s="12">
        <f t="shared" si="19"/>
        <v>0.21888613743285926</v>
      </c>
      <c r="AR14" s="12">
        <f t="shared" si="20"/>
        <v>0.82510990076151935</v>
      </c>
      <c r="AS14" s="11">
        <f t="shared" si="21"/>
        <v>1</v>
      </c>
      <c r="AU14" t="str">
        <v>NMP</v>
      </c>
      <c r="AV14">
        <v>0.21464298462990034</v>
      </c>
      <c r="AW14" s="4">
        <v>0.49456909285092993</v>
      </c>
    </row>
    <row r="15" spans="2:50" x14ac:dyDescent="0.3">
      <c r="B15" t="s">
        <v>45</v>
      </c>
      <c r="C15" t="s">
        <v>7</v>
      </c>
      <c r="E15" t="s">
        <v>50</v>
      </c>
      <c r="F15">
        <f>'2. Database'!O22</f>
        <v>3</v>
      </c>
      <c r="G15" s="8">
        <f>LOG('2. Database'!M22)</f>
        <v>2.4234327044026847</v>
      </c>
      <c r="H15" s="4">
        <f>'2. Database'!I22</f>
        <v>0.68533842725810246</v>
      </c>
      <c r="I15" s="8">
        <f>'2. Database'!G22</f>
        <v>0.55966136566754199</v>
      </c>
      <c r="J15" s="15">
        <f>'2. Database'!P22</f>
        <v>0</v>
      </c>
      <c r="K15" s="8"/>
      <c r="L15" s="9" t="s">
        <v>50</v>
      </c>
      <c r="M15" s="8">
        <f>'2. Score calculation'!F15/'2. Score calculation'!F$23</f>
        <v>0.28347335475692043</v>
      </c>
      <c r="N15" s="8">
        <f>'2. Score calculation'!G15/'2. Score calculation'!G$23</f>
        <v>0.15936862508967975</v>
      </c>
      <c r="O15" s="8">
        <f>'2. Score calculation'!H15/'2. Score calculation'!H$23</f>
        <v>8.3583128274676191E-2</v>
      </c>
      <c r="P15" s="8">
        <f>'2. Score calculation'!I15/'2. Score calculation'!I$23</f>
        <v>3.3924271979535008E-2</v>
      </c>
      <c r="Q15" s="8">
        <f>'2. Score calculation'!J15/'2. Score calculation'!J$23</f>
        <v>0</v>
      </c>
      <c r="R15" s="5"/>
      <c r="S15" s="11" t="s">
        <v>50</v>
      </c>
      <c r="T15" s="12">
        <f t="shared" si="0"/>
        <v>1.269440236065562E-2</v>
      </c>
      <c r="U15" s="12">
        <f t="shared" si="1"/>
        <v>3.8349495775732392E-2</v>
      </c>
      <c r="V15" s="12">
        <f t="shared" si="2"/>
        <v>8.5596829095509509E-3</v>
      </c>
      <c r="W15" s="12">
        <f t="shared" si="3"/>
        <v>1.94223848817873E-2</v>
      </c>
      <c r="X15" s="12">
        <f t="shared" si="4"/>
        <v>0</v>
      </c>
      <c r="Y15" s="13"/>
      <c r="Z15" s="13" t="s">
        <v>50</v>
      </c>
      <c r="AA15" s="12">
        <f t="shared" si="8"/>
        <v>7.162126724187507E-5</v>
      </c>
      <c r="AB15" s="12">
        <f t="shared" si="9"/>
        <v>1.7322600701401862E-3</v>
      </c>
      <c r="AC15" s="12">
        <f t="shared" si="10"/>
        <v>1.8345122283531573E-6</v>
      </c>
      <c r="AD15" s="12">
        <f t="shared" si="11"/>
        <v>0</v>
      </c>
      <c r="AE15" s="12">
        <f t="shared" si="12"/>
        <v>2.6206584595311715E-4</v>
      </c>
      <c r="AF15" s="12">
        <f t="shared" si="13"/>
        <v>4.5472867685725865E-2</v>
      </c>
      <c r="AG15" s="13"/>
      <c r="AH15" s="13" t="s">
        <v>50</v>
      </c>
      <c r="AI15" s="12">
        <f t="shared" si="14"/>
        <v>7.1621267241875125E-5</v>
      </c>
      <c r="AJ15" s="12">
        <f t="shared" si="15"/>
        <v>1.0966070344942857E-4</v>
      </c>
      <c r="AK15" s="12">
        <f t="shared" si="16"/>
        <v>1.4991918230284828E-3</v>
      </c>
      <c r="AL15" s="12">
        <f t="shared" si="17"/>
        <v>3.9678807447967215E-2</v>
      </c>
      <c r="AM15" s="12">
        <f t="shared" si="18"/>
        <v>0</v>
      </c>
      <c r="AN15" s="12">
        <f t="shared" si="7"/>
        <v>0.20336981398842602</v>
      </c>
      <c r="AO15" s="13"/>
      <c r="AP15" t="s">
        <v>12</v>
      </c>
      <c r="AQ15" s="12">
        <f t="shared" si="19"/>
        <v>0.24884268167415188</v>
      </c>
      <c r="AR15" s="12">
        <f t="shared" si="20"/>
        <v>0.81726258783342276</v>
      </c>
      <c r="AS15" s="11">
        <f t="shared" si="21"/>
        <v>3</v>
      </c>
      <c r="AU15" t="str">
        <v>2-Pyrrolidone</v>
      </c>
      <c r="AV15">
        <v>0.21357158525276543</v>
      </c>
      <c r="AW15" s="4">
        <v>0.47054185845391611</v>
      </c>
    </row>
    <row r="16" spans="2:50" x14ac:dyDescent="0.3">
      <c r="B16" t="s">
        <v>46</v>
      </c>
      <c r="C16" t="s">
        <v>8</v>
      </c>
      <c r="E16" t="s">
        <v>51</v>
      </c>
      <c r="F16">
        <f>'2. Database'!O23</f>
        <v>3</v>
      </c>
      <c r="G16" s="8">
        <f>LOG('2. Database'!M23)</f>
        <v>2.5089148786372051</v>
      </c>
      <c r="H16" s="4">
        <f>'2. Database'!I23</f>
        <v>0.90104434075398288</v>
      </c>
      <c r="I16" s="8">
        <f>'2. Database'!G23</f>
        <v>0.94990923569546537</v>
      </c>
      <c r="J16" s="15">
        <f>'2. Database'!P23</f>
        <v>1</v>
      </c>
      <c r="K16" s="8"/>
      <c r="L16" s="9" t="s">
        <v>51</v>
      </c>
      <c r="M16" s="8">
        <f>'2. Score calculation'!F16/'2. Score calculation'!F$23</f>
        <v>0.28347335475692043</v>
      </c>
      <c r="N16" s="8">
        <f>'2. Score calculation'!G16/'2. Score calculation'!G$23</f>
        <v>0.16499006304117828</v>
      </c>
      <c r="O16" s="8">
        <f>'2. Score calculation'!H16/'2. Score calculation'!H$23</f>
        <v>0.10989038658713386</v>
      </c>
      <c r="P16" s="8">
        <f>'2. Score calculation'!I16/'2. Score calculation'!I$23</f>
        <v>5.7579424352739633E-2</v>
      </c>
      <c r="Q16" s="8">
        <f>'2. Score calculation'!J16/'2. Score calculation'!J$23</f>
        <v>0.40824829046386307</v>
      </c>
      <c r="R16" s="5"/>
      <c r="S16" s="11" t="s">
        <v>51</v>
      </c>
      <c r="T16" s="12">
        <f t="shared" si="0"/>
        <v>1.269440236065562E-2</v>
      </c>
      <c r="U16" s="12">
        <f t="shared" si="1"/>
        <v>3.9702204383547914E-2</v>
      </c>
      <c r="V16" s="12">
        <f t="shared" si="2"/>
        <v>1.1253788694085354E-2</v>
      </c>
      <c r="W16" s="12">
        <f t="shared" si="3"/>
        <v>3.2965475035847611E-2</v>
      </c>
      <c r="X16" s="12">
        <f t="shared" si="4"/>
        <v>1.6188447916743506E-2</v>
      </c>
      <c r="Y16" s="13"/>
      <c r="Z16" s="13" t="s">
        <v>51</v>
      </c>
      <c r="AA16" s="12">
        <f t="shared" si="8"/>
        <v>7.162126724187507E-5</v>
      </c>
      <c r="AB16" s="12">
        <f t="shared" si="9"/>
        <v>1.621489266879463E-3</v>
      </c>
      <c r="AC16" s="12">
        <f t="shared" si="10"/>
        <v>1.6390736464478361E-5</v>
      </c>
      <c r="AD16" s="12">
        <f t="shared" si="11"/>
        <v>1.8341529092100531E-4</v>
      </c>
      <c r="AE16" s="12">
        <f t="shared" si="12"/>
        <v>0</v>
      </c>
      <c r="AF16" s="12">
        <f t="shared" si="13"/>
        <v>4.3507660951915376E-2</v>
      </c>
      <c r="AG16" s="13"/>
      <c r="AH16" s="13" t="s">
        <v>51</v>
      </c>
      <c r="AI16" s="12">
        <f t="shared" si="14"/>
        <v>7.1621267241875125E-5</v>
      </c>
      <c r="AJ16" s="12">
        <f t="shared" si="15"/>
        <v>1.3982138435516284E-4</v>
      </c>
      <c r="AK16" s="12">
        <f t="shared" si="16"/>
        <v>1.2978217178649782E-3</v>
      </c>
      <c r="AL16" s="12">
        <f t="shared" si="17"/>
        <v>3.4466780213397857E-2</v>
      </c>
      <c r="AM16" s="12">
        <f t="shared" si="18"/>
        <v>2.6206584595311715E-4</v>
      </c>
      <c r="AN16" s="12">
        <f t="shared" si="7"/>
        <v>0.19036310154232355</v>
      </c>
      <c r="AO16" s="13"/>
      <c r="AP16" s="2" t="s">
        <v>13</v>
      </c>
      <c r="AQ16" s="12">
        <f t="shared" si="19"/>
        <v>0.23387076249423894</v>
      </c>
      <c r="AR16" s="12">
        <f t="shared" si="20"/>
        <v>0.81396707956178516</v>
      </c>
      <c r="AS16" s="11">
        <f t="shared" si="21"/>
        <v>4</v>
      </c>
      <c r="AU16" s="2" t="str">
        <v>Biodiesel</v>
      </c>
      <c r="AV16">
        <v>0.2281197444816693</v>
      </c>
      <c r="AW16" s="4">
        <v>0.29657108294333612</v>
      </c>
    </row>
    <row r="17" spans="2:49" x14ac:dyDescent="0.3">
      <c r="B17" t="s">
        <v>47</v>
      </c>
      <c r="C17" s="1" t="s">
        <v>9</v>
      </c>
      <c r="E17" t="s">
        <v>52</v>
      </c>
      <c r="F17">
        <f>'2. Database'!O24</f>
        <v>4</v>
      </c>
      <c r="G17" s="8">
        <f>LOG('2. Database'!M24)</f>
        <v>2.2257242788008007</v>
      </c>
      <c r="H17" s="4">
        <f>'2. Database'!I24</f>
        <v>1.5253975605990426</v>
      </c>
      <c r="I17" s="8">
        <f>'2. Database'!G24</f>
        <v>1.8839718928687423</v>
      </c>
      <c r="J17" s="15">
        <f>'2. Database'!P24</f>
        <v>0</v>
      </c>
      <c r="K17" s="8"/>
      <c r="L17" s="9" t="s">
        <v>52</v>
      </c>
      <c r="M17" s="8">
        <f>'2. Score calculation'!F17/'2. Score calculation'!F$23</f>
        <v>0.3779644730092272</v>
      </c>
      <c r="N17" s="8">
        <f>'2. Score calculation'!G17/'2. Score calculation'!G$23</f>
        <v>0.14636701794805146</v>
      </c>
      <c r="O17" s="8">
        <f>'2. Score calculation'!H17/'2. Score calculation'!H$23</f>
        <v>0.18603582537684207</v>
      </c>
      <c r="P17" s="8">
        <f>'2. Score calculation'!I17/'2. Score calculation'!I$23</f>
        <v>0.11419829707066959</v>
      </c>
      <c r="Q17" s="8">
        <f>'2. Score calculation'!J17/'2. Score calculation'!J$23</f>
        <v>0</v>
      </c>
      <c r="R17" s="5"/>
      <c r="S17" s="11" t="s">
        <v>52</v>
      </c>
      <c r="T17" s="12">
        <f t="shared" si="0"/>
        <v>1.6925869814207493E-2</v>
      </c>
      <c r="U17" s="12">
        <f t="shared" si="1"/>
        <v>3.5220868181216648E-2</v>
      </c>
      <c r="V17" s="12">
        <f t="shared" si="2"/>
        <v>1.9051783630415087E-2</v>
      </c>
      <c r="W17" s="12">
        <f t="shared" si="3"/>
        <v>6.5381013331376719E-2</v>
      </c>
      <c r="X17" s="12">
        <f t="shared" si="4"/>
        <v>0</v>
      </c>
      <c r="Y17" s="13"/>
      <c r="Z17" s="13" t="s">
        <v>52</v>
      </c>
      <c r="AA17" s="12">
        <f t="shared" si="8"/>
        <v>1.7905316810468768E-5</v>
      </c>
      <c r="AB17" s="12">
        <f t="shared" si="9"/>
        <v>2.0024780230882091E-3</v>
      </c>
      <c r="AC17" s="12">
        <f t="shared" si="10"/>
        <v>1.4034056653913001E-4</v>
      </c>
      <c r="AD17" s="12">
        <f t="shared" si="11"/>
        <v>2.1121955289674101E-3</v>
      </c>
      <c r="AE17" s="12">
        <f t="shared" si="12"/>
        <v>2.6206584595311715E-4</v>
      </c>
      <c r="AF17" s="12">
        <f t="shared" si="13"/>
        <v>6.7342299347129028E-2</v>
      </c>
      <c r="AG17" s="13"/>
      <c r="AH17" s="13" t="s">
        <v>52</v>
      </c>
      <c r="AI17" s="12">
        <f t="shared" si="14"/>
        <v>1.6114785129421898E-4</v>
      </c>
      <c r="AJ17" s="12">
        <f t="shared" si="15"/>
        <v>5.3923659325851055E-5</v>
      </c>
      <c r="AK17" s="12">
        <f t="shared" si="16"/>
        <v>7.9678034197272127E-4</v>
      </c>
      <c r="AL17" s="12">
        <f t="shared" si="17"/>
        <v>2.3481508206586083E-2</v>
      </c>
      <c r="AM17" s="12">
        <f t="shared" si="18"/>
        <v>0</v>
      </c>
      <c r="AN17" s="12">
        <f t="shared" si="7"/>
        <v>0.15650354647476483</v>
      </c>
      <c r="AO17" s="13"/>
      <c r="AP17" s="1" t="s">
        <v>132</v>
      </c>
      <c r="AQ17" s="12">
        <f t="shared" si="19"/>
        <v>0.22384584582189387</v>
      </c>
      <c r="AR17" s="12">
        <f t="shared" si="20"/>
        <v>0.69915769890717161</v>
      </c>
      <c r="AS17" s="11">
        <f t="shared" si="21"/>
        <v>5</v>
      </c>
      <c r="AU17" s="1" t="str">
        <v>Valerolactam</v>
      </c>
      <c r="AV17">
        <v>0.21835964299322025</v>
      </c>
      <c r="AW17" s="4">
        <v>0.28715951770185272</v>
      </c>
    </row>
    <row r="18" spans="2:49" x14ac:dyDescent="0.3">
      <c r="B18" t="s">
        <v>48</v>
      </c>
      <c r="C18" t="s">
        <v>10</v>
      </c>
      <c r="E18" t="s">
        <v>53</v>
      </c>
      <c r="F18">
        <f>'2. Database'!O25</f>
        <v>1</v>
      </c>
      <c r="G18" s="8">
        <f>LOG('2. Database'!M25)</f>
        <v>2.6419185158158522</v>
      </c>
      <c r="H18" s="4">
        <f>'2. Database'!I25</f>
        <v>1.8872350024088931</v>
      </c>
      <c r="I18" s="8">
        <f>'2. Database'!G25</f>
        <v>3.5142672127464181</v>
      </c>
      <c r="J18" s="15">
        <f>'2. Database'!P25</f>
        <v>0</v>
      </c>
      <c r="K18" s="8"/>
      <c r="L18" s="9" t="s">
        <v>53</v>
      </c>
      <c r="M18" s="8">
        <f>'2. Score calculation'!F18/'2. Score calculation'!F$23</f>
        <v>9.4491118252306799E-2</v>
      </c>
      <c r="N18" s="8">
        <f>'2. Score calculation'!G18/'2. Score calculation'!G$23</f>
        <v>0.17373658476244555</v>
      </c>
      <c r="O18" s="8">
        <f>'2. Score calculation'!H18/'2. Score calculation'!H$23</f>
        <v>0.23016512574946446</v>
      </c>
      <c r="P18" s="8">
        <f>'2. Score calculation'!I18/'2. Score calculation'!I$23</f>
        <v>0.21301980813303456</v>
      </c>
      <c r="Q18" s="8">
        <f>'2. Score calculation'!J18/'2. Score calculation'!J$23</f>
        <v>0</v>
      </c>
      <c r="R18" s="5"/>
      <c r="S18" s="11" t="s">
        <v>53</v>
      </c>
      <c r="T18" s="12">
        <f t="shared" si="0"/>
        <v>4.2314674535518732E-3</v>
      </c>
      <c r="U18" s="12">
        <f t="shared" si="1"/>
        <v>4.1806914125589935E-2</v>
      </c>
      <c r="V18" s="12">
        <f t="shared" si="2"/>
        <v>2.3571030827871573E-2</v>
      </c>
      <c r="W18" s="12">
        <f t="shared" si="3"/>
        <v>0.12195848162932314</v>
      </c>
      <c r="X18" s="12">
        <f t="shared" si="4"/>
        <v>0</v>
      </c>
      <c r="Y18" s="13"/>
      <c r="Z18" s="13" t="s">
        <v>53</v>
      </c>
      <c r="AA18" s="12">
        <f t="shared" si="8"/>
        <v>2.8648506896750039E-4</v>
      </c>
      <c r="AB18" s="12">
        <f t="shared" si="9"/>
        <v>1.4564153452021611E-3</v>
      </c>
      <c r="AC18" s="12">
        <f t="shared" si="10"/>
        <v>2.6783906873947887E-4</v>
      </c>
      <c r="AD18" s="12">
        <f t="shared" si="11"/>
        <v>1.0513651136220031E-2</v>
      </c>
      <c r="AE18" s="12">
        <f t="shared" si="12"/>
        <v>2.6206584595311715E-4</v>
      </c>
      <c r="AF18" s="12">
        <f t="shared" si="13"/>
        <v>0.11307721461498019</v>
      </c>
      <c r="AG18" s="13"/>
      <c r="AH18" s="13" t="s">
        <v>53</v>
      </c>
      <c r="AI18" s="12">
        <f t="shared" si="14"/>
        <v>0</v>
      </c>
      <c r="AJ18" s="12">
        <f t="shared" si="15"/>
        <v>1.9402592810035315E-4</v>
      </c>
      <c r="AK18" s="12">
        <f t="shared" si="16"/>
        <v>5.6207166411425635E-4</v>
      </c>
      <c r="AL18" s="12">
        <f t="shared" si="17"/>
        <v>9.3430209376699387E-3</v>
      </c>
      <c r="AM18" s="12">
        <f t="shared" si="18"/>
        <v>0</v>
      </c>
      <c r="AN18" s="12">
        <f t="shared" si="7"/>
        <v>0.10049437063778523</v>
      </c>
      <c r="AO18" s="13"/>
      <c r="AP18" t="s">
        <v>15</v>
      </c>
      <c r="AQ18" s="12">
        <f t="shared" si="19"/>
        <v>0.21357158525276543</v>
      </c>
      <c r="AR18" s="12">
        <f t="shared" si="20"/>
        <v>0.47054185845391611</v>
      </c>
      <c r="AS18" s="11">
        <f t="shared" si="21"/>
        <v>12</v>
      </c>
      <c r="AU18" t="str">
        <v>Limonene</v>
      </c>
      <c r="AV18">
        <v>0.212629621116529</v>
      </c>
      <c r="AW18" s="4">
        <v>0.27995909040238254</v>
      </c>
    </row>
    <row r="19" spans="2:49" x14ac:dyDescent="0.3">
      <c r="B19" t="s">
        <v>49</v>
      </c>
      <c r="C19" t="s">
        <v>11</v>
      </c>
      <c r="E19" t="s">
        <v>54</v>
      </c>
      <c r="F19">
        <f>'2. Database'!O26</f>
        <v>1</v>
      </c>
      <c r="G19" s="8">
        <f>LOG('2. Database'!M26)</f>
        <v>1.9718070804268304</v>
      </c>
      <c r="H19" s="4">
        <f>'2. Database'!I26</f>
        <v>1.1544520120445221</v>
      </c>
      <c r="I19" s="8">
        <f>'2. Database'!G26</f>
        <v>2.5565253430515913</v>
      </c>
      <c r="J19" s="15">
        <f>'2. Database'!P26</f>
        <v>1</v>
      </c>
      <c r="K19" s="8"/>
      <c r="L19" s="9" t="s">
        <v>54</v>
      </c>
      <c r="M19" s="8">
        <f>'2. Score calculation'!F19/'2. Score calculation'!F$23</f>
        <v>9.4491118252306799E-2</v>
      </c>
      <c r="N19" s="8">
        <f>'2. Score calculation'!G19/'2. Score calculation'!G$23</f>
        <v>0.12966903631317167</v>
      </c>
      <c r="O19" s="8">
        <f>'2. Score calculation'!H19/'2. Score calculation'!H$23</f>
        <v>0.1407957102241045</v>
      </c>
      <c r="P19" s="8">
        <f>'2. Score calculation'!I19/'2. Score calculation'!I$23</f>
        <v>0.15496560309609753</v>
      </c>
      <c r="Q19" s="8">
        <f>'2. Score calculation'!J19/'2. Score calculation'!J$23</f>
        <v>0.40824829046386307</v>
      </c>
      <c r="R19" s="5"/>
      <c r="S19" s="11" t="s">
        <v>54</v>
      </c>
      <c r="T19" s="12">
        <f t="shared" si="0"/>
        <v>4.2314674535518732E-3</v>
      </c>
      <c r="U19" s="12">
        <f t="shared" si="1"/>
        <v>3.1202767530541291E-2</v>
      </c>
      <c r="V19" s="12">
        <f t="shared" si="2"/>
        <v>1.4418778758589417E-2</v>
      </c>
      <c r="W19" s="12">
        <f t="shared" si="3"/>
        <v>8.8721184306810599E-2</v>
      </c>
      <c r="X19" s="12">
        <f t="shared" si="4"/>
        <v>1.6188447916743506E-2</v>
      </c>
      <c r="Y19" s="13"/>
      <c r="Z19" s="13" t="s">
        <v>54</v>
      </c>
      <c r="AA19" s="12">
        <f t="shared" si="8"/>
        <v>2.8648506896750039E-4</v>
      </c>
      <c r="AB19" s="12">
        <f t="shared" si="9"/>
        <v>2.378235578904197E-3</v>
      </c>
      <c r="AC19" s="12">
        <f t="shared" si="10"/>
        <v>5.2035123490221106E-5</v>
      </c>
      <c r="AD19" s="12">
        <f t="shared" si="11"/>
        <v>4.80232360174961E-3</v>
      </c>
      <c r="AE19" s="12">
        <f t="shared" si="12"/>
        <v>0</v>
      </c>
      <c r="AF19" s="12">
        <f t="shared" si="13"/>
        <v>8.6712625223271431E-2</v>
      </c>
      <c r="AG19" s="13"/>
      <c r="AH19" s="13" t="s">
        <v>54</v>
      </c>
      <c r="AI19" s="12">
        <f t="shared" si="14"/>
        <v>0</v>
      </c>
      <c r="AJ19" s="12">
        <f t="shared" si="15"/>
        <v>1.1056771593451726E-5</v>
      </c>
      <c r="AK19" s="12">
        <f t="shared" si="16"/>
        <v>1.0797994927117317E-3</v>
      </c>
      <c r="AL19" s="12">
        <f t="shared" si="17"/>
        <v>1.6873126884500447E-2</v>
      </c>
      <c r="AM19" s="12">
        <f t="shared" si="18"/>
        <v>2.6206584595311715E-4</v>
      </c>
      <c r="AN19" s="12">
        <f t="shared" si="7"/>
        <v>0.13500388510986916</v>
      </c>
      <c r="AO19" s="13"/>
      <c r="AP19" s="2" t="s">
        <v>16</v>
      </c>
      <c r="AQ19" s="12">
        <f t="shared" si="19"/>
        <v>0.2217165103331406</v>
      </c>
      <c r="AR19" s="12">
        <f t="shared" si="20"/>
        <v>0.60890316606110562</v>
      </c>
      <c r="AS19" s="11">
        <f t="shared" si="21"/>
        <v>8</v>
      </c>
      <c r="AU19" s="2" t="str">
        <v>Violacein</v>
      </c>
      <c r="AV19">
        <v>0.21438618301539228</v>
      </c>
      <c r="AW19" s="4">
        <v>0.26942393781592316</v>
      </c>
    </row>
    <row r="20" spans="2:49" x14ac:dyDescent="0.3">
      <c r="B20" t="s">
        <v>50</v>
      </c>
      <c r="C20" t="s">
        <v>12</v>
      </c>
      <c r="E20" t="s">
        <v>55</v>
      </c>
      <c r="F20">
        <f>'2. Database'!O27</f>
        <v>1</v>
      </c>
      <c r="G20" s="8">
        <f>LOG('2. Database'!M27)</f>
        <v>3.6214100944626124</v>
      </c>
      <c r="H20" s="4">
        <f>'2. Database'!I27</f>
        <v>2.1907839450772859</v>
      </c>
      <c r="I20" s="8">
        <f>'2. Database'!G27</f>
        <v>5.8444898073272604</v>
      </c>
      <c r="J20" s="15">
        <f>'2. Database'!P27</f>
        <v>0</v>
      </c>
      <c r="K20" s="8"/>
      <c r="L20" s="9" t="s">
        <v>55</v>
      </c>
      <c r="M20" s="8">
        <f>'2. Score calculation'!F20/'2. Score calculation'!F$23</f>
        <v>9.4491118252306799E-2</v>
      </c>
      <c r="N20" s="8">
        <f>'2. Score calculation'!G20/'2. Score calculation'!G$23</f>
        <v>0.23814944256215445</v>
      </c>
      <c r="O20" s="8">
        <f>'2. Score calculation'!H20/'2. Score calculation'!H$23</f>
        <v>0.26718562424128406</v>
      </c>
      <c r="P20" s="8">
        <f>'2. Score calculation'!I20/'2. Score calculation'!I$23</f>
        <v>0.35426790907552003</v>
      </c>
      <c r="Q20" s="8">
        <f>'2. Score calculation'!J20/'2. Score calculation'!J$23</f>
        <v>0</v>
      </c>
      <c r="R20" s="5"/>
      <c r="S20" s="11" t="s">
        <v>55</v>
      </c>
      <c r="T20" s="12">
        <f t="shared" si="0"/>
        <v>4.2314674535518732E-3</v>
      </c>
      <c r="U20" s="12">
        <f t="shared" si="1"/>
        <v>5.7306832109463857E-2</v>
      </c>
      <c r="V20" s="12">
        <f t="shared" si="2"/>
        <v>2.7362271174872246E-2</v>
      </c>
      <c r="W20" s="12">
        <f t="shared" si="3"/>
        <v>0.20282609706353058</v>
      </c>
      <c r="X20" s="12">
        <f t="shared" si="4"/>
        <v>0</v>
      </c>
      <c r="Y20" s="13"/>
      <c r="Z20" s="13" t="s">
        <v>55</v>
      </c>
      <c r="AA20" s="12">
        <f t="shared" si="8"/>
        <v>2.8648506896750039E-4</v>
      </c>
      <c r="AB20" s="12">
        <f t="shared" si="9"/>
        <v>5.1361574741703661E-4</v>
      </c>
      <c r="AC20" s="12">
        <f t="shared" si="10"/>
        <v>4.0630585567832012E-4</v>
      </c>
      <c r="AD20" s="12">
        <f t="shared" si="11"/>
        <v>3.3636921642043731E-2</v>
      </c>
      <c r="AE20" s="12">
        <f t="shared" si="12"/>
        <v>2.6206584595311715E-4</v>
      </c>
      <c r="AF20" s="12">
        <f t="shared" si="13"/>
        <v>0.18736433534709776</v>
      </c>
      <c r="AG20" s="13"/>
      <c r="AH20" s="13" t="s">
        <v>55</v>
      </c>
      <c r="AI20" s="12">
        <f t="shared" si="14"/>
        <v>0</v>
      </c>
      <c r="AJ20" s="12">
        <f t="shared" si="15"/>
        <v>8.6607999007963922E-4</v>
      </c>
      <c r="AK20" s="12">
        <f t="shared" si="16"/>
        <v>3.9667933137821424E-4</v>
      </c>
      <c r="AL20" s="12">
        <f t="shared" si="17"/>
        <v>2.4937740944557787E-4</v>
      </c>
      <c r="AM20" s="12">
        <f t="shared" si="18"/>
        <v>0</v>
      </c>
      <c r="AN20" s="12">
        <f t="shared" si="7"/>
        <v>3.8886202320404489E-2</v>
      </c>
      <c r="AO20" s="13"/>
      <c r="AP20" t="s">
        <v>17</v>
      </c>
      <c r="AQ20" s="12">
        <f t="shared" si="19"/>
        <v>0.22625053766750225</v>
      </c>
      <c r="AR20" s="12">
        <f t="shared" si="20"/>
        <v>0.17187230899557748</v>
      </c>
      <c r="AS20" s="11">
        <f t="shared" si="21"/>
        <v>18</v>
      </c>
      <c r="AU20" t="str">
        <v>Ethylamine</v>
      </c>
      <c r="AV20">
        <v>0.22089511150102142</v>
      </c>
      <c r="AW20" s="4">
        <v>0.18500936010515942</v>
      </c>
    </row>
    <row r="21" spans="2:49" x14ac:dyDescent="0.3">
      <c r="B21" t="s">
        <v>51</v>
      </c>
      <c r="C21" s="2" t="s">
        <v>13</v>
      </c>
      <c r="E21" t="s">
        <v>56</v>
      </c>
      <c r="F21">
        <f>'2. Database'!O28</f>
        <v>1</v>
      </c>
      <c r="G21" s="8">
        <f>LOG('2. Database'!M28)</f>
        <v>4.5005619384412956</v>
      </c>
      <c r="H21" s="4">
        <f>'2. Database'!I28</f>
        <v>1.2704501698662387</v>
      </c>
      <c r="I21" s="8">
        <f>'2. Database'!G28</f>
        <v>3.3203467063463661</v>
      </c>
      <c r="J21" s="15">
        <f>'2. Database'!P28</f>
        <v>0</v>
      </c>
      <c r="K21" s="8"/>
      <c r="L21" s="9" t="s">
        <v>56</v>
      </c>
      <c r="M21" s="8">
        <f>'2. Score calculation'!F21/'2. Score calculation'!F$23</f>
        <v>9.4491118252306799E-2</v>
      </c>
      <c r="N21" s="8">
        <f>'2. Score calculation'!G21/'2. Score calculation'!G$23</f>
        <v>0.29596380661088623</v>
      </c>
      <c r="O21" s="8">
        <f>'2. Score calculation'!H21/'2. Score calculation'!H$23</f>
        <v>0.15494271923340278</v>
      </c>
      <c r="P21" s="8">
        <f>'2. Score calculation'!I21/'2. Score calculation'!I$23</f>
        <v>0.20126517862832002</v>
      </c>
      <c r="Q21" s="8">
        <f>'2. Score calculation'!J21/'2. Score calculation'!J$23</f>
        <v>0</v>
      </c>
      <c r="R21" s="5"/>
      <c r="S21" s="11" t="s">
        <v>56</v>
      </c>
      <c r="T21" s="12">
        <f t="shared" si="0"/>
        <v>4.2314674535518732E-3</v>
      </c>
      <c r="U21" s="12">
        <f t="shared" si="1"/>
        <v>7.1218928725820183E-2</v>
      </c>
      <c r="V21" s="12">
        <f t="shared" si="2"/>
        <v>1.5867562906033708E-2</v>
      </c>
      <c r="W21" s="12">
        <f t="shared" si="3"/>
        <v>0.11522870011710371</v>
      </c>
      <c r="X21" s="12">
        <f t="shared" si="4"/>
        <v>0</v>
      </c>
      <c r="Y21" s="13"/>
      <c r="Z21" s="13" t="s">
        <v>56</v>
      </c>
      <c r="AA21" s="12">
        <f t="shared" si="8"/>
        <v>2.8648506896750039E-4</v>
      </c>
      <c r="AB21" s="12">
        <f t="shared" si="9"/>
        <v>7.6579923454479632E-5</v>
      </c>
      <c r="AC21" s="12">
        <f t="shared" si="10"/>
        <v>7.5035816595550459E-5</v>
      </c>
      <c r="AD21" s="12">
        <f t="shared" si="11"/>
        <v>9.1788500389688218E-3</v>
      </c>
      <c r="AE21" s="12">
        <f t="shared" si="12"/>
        <v>2.6206584595311715E-4</v>
      </c>
      <c r="AF21" s="12">
        <f t="shared" si="13"/>
        <v>9.9393242697577128E-2</v>
      </c>
      <c r="AG21" s="13"/>
      <c r="AH21" s="13" t="s">
        <v>56</v>
      </c>
      <c r="AI21" s="12">
        <f t="shared" si="14"/>
        <v>0</v>
      </c>
      <c r="AJ21" s="12">
        <f t="shared" si="15"/>
        <v>1.8784711991692994E-3</v>
      </c>
      <c r="AK21" s="12">
        <f t="shared" si="16"/>
        <v>9.8668349698998055E-4</v>
      </c>
      <c r="AL21" s="12">
        <f t="shared" si="17"/>
        <v>1.068930288315411E-2</v>
      </c>
      <c r="AM21" s="12">
        <f t="shared" si="18"/>
        <v>0</v>
      </c>
      <c r="AN21" s="12">
        <f t="shared" si="7"/>
        <v>0.11642361263641234</v>
      </c>
      <c r="AO21" s="13"/>
      <c r="AP21" s="1" t="s">
        <v>18</v>
      </c>
      <c r="AQ21" s="12">
        <f t="shared" si="19"/>
        <v>0.21581685533398948</v>
      </c>
      <c r="AR21" s="12">
        <f t="shared" si="20"/>
        <v>0.53945560672839865</v>
      </c>
      <c r="AS21" s="11">
        <f t="shared" si="21"/>
        <v>10</v>
      </c>
      <c r="AU21" s="1" t="str">
        <v>Putrescine</v>
      </c>
      <c r="AV21">
        <v>0.22625053766750225</v>
      </c>
      <c r="AW21" s="4">
        <v>0.17187230899557748</v>
      </c>
    </row>
    <row r="22" spans="2:49" x14ac:dyDescent="0.3">
      <c r="B22" t="s">
        <v>52</v>
      </c>
      <c r="C22" s="1" t="s">
        <v>14</v>
      </c>
      <c r="E22" t="s">
        <v>57</v>
      </c>
      <c r="F22">
        <f>'2. Database'!O29</f>
        <v>1</v>
      </c>
      <c r="G22" s="8">
        <f>LOG('2. Database'!M29)</f>
        <v>1.7616783312286095</v>
      </c>
      <c r="H22" s="4">
        <f>'2. Database'!I29</f>
        <v>2.4187550751072751</v>
      </c>
      <c r="I22" s="8">
        <f>'2. Database'!G29</f>
        <v>4.7094771442139711</v>
      </c>
      <c r="J22" s="15">
        <f>'2. Database'!P29</f>
        <v>0</v>
      </c>
      <c r="K22" s="8"/>
      <c r="L22" s="9" t="s">
        <v>57</v>
      </c>
      <c r="M22" s="8">
        <f>'2. Score calculation'!F22/'2. Score calculation'!F$23</f>
        <v>9.4491118252306799E-2</v>
      </c>
      <c r="N22" s="8">
        <f>'2. Score calculation'!G22/'2. Score calculation'!G$23</f>
        <v>0.1158506497779497</v>
      </c>
      <c r="O22" s="8">
        <f>'2. Score calculation'!H22/'2. Score calculation'!H$23</f>
        <v>0.29498873500577566</v>
      </c>
      <c r="P22" s="8">
        <f>'2. Score calculation'!I22/'2. Score calculation'!I$23</f>
        <v>0.28546830873550916</v>
      </c>
      <c r="Q22" s="8">
        <f>'2. Score calculation'!J22/'2. Score calculation'!J$23</f>
        <v>0</v>
      </c>
      <c r="R22" s="5"/>
      <c r="S22" s="11" t="s">
        <v>57</v>
      </c>
      <c r="T22" s="12">
        <f t="shared" si="0"/>
        <v>4.2314674535518732E-3</v>
      </c>
      <c r="U22" s="12">
        <f t="shared" si="1"/>
        <v>2.7877595114943608E-2</v>
      </c>
      <c r="V22" s="12">
        <f t="shared" si="2"/>
        <v>3.0209566041141028E-2</v>
      </c>
      <c r="W22" s="12">
        <f t="shared" si="3"/>
        <v>0.1634368267993688</v>
      </c>
      <c r="X22" s="12">
        <f t="shared" si="4"/>
        <v>0</v>
      </c>
      <c r="Y22" s="13"/>
      <c r="Z22" s="13" t="s">
        <v>57</v>
      </c>
      <c r="AA22" s="12">
        <f t="shared" si="8"/>
        <v>2.8648506896750039E-4</v>
      </c>
      <c r="AB22" s="12">
        <f t="shared" si="9"/>
        <v>2.713610759419277E-3</v>
      </c>
      <c r="AC22" s="12">
        <f t="shared" si="10"/>
        <v>5.2919895942284741E-4</v>
      </c>
      <c r="AD22" s="12">
        <f t="shared" si="11"/>
        <v>2.0740159480832458E-2</v>
      </c>
      <c r="AE22" s="12">
        <f t="shared" si="12"/>
        <v>2.6206584595311715E-4</v>
      </c>
      <c r="AF22" s="12">
        <f t="shared" si="13"/>
        <v>0.15662541337406011</v>
      </c>
      <c r="AG22" s="13"/>
      <c r="AH22" s="13" t="s">
        <v>57</v>
      </c>
      <c r="AI22" s="12">
        <f t="shared" si="14"/>
        <v>0</v>
      </c>
      <c r="AJ22" s="12">
        <f t="shared" si="15"/>
        <v>0</v>
      </c>
      <c r="AK22" s="12">
        <f t="shared" si="16"/>
        <v>2.9136835615852972E-4</v>
      </c>
      <c r="AL22" s="12">
        <f t="shared" si="17"/>
        <v>3.0449381534005107E-3</v>
      </c>
      <c r="AM22" s="12">
        <f t="shared" si="18"/>
        <v>0</v>
      </c>
      <c r="AN22" s="12">
        <f t="shared" si="7"/>
        <v>5.7760769641332171E-2</v>
      </c>
      <c r="AO22" s="13"/>
      <c r="AP22" t="s">
        <v>19</v>
      </c>
      <c r="AQ22" s="12">
        <f t="shared" si="19"/>
        <v>0.21438618301539228</v>
      </c>
      <c r="AR22" s="12">
        <f t="shared" si="20"/>
        <v>0.26942393781592316</v>
      </c>
      <c r="AS22" s="11">
        <f t="shared" si="21"/>
        <v>16</v>
      </c>
      <c r="AU22" t="str">
        <v>Bio-aviation gasoline</v>
      </c>
      <c r="AV22">
        <v>0.24025035849520104</v>
      </c>
      <c r="AW22" s="4">
        <v>0.14766615116472809</v>
      </c>
    </row>
    <row r="23" spans="2:49" x14ac:dyDescent="0.3">
      <c r="B23" t="s">
        <v>53</v>
      </c>
      <c r="C23" t="s">
        <v>15</v>
      </c>
      <c r="E23" t="s">
        <v>143</v>
      </c>
      <c r="F23">
        <f>SQRT(SUMSQ('2. Score calculation'!F4:F22))</f>
        <v>10.583005244258363</v>
      </c>
      <c r="G23">
        <f>SQRT(SUMSQ('2. Score calculation'!G4:G22))</f>
        <v>15.206460512782696</v>
      </c>
      <c r="H23">
        <f>SQRT(SUMSQ('2. Score calculation'!H4:H22))</f>
        <v>8.1994828550314569</v>
      </c>
      <c r="I23">
        <f>SQRT(SUMSQ('2. Score calculation'!I4:I22))</f>
        <v>16.497372913563499</v>
      </c>
      <c r="J23">
        <f>SQRT(SUMSQ('2. Score calculation'!J4:J22))</f>
        <v>2.4494897427831779</v>
      </c>
      <c r="K23" s="8"/>
      <c r="L23" s="9"/>
      <c r="M23" s="8"/>
      <c r="N23" s="8"/>
      <c r="O23" s="8"/>
      <c r="P23" s="8"/>
      <c r="Q23" s="8"/>
      <c r="R23" s="5"/>
      <c r="S23" s="14" t="s">
        <v>58</v>
      </c>
      <c r="T23" s="12">
        <f>MAX(T4:T22)</f>
        <v>2.1157337267759365E-2</v>
      </c>
      <c r="U23" s="12">
        <f t="shared" ref="U23:X23" si="22">MAX(U4:U22)</f>
        <v>7.9969924295152831E-2</v>
      </c>
      <c r="V23" s="12">
        <f>MIN(V4:V22)</f>
        <v>7.2052412429026019E-3</v>
      </c>
      <c r="W23" s="12">
        <f>MIN(W4:W22)</f>
        <v>1.94223848817873E-2</v>
      </c>
      <c r="X23" s="12">
        <f t="shared" si="22"/>
        <v>1.6188447916743506E-2</v>
      </c>
      <c r="Y23" s="13"/>
      <c r="Z23" s="11"/>
      <c r="AA23" s="11"/>
      <c r="AB23" s="11"/>
      <c r="AC23" s="11"/>
      <c r="AD23" s="11"/>
      <c r="AE23" s="11"/>
      <c r="AF23" s="11"/>
      <c r="AG23" s="11"/>
      <c r="AH23" s="11"/>
      <c r="AI23" s="12"/>
      <c r="AJ23" s="12"/>
      <c r="AK23" s="12"/>
      <c r="AL23" s="12"/>
      <c r="AM23" s="12"/>
      <c r="AN23" s="12"/>
      <c r="AO23" s="11"/>
      <c r="AP23" s="11"/>
      <c r="AQ23" s="11"/>
      <c r="AR23" s="11"/>
      <c r="AS23" s="11"/>
    </row>
    <row r="24" spans="2:49" x14ac:dyDescent="0.3">
      <c r="B24" t="s">
        <v>54</v>
      </c>
      <c r="C24" s="2" t="s">
        <v>16</v>
      </c>
      <c r="E24" s="10" t="s">
        <v>59</v>
      </c>
      <c r="F24">
        <f>MAX('2. Score calculation'!F4:F22)</f>
        <v>5</v>
      </c>
      <c r="G24" s="8">
        <f>MAX('2. Score calculation'!G4:G22)</f>
        <v>5.053566572004792</v>
      </c>
      <c r="H24" s="8">
        <f>MAX('2. Score calculation'!H4:H22)</f>
        <v>3.7854406130268199</v>
      </c>
      <c r="I24" s="8">
        <f>MAX('2. Score calculation'!I4:I22)</f>
        <v>6.2995316427251211</v>
      </c>
      <c r="J24">
        <f>MAX('2. Score calculation'!J4:J22)</f>
        <v>1</v>
      </c>
      <c r="K24" s="8"/>
      <c r="L24" s="9"/>
      <c r="M24" s="8"/>
      <c r="N24" s="8"/>
      <c r="O24" s="8"/>
      <c r="P24" s="8"/>
      <c r="Q24" s="8"/>
      <c r="R24" s="5"/>
      <c r="S24" s="5" t="s">
        <v>60</v>
      </c>
      <c r="T24" s="3">
        <f>MIN(T4:T22)</f>
        <v>4.2314674535518732E-3</v>
      </c>
      <c r="U24" s="3">
        <f>MIN(U4:U22)</f>
        <v>2.7877595114943608E-2</v>
      </c>
      <c r="V24" s="3">
        <f>MAX(V4:V22)</f>
        <v>4.7279081446053077E-2</v>
      </c>
      <c r="W24" s="3">
        <f>MAX(W4:W22)</f>
        <v>0.21861778504947996</v>
      </c>
      <c r="X24" s="3">
        <f>MIN(X4:X22)</f>
        <v>0</v>
      </c>
      <c r="Y24" s="6"/>
    </row>
    <row r="25" spans="2:49" x14ac:dyDescent="0.3">
      <c r="B25" t="s">
        <v>55</v>
      </c>
      <c r="C25" t="s">
        <v>17</v>
      </c>
      <c r="E25" s="1" t="s">
        <v>61</v>
      </c>
      <c r="F25">
        <f>MIN('2. Score calculation'!F4:F22)</f>
        <v>1</v>
      </c>
      <c r="G25" s="8">
        <f>MIN('2. Score calculation'!G4:G22)</f>
        <v>1.7616783312286095</v>
      </c>
      <c r="H25" s="8">
        <f>MIN('2. Score calculation'!H4:H22)</f>
        <v>0.57689388188856838</v>
      </c>
      <c r="I25" s="8">
        <f>MIN('2. Score calculation'!I4:I22)</f>
        <v>0.55966136566754199</v>
      </c>
      <c r="J25">
        <f>MIN('2. Score calculation'!J4:J22)</f>
        <v>0</v>
      </c>
      <c r="K25" s="8"/>
      <c r="R25" s="5"/>
      <c r="Y25" s="6"/>
    </row>
    <row r="26" spans="2:49" x14ac:dyDescent="0.3">
      <c r="B26" t="s">
        <v>56</v>
      </c>
      <c r="C26" s="1" t="s">
        <v>18</v>
      </c>
      <c r="E26" t="s">
        <v>62</v>
      </c>
      <c r="F26" s="8">
        <f>F24-F25</f>
        <v>4</v>
      </c>
      <c r="G26" s="8">
        <f>G24-G25</f>
        <v>3.2918882407761823</v>
      </c>
      <c r="H26" s="8">
        <f>H24-H25</f>
        <v>3.2085467311382514</v>
      </c>
      <c r="I26" s="8">
        <f>I24-I25</f>
        <v>5.7398702770575794</v>
      </c>
      <c r="J26" s="8">
        <f>J24-J25</f>
        <v>1</v>
      </c>
      <c r="K26" s="8"/>
      <c r="R26" s="5"/>
      <c r="Y26" s="6"/>
    </row>
    <row r="27" spans="2:49" x14ac:dyDescent="0.3">
      <c r="B27" t="s">
        <v>57</v>
      </c>
      <c r="C27" t="s">
        <v>19</v>
      </c>
      <c r="G27" s="8"/>
      <c r="H27" s="8"/>
      <c r="I27" s="8"/>
      <c r="J27" s="8"/>
      <c r="K27" s="8"/>
      <c r="L27" s="9"/>
      <c r="M27" s="8"/>
      <c r="N27" s="8"/>
      <c r="O27" s="8"/>
      <c r="P27" s="8"/>
      <c r="Q27" s="8"/>
      <c r="R27" s="5"/>
      <c r="Y27" s="6"/>
    </row>
    <row r="29" spans="2:49" x14ac:dyDescent="0.3">
      <c r="B29" t="s">
        <v>58</v>
      </c>
      <c r="C29" t="s">
        <v>85</v>
      </c>
      <c r="L29" s="7" t="s">
        <v>63</v>
      </c>
      <c r="M29" s="3">
        <f>'2. Database'!H49</f>
        <v>4.4781642251848053E-2</v>
      </c>
      <c r="N29" s="3">
        <f>'2. Database'!H50</f>
        <v>0.2406339124413755</v>
      </c>
      <c r="O29" s="3">
        <f>'2. Database'!H51</f>
        <v>0.10240921925560835</v>
      </c>
      <c r="P29" s="3">
        <f>'2. Database'!H52</f>
        <v>0.57252178892752525</v>
      </c>
      <c r="Q29" s="3">
        <f>'2. Database'!H53</f>
        <v>3.9653437123642922E-2</v>
      </c>
    </row>
    <row r="30" spans="2:49" x14ac:dyDescent="0.3">
      <c r="B30" t="s">
        <v>60</v>
      </c>
      <c r="C30" t="s">
        <v>86</v>
      </c>
    </row>
    <row r="31" spans="2:49" x14ac:dyDescent="0.3">
      <c r="B31" t="s">
        <v>29</v>
      </c>
      <c r="C31" t="s">
        <v>80</v>
      </c>
    </row>
    <row r="32" spans="2:49" x14ac:dyDescent="0.3">
      <c r="B32" t="s">
        <v>30</v>
      </c>
      <c r="C32" t="s">
        <v>81</v>
      </c>
      <c r="E32" s="90" t="s">
        <v>28</v>
      </c>
      <c r="F32" s="90"/>
    </row>
    <row r="33" spans="2:49" x14ac:dyDescent="0.3">
      <c r="B33" t="s">
        <v>82</v>
      </c>
      <c r="C33" t="s">
        <v>83</v>
      </c>
      <c r="E33" s="7" t="s">
        <v>79</v>
      </c>
      <c r="L33" t="s">
        <v>78</v>
      </c>
      <c r="S33" t="s">
        <v>84</v>
      </c>
      <c r="Z33" t="s">
        <v>87</v>
      </c>
      <c r="AH33" t="s">
        <v>88</v>
      </c>
      <c r="AP33" t="s">
        <v>89</v>
      </c>
    </row>
    <row r="34" spans="2:49" x14ac:dyDescent="0.3">
      <c r="E34" t="s">
        <v>31</v>
      </c>
      <c r="F34" t="s">
        <v>32</v>
      </c>
      <c r="G34" s="4" t="s">
        <v>33</v>
      </c>
      <c r="H34" s="4" t="s">
        <v>34</v>
      </c>
      <c r="I34" t="s">
        <v>35</v>
      </c>
      <c r="J34" t="s">
        <v>36</v>
      </c>
      <c r="L34" t="s">
        <v>31</v>
      </c>
      <c r="M34" t="s">
        <v>32</v>
      </c>
      <c r="N34" s="4" t="s">
        <v>33</v>
      </c>
      <c r="O34" s="4" t="s">
        <v>34</v>
      </c>
      <c r="P34" t="s">
        <v>35</v>
      </c>
      <c r="Q34" t="s">
        <v>36</v>
      </c>
      <c r="R34" s="5"/>
      <c r="S34" s="5" t="s">
        <v>31</v>
      </c>
      <c r="T34" s="5" t="s">
        <v>32</v>
      </c>
      <c r="U34" s="5" t="s">
        <v>33</v>
      </c>
      <c r="V34" s="5" t="s">
        <v>34</v>
      </c>
      <c r="W34" s="5" t="s">
        <v>35</v>
      </c>
      <c r="X34" s="5" t="s">
        <v>36</v>
      </c>
      <c r="Y34" s="6"/>
      <c r="Z34" s="5" t="s">
        <v>31</v>
      </c>
      <c r="AA34" s="5" t="s">
        <v>32</v>
      </c>
      <c r="AB34" s="5" t="s">
        <v>33</v>
      </c>
      <c r="AC34" s="5" t="s">
        <v>34</v>
      </c>
      <c r="AD34" s="5" t="s">
        <v>35</v>
      </c>
      <c r="AE34" s="5" t="s">
        <v>36</v>
      </c>
      <c r="AF34" s="5" t="s">
        <v>29</v>
      </c>
      <c r="AH34" s="5" t="s">
        <v>31</v>
      </c>
      <c r="AI34" s="5" t="s">
        <v>32</v>
      </c>
      <c r="AJ34" s="5" t="s">
        <v>33</v>
      </c>
      <c r="AK34" s="5" t="s">
        <v>34</v>
      </c>
      <c r="AL34" s="5" t="s">
        <v>35</v>
      </c>
      <c r="AM34" s="5" t="s">
        <v>36</v>
      </c>
      <c r="AN34" s="5" t="s">
        <v>30</v>
      </c>
      <c r="AO34" s="5"/>
      <c r="AP34" s="5" t="s">
        <v>31</v>
      </c>
      <c r="AQ34" s="5" t="s">
        <v>37</v>
      </c>
      <c r="AR34" s="5" t="s">
        <v>82</v>
      </c>
      <c r="AS34" s="5" t="s">
        <v>38</v>
      </c>
      <c r="AU34" s="5" t="s">
        <v>0</v>
      </c>
      <c r="AV34" s="5" t="s">
        <v>37</v>
      </c>
      <c r="AW34" s="5" t="s">
        <v>126</v>
      </c>
    </row>
    <row r="35" spans="2:49" x14ac:dyDescent="0.3">
      <c r="E35" t="s">
        <v>39</v>
      </c>
      <c r="F35">
        <f>'2. Database'!O11</f>
        <v>3</v>
      </c>
      <c r="G35" s="8">
        <f>LOG('2. Database'!M11)</f>
        <v>4.7518152835453034</v>
      </c>
      <c r="H35" s="4">
        <f>'2. Database'!J11</f>
        <v>0.57689388188856838</v>
      </c>
      <c r="I35" s="8">
        <f>'2. Database'!H11</f>
        <v>1.59987445073112</v>
      </c>
      <c r="J35" s="15">
        <f>'2. Database'!P11</f>
        <v>1</v>
      </c>
      <c r="K35" s="8"/>
      <c r="L35" s="9" t="s">
        <v>39</v>
      </c>
      <c r="M35" s="8">
        <f>F35/'2. Score calculation'!F$23</f>
        <v>0.28347335475692043</v>
      </c>
      <c r="N35" s="8">
        <f>G35/'2. Score calculation'!G$23</f>
        <v>0.31248660919816823</v>
      </c>
      <c r="O35" s="8">
        <f>H35/'2. Score calculation'!H$23</f>
        <v>7.0357349614380671E-2</v>
      </c>
      <c r="P35" s="8">
        <f>I35/'2. Score calculation'!I$23</f>
        <v>9.6977528429133431E-2</v>
      </c>
      <c r="Q35" s="8">
        <f>J35/'2. Score calculation'!J$23</f>
        <v>0.40824829046386307</v>
      </c>
      <c r="R35" s="5"/>
      <c r="S35" s="11" t="s">
        <v>39</v>
      </c>
      <c r="T35" s="12">
        <f t="shared" ref="T35:T53" si="23">M35*M$29</f>
        <v>1.269440236065562E-2</v>
      </c>
      <c r="U35" s="12">
        <f t="shared" ref="U35:U53" si="24">N35*N$29</f>
        <v>7.5194875356894342E-2</v>
      </c>
      <c r="V35" s="12">
        <f t="shared" ref="V35:V53" si="25">O35*O$29</f>
        <v>7.2052412429026019E-3</v>
      </c>
      <c r="W35" s="12">
        <f t="shared" ref="W35:W53" si="26">P35*P$29</f>
        <v>5.5521748062017408E-2</v>
      </c>
      <c r="X35" s="12">
        <f t="shared" ref="X35:X53" si="27">Q35*Q$29</f>
        <v>1.6188447916743506E-2</v>
      </c>
      <c r="Y35" s="13"/>
      <c r="Z35" s="13" t="s">
        <v>39</v>
      </c>
      <c r="AA35" s="12">
        <f>(T35-T$23)^2</f>
        <v>7.162126724187507E-5</v>
      </c>
      <c r="AB35" s="12">
        <f t="shared" ref="AB35:AB53" si="28">(U35-U$23)^2</f>
        <v>2.2801092362763519E-5</v>
      </c>
      <c r="AC35" s="12">
        <f t="shared" ref="AC35:AC53" si="29">(V35-V$23)^2</f>
        <v>0</v>
      </c>
      <c r="AD35" s="12">
        <f t="shared" ref="AD35:AD53" si="30">(W35-W$23)^2</f>
        <v>1.303164022018153E-3</v>
      </c>
      <c r="AE35" s="12">
        <f t="shared" ref="AE35:AE53" si="31">(X35-X$23)^2</f>
        <v>0</v>
      </c>
      <c r="AF35" s="12">
        <f>SQRT(SUM(AA35:AE35))</f>
        <v>3.7384306622201671E-2</v>
      </c>
      <c r="AG35" s="13"/>
      <c r="AH35" s="13" t="s">
        <v>39</v>
      </c>
      <c r="AI35" s="12">
        <f>(T35-T$24)^2</f>
        <v>7.1621267241875125E-5</v>
      </c>
      <c r="AJ35" s="12">
        <f t="shared" ref="AJ35:AJ53" si="32">(U35-U$24)^2</f>
        <v>2.2389250094953014E-3</v>
      </c>
      <c r="AK35" s="12">
        <f t="shared" ref="AK35:AK53" si="33">(V35-V$24)^2</f>
        <v>1.6059126686276393E-3</v>
      </c>
      <c r="AL35" s="12">
        <f t="shared" ref="AL35:AL53" si="34">(W35-W$24)^2</f>
        <v>2.6600317281015754E-2</v>
      </c>
      <c r="AM35" s="12">
        <f t="shared" ref="AM35:AM53" si="35">(X35-X$24)^2</f>
        <v>2.6206584595311715E-4</v>
      </c>
      <c r="AN35" s="12">
        <f t="shared" ref="AN35:AN53" si="36">SQRT(SUM(AI35:AM35))</f>
        <v>0.17543899815130526</v>
      </c>
      <c r="AO35" s="13"/>
      <c r="AP35" t="s">
        <v>1</v>
      </c>
      <c r="AQ35" s="12">
        <f>AF35+AN35</f>
        <v>0.21282330477350692</v>
      </c>
      <c r="AR35" s="12">
        <f>AN35/AQ35</f>
        <v>0.82434110464553123</v>
      </c>
      <c r="AS35" s="11">
        <f>_xlfn.RANK.EQ(AR35,$AR$35:$AR$53)</f>
        <v>3</v>
      </c>
      <c r="AU35" t="str" cm="1">
        <f t="array" ref="AU35:AW53">_xlfn._xlws.SORT(AP35:AR53,3,-1)</f>
        <v>PDC</v>
      </c>
      <c r="AV35">
        <v>0.22965915299394657</v>
      </c>
      <c r="AW35" s="4">
        <v>0.89578647843239123</v>
      </c>
    </row>
    <row r="36" spans="2:49" x14ac:dyDescent="0.3">
      <c r="E36" t="s">
        <v>40</v>
      </c>
      <c r="F36">
        <f>'2. Database'!O12</f>
        <v>2</v>
      </c>
      <c r="G36" s="8">
        <f>LOG('2. Database'!M12)</f>
        <v>4.2582676869478995</v>
      </c>
      <c r="H36" s="4">
        <f>'2. Database'!J12</f>
        <v>1.325731572310946</v>
      </c>
      <c r="I36" s="8">
        <f>'2. Database'!H12</f>
        <v>3.2456892678421054</v>
      </c>
      <c r="J36" s="15">
        <f>'2. Database'!P12</f>
        <v>0</v>
      </c>
      <c r="K36" s="8"/>
      <c r="L36" s="9" t="s">
        <v>40</v>
      </c>
      <c r="M36" s="8">
        <f>F36/'2. Score calculation'!F$23</f>
        <v>0.1889822365046136</v>
      </c>
      <c r="N36" s="8">
        <f>G36/'2. Score calculation'!G$23</f>
        <v>0.28003016766251154</v>
      </c>
      <c r="O36" s="8">
        <f>H36/'2. Score calculation'!H$23</f>
        <v>0.16168477887571117</v>
      </c>
      <c r="P36" s="8">
        <f>I36/'2. Score calculation'!I$23</f>
        <v>0.19673976486120562</v>
      </c>
      <c r="Q36" s="8">
        <f>J36/'2. Score calculation'!J$23</f>
        <v>0</v>
      </c>
      <c r="R36" s="5"/>
      <c r="S36" s="11" t="s">
        <v>40</v>
      </c>
      <c r="T36" s="12">
        <f t="shared" si="23"/>
        <v>8.4629349071037464E-3</v>
      </c>
      <c r="U36" s="12">
        <f t="shared" si="24"/>
        <v>6.7384754846244496E-2</v>
      </c>
      <c r="V36" s="12">
        <f t="shared" si="25"/>
        <v>1.6558011970177259E-2</v>
      </c>
      <c r="W36" s="12">
        <f t="shared" si="26"/>
        <v>0.11263780213151811</v>
      </c>
      <c r="X36" s="12">
        <f t="shared" si="27"/>
        <v>0</v>
      </c>
      <c r="Y36" s="13"/>
      <c r="Z36" s="13" t="s">
        <v>40</v>
      </c>
      <c r="AA36" s="12">
        <f t="shared" ref="AA36:AA53" si="37">(T36-T$23)^2</f>
        <v>1.6114785129421895E-4</v>
      </c>
      <c r="AB36" s="12">
        <f t="shared" si="28"/>
        <v>1.5838649005773571E-4</v>
      </c>
      <c r="AC36" s="12">
        <f t="shared" si="29"/>
        <v>8.7474320276965711E-5</v>
      </c>
      <c r="AD36" s="12">
        <f t="shared" si="30"/>
        <v>8.689114013041413E-3</v>
      </c>
      <c r="AE36" s="12">
        <f t="shared" si="31"/>
        <v>2.6206584595311715E-4</v>
      </c>
      <c r="AF36" s="12">
        <f t="shared" ref="AF36:AF53" si="38">SQRT(SUM(AA36:AE36))</f>
        <v>9.6737730594755267E-2</v>
      </c>
      <c r="AG36" s="13"/>
      <c r="AH36" s="13" t="s">
        <v>40</v>
      </c>
      <c r="AI36" s="12">
        <f t="shared" ref="AI36:AI53" si="39">(T36-T$24)^2</f>
        <v>1.7905316810468774E-5</v>
      </c>
      <c r="AJ36" s="12">
        <f t="shared" si="32"/>
        <v>1.5608156700345223E-3</v>
      </c>
      <c r="AK36" s="12">
        <f t="shared" si="33"/>
        <v>9.4378410974158889E-4</v>
      </c>
      <c r="AL36" s="12">
        <f t="shared" si="34"/>
        <v>1.1231756779291484E-2</v>
      </c>
      <c r="AM36" s="12">
        <f t="shared" si="35"/>
        <v>0</v>
      </c>
      <c r="AN36" s="12">
        <f t="shared" si="36"/>
        <v>0.11727856528743036</v>
      </c>
      <c r="AO36" s="13"/>
      <c r="AP36" t="s">
        <v>2</v>
      </c>
      <c r="AQ36" s="12">
        <f t="shared" ref="AQ36:AQ53" si="40">AF36+AN36</f>
        <v>0.21401629588218563</v>
      </c>
      <c r="AR36" s="12">
        <f t="shared" ref="AR36:AR53" si="41">AN36/AQ36</f>
        <v>0.54798895011243132</v>
      </c>
      <c r="AS36" s="11">
        <f t="shared" ref="AS36:AS53" si="42">_xlfn.RANK.EQ(AR36,$AR$35:$AR$53)</f>
        <v>13</v>
      </c>
      <c r="AU36" t="str">
        <v xml:space="preserve">Succinic acid </v>
      </c>
      <c r="AV36">
        <v>0.2523672361086865</v>
      </c>
      <c r="AW36" s="4">
        <v>0.83488506994317246</v>
      </c>
    </row>
    <row r="37" spans="2:49" x14ac:dyDescent="0.3">
      <c r="E37" t="s">
        <v>41</v>
      </c>
      <c r="F37">
        <f>'2. Database'!O13</f>
        <v>1</v>
      </c>
      <c r="G37" s="8">
        <f>LOG('2. Database'!M13)</f>
        <v>2.6208230949891842</v>
      </c>
      <c r="H37" s="4">
        <f>'2. Database'!J13</f>
        <v>2.1384021384021383</v>
      </c>
      <c r="I37" s="8">
        <f>'2. Database'!H13</f>
        <v>4.7383049150608851</v>
      </c>
      <c r="J37" s="15">
        <f>'2. Database'!P13</f>
        <v>0</v>
      </c>
      <c r="K37" s="8"/>
      <c r="L37" s="9" t="s">
        <v>41</v>
      </c>
      <c r="M37" s="8">
        <f>F37/'2. Score calculation'!F$23</f>
        <v>9.4491118252306799E-2</v>
      </c>
      <c r="N37" s="8">
        <f>G37/'2. Score calculation'!G$23</f>
        <v>0.17234931776438675</v>
      </c>
      <c r="O37" s="8">
        <f>H37/'2. Score calculation'!H$23</f>
        <v>0.26079719614145525</v>
      </c>
      <c r="P37" s="8">
        <f>I37/'2. Score calculation'!I$23</f>
        <v>0.28721572458153233</v>
      </c>
      <c r="Q37" s="8">
        <f>J37/'2. Score calculation'!J$23</f>
        <v>0</v>
      </c>
      <c r="R37" s="5"/>
      <c r="S37" s="11" t="s">
        <v>41</v>
      </c>
      <c r="T37" s="12">
        <f t="shared" si="23"/>
        <v>4.2314674535518732E-3</v>
      </c>
      <c r="U37" s="12">
        <f t="shared" si="24"/>
        <v>4.1473090640246242E-2</v>
      </c>
      <c r="V37" s="12">
        <f t="shared" si="25"/>
        <v>2.6708037240898187E-2</v>
      </c>
      <c r="W37" s="12">
        <f t="shared" si="26"/>
        <v>0.16443726044553428</v>
      </c>
      <c r="X37" s="12">
        <f t="shared" si="27"/>
        <v>0</v>
      </c>
      <c r="Y37" s="13"/>
      <c r="Z37" s="13" t="s">
        <v>41</v>
      </c>
      <c r="AA37" s="12">
        <f t="shared" si="37"/>
        <v>2.8648506896750039E-4</v>
      </c>
      <c r="AB37" s="12">
        <f t="shared" si="28"/>
        <v>1.4820062014535486E-3</v>
      </c>
      <c r="AC37" s="12">
        <f t="shared" si="29"/>
        <v>3.803590517394326E-4</v>
      </c>
      <c r="AD37" s="12">
        <f t="shared" si="30"/>
        <v>2.1029314134769023E-2</v>
      </c>
      <c r="AE37" s="12">
        <f t="shared" si="31"/>
        <v>2.6206584595311715E-4</v>
      </c>
      <c r="AF37" s="12">
        <f t="shared" si="38"/>
        <v>0.15310202579614229</v>
      </c>
      <c r="AG37" s="13"/>
      <c r="AH37" s="13" t="s">
        <v>41</v>
      </c>
      <c r="AI37" s="12">
        <f t="shared" si="39"/>
        <v>0</v>
      </c>
      <c r="AJ37" s="12">
        <f t="shared" si="32"/>
        <v>1.8483749857852393E-4</v>
      </c>
      <c r="AK37" s="12">
        <f t="shared" si="33"/>
        <v>4.2316785969043658E-4</v>
      </c>
      <c r="AL37" s="12">
        <f t="shared" si="34"/>
        <v>2.9355292463587629E-3</v>
      </c>
      <c r="AM37" s="12">
        <f t="shared" si="35"/>
        <v>0</v>
      </c>
      <c r="AN37" s="12">
        <f t="shared" si="36"/>
        <v>5.9527595320386692E-2</v>
      </c>
      <c r="AO37" s="13"/>
      <c r="AP37" t="s">
        <v>3</v>
      </c>
      <c r="AQ37" s="12">
        <f t="shared" si="40"/>
        <v>0.212629621116529</v>
      </c>
      <c r="AR37" s="12">
        <f t="shared" si="41"/>
        <v>0.27995909040238254</v>
      </c>
      <c r="AS37" s="11">
        <f t="shared" si="42"/>
        <v>19</v>
      </c>
      <c r="AU37" t="str">
        <v>Ethylene glycol</v>
      </c>
      <c r="AV37">
        <v>0.21282330477350692</v>
      </c>
      <c r="AW37" s="4">
        <v>0.82434110464553123</v>
      </c>
    </row>
    <row r="38" spans="2:49" x14ac:dyDescent="0.3">
      <c r="E38" t="s">
        <v>42</v>
      </c>
      <c r="F38">
        <f>'2. Database'!O14</f>
        <v>5</v>
      </c>
      <c r="G38" s="8">
        <f>LOG('2. Database'!M14)</f>
        <v>3.4455830194541708</v>
      </c>
      <c r="H38" s="4">
        <f>'2. Database'!J14</f>
        <v>1.4559386973180077</v>
      </c>
      <c r="I38" s="8">
        <f>'2. Database'!H14</f>
        <v>3.9240527155220564</v>
      </c>
      <c r="J38" s="15">
        <f>'2. Database'!P14</f>
        <v>1</v>
      </c>
      <c r="K38" s="8"/>
      <c r="L38" s="9" t="s">
        <v>42</v>
      </c>
      <c r="M38" s="8">
        <f>F38/'2. Score calculation'!F$23</f>
        <v>0.47245559126153402</v>
      </c>
      <c r="N38" s="8">
        <f>G38/'2. Score calculation'!G$23</f>
        <v>0.22658678635687646</v>
      </c>
      <c r="O38" s="8">
        <f>H38/'2. Score calculation'!H$23</f>
        <v>0.1775646980497799</v>
      </c>
      <c r="P38" s="8">
        <f>I38/'2. Score calculation'!I$23</f>
        <v>0.23785924801977729</v>
      </c>
      <c r="Q38" s="8">
        <f>J38/'2. Score calculation'!J$23</f>
        <v>0.40824829046386307</v>
      </c>
      <c r="R38" s="5"/>
      <c r="S38" s="11" t="s">
        <v>42</v>
      </c>
      <c r="T38" s="12">
        <f t="shared" si="23"/>
        <v>2.1157337267759365E-2</v>
      </c>
      <c r="U38" s="12">
        <f t="shared" si="24"/>
        <v>5.4524464908573267E-2</v>
      </c>
      <c r="V38" s="12">
        <f t="shared" si="25"/>
        <v>1.8184262094635802E-2</v>
      </c>
      <c r="W38" s="12">
        <f t="shared" si="26"/>
        <v>0.1361796021892388</v>
      </c>
      <c r="X38" s="12">
        <f t="shared" si="27"/>
        <v>1.6188447916743506E-2</v>
      </c>
      <c r="Y38" s="13"/>
      <c r="Z38" s="13" t="s">
        <v>42</v>
      </c>
      <c r="AA38" s="12">
        <f t="shared" si="37"/>
        <v>0</v>
      </c>
      <c r="AB38" s="12">
        <f t="shared" si="28"/>
        <v>6.4747140339407004E-4</v>
      </c>
      <c r="AC38" s="12">
        <f t="shared" si="29"/>
        <v>1.2053889886279242E-4</v>
      </c>
      <c r="AD38" s="12">
        <f t="shared" si="30"/>
        <v>1.3632247793379453E-2</v>
      </c>
      <c r="AE38" s="12">
        <f t="shared" si="31"/>
        <v>0</v>
      </c>
      <c r="AF38" s="12">
        <f t="shared" si="38"/>
        <v>0.12000107539366602</v>
      </c>
      <c r="AG38" s="13"/>
      <c r="AH38" s="13" t="s">
        <v>42</v>
      </c>
      <c r="AI38" s="12">
        <f t="shared" si="39"/>
        <v>2.8648506896750039E-4</v>
      </c>
      <c r="AJ38" s="12">
        <f t="shared" si="32"/>
        <v>7.1005566979865276E-4</v>
      </c>
      <c r="AK38" s="12">
        <f t="shared" si="33"/>
        <v>8.4650851309160517E-4</v>
      </c>
      <c r="AL38" s="12">
        <f t="shared" si="34"/>
        <v>6.7960539932985587E-3</v>
      </c>
      <c r="AM38" s="12">
        <f t="shared" si="35"/>
        <v>2.6206584595311715E-4</v>
      </c>
      <c r="AN38" s="12">
        <f t="shared" si="36"/>
        <v>9.4346007287587075E-2</v>
      </c>
      <c r="AO38" s="13"/>
      <c r="AP38" s="1" t="s">
        <v>4</v>
      </c>
      <c r="AQ38" s="12">
        <f t="shared" si="40"/>
        <v>0.21434708268125308</v>
      </c>
      <c r="AR38" s="12">
        <f t="shared" si="41"/>
        <v>0.44015531309042927</v>
      </c>
      <c r="AS38" s="11">
        <f t="shared" si="42"/>
        <v>16</v>
      </c>
      <c r="AU38" t="str">
        <v>Malic acid</v>
      </c>
      <c r="AV38">
        <v>0.26665972980799368</v>
      </c>
      <c r="AW38" s="4">
        <v>0.82031086703939626</v>
      </c>
    </row>
    <row r="39" spans="2:49" x14ac:dyDescent="0.3">
      <c r="E39" t="s">
        <v>43</v>
      </c>
      <c r="F39">
        <f>'2. Database'!O15</f>
        <v>5</v>
      </c>
      <c r="G39" s="8">
        <f>LOG('2. Database'!M15)</f>
        <v>4.7212118868921964</v>
      </c>
      <c r="H39" s="4">
        <f>'2. Database'!J15</f>
        <v>1.1515151515151516</v>
      </c>
      <c r="I39" s="8">
        <f>'2. Database'!H15</f>
        <v>3.2196549487989152</v>
      </c>
      <c r="J39" s="15">
        <f>'2. Database'!P15</f>
        <v>1</v>
      </c>
      <c r="K39" s="8"/>
      <c r="L39" s="9" t="s">
        <v>43</v>
      </c>
      <c r="M39" s="8">
        <f>F39/'2. Score calculation'!F$23</f>
        <v>0.47245559126153402</v>
      </c>
      <c r="N39" s="8">
        <f>G39/'2. Score calculation'!G$23</f>
        <v>0.3104740832308413</v>
      </c>
      <c r="O39" s="8">
        <f>H39/'2. Score calculation'!H$23</f>
        <v>0.14043753391209865</v>
      </c>
      <c r="P39" s="8">
        <f>I39/'2. Score calculation'!I$23</f>
        <v>0.19516167608430796</v>
      </c>
      <c r="Q39" s="8">
        <f>J39/'2. Score calculation'!J$23</f>
        <v>0.40824829046386307</v>
      </c>
      <c r="R39" s="5"/>
      <c r="S39" s="11" t="s">
        <v>43</v>
      </c>
      <c r="T39" s="12">
        <f t="shared" si="23"/>
        <v>2.1157337267759365E-2</v>
      </c>
      <c r="U39" s="12">
        <f t="shared" si="24"/>
        <v>7.4710593359486599E-2</v>
      </c>
      <c r="V39" s="12">
        <f t="shared" si="25"/>
        <v>1.4382098202121043E-2</v>
      </c>
      <c r="W39" s="12">
        <f t="shared" si="26"/>
        <v>0.11173431192188221</v>
      </c>
      <c r="X39" s="12">
        <f t="shared" si="27"/>
        <v>1.6188447916743506E-2</v>
      </c>
      <c r="Y39" s="13"/>
      <c r="Z39" s="13" t="s">
        <v>43</v>
      </c>
      <c r="AA39" s="12">
        <f t="shared" si="37"/>
        <v>0</v>
      </c>
      <c r="AB39" s="12">
        <f t="shared" si="28"/>
        <v>2.7660561890855837E-5</v>
      </c>
      <c r="AC39" s="12">
        <f t="shared" si="29"/>
        <v>5.1507275813082172E-5</v>
      </c>
      <c r="AD39" s="12">
        <f t="shared" si="30"/>
        <v>8.5214918738558063E-3</v>
      </c>
      <c r="AE39" s="12">
        <f t="shared" si="31"/>
        <v>0</v>
      </c>
      <c r="AF39" s="12">
        <f t="shared" si="38"/>
        <v>9.2739741813096202E-2</v>
      </c>
      <c r="AG39" s="13"/>
      <c r="AH39" s="13" t="s">
        <v>43</v>
      </c>
      <c r="AI39" s="12">
        <f t="shared" si="39"/>
        <v>2.8648506896750039E-4</v>
      </c>
      <c r="AJ39" s="12">
        <f t="shared" si="32"/>
        <v>2.193329724573367E-3</v>
      </c>
      <c r="AK39" s="12">
        <f t="shared" si="33"/>
        <v>1.0822115065515449E-3</v>
      </c>
      <c r="AL39" s="12">
        <f t="shared" si="34"/>
        <v>1.142407682781791E-2</v>
      </c>
      <c r="AM39" s="12">
        <f t="shared" si="35"/>
        <v>2.6206584595311715E-4</v>
      </c>
      <c r="AN39" s="12">
        <f t="shared" si="36"/>
        <v>0.12348347652161175</v>
      </c>
      <c r="AO39" s="13"/>
      <c r="AP39" s="1" t="s">
        <v>5</v>
      </c>
      <c r="AQ39" s="12">
        <f t="shared" si="40"/>
        <v>0.21622321833470795</v>
      </c>
      <c r="AR39" s="12">
        <f t="shared" si="41"/>
        <v>0.57109258419446207</v>
      </c>
      <c r="AS39" s="11">
        <f t="shared" si="42"/>
        <v>12</v>
      </c>
      <c r="AU39" t="str">
        <v>Propionic acid</v>
      </c>
      <c r="AV39">
        <v>0.2251320388360796</v>
      </c>
      <c r="AW39" s="4">
        <v>0.80843657607723385</v>
      </c>
    </row>
    <row r="40" spans="2:49" x14ac:dyDescent="0.3">
      <c r="E40" t="s">
        <v>44</v>
      </c>
      <c r="F40">
        <f>'2. Database'!O16</f>
        <v>2</v>
      </c>
      <c r="G40" s="8">
        <f>LOG('2. Database'!M16)</f>
        <v>3.249666381923666</v>
      </c>
      <c r="H40" s="4">
        <f>'2. Database'!J16</f>
        <v>0.37752895923135149</v>
      </c>
      <c r="I40" s="8">
        <f>'2. Database'!H16</f>
        <v>3.0661947299794168</v>
      </c>
      <c r="J40" s="15">
        <f>'2. Database'!P16</f>
        <v>1</v>
      </c>
      <c r="K40" s="8"/>
      <c r="L40" s="9" t="s">
        <v>44</v>
      </c>
      <c r="M40" s="8">
        <f>F40/'2. Score calculation'!F$23</f>
        <v>0.1889822365046136</v>
      </c>
      <c r="N40" s="8">
        <f>G40/'2. Score calculation'!G$23</f>
        <v>0.21370300992739008</v>
      </c>
      <c r="O40" s="8">
        <f>H40/'2. Score calculation'!H$23</f>
        <v>4.6043020749740093E-2</v>
      </c>
      <c r="P40" s="8">
        <f>I40/'2. Score calculation'!I$23</f>
        <v>0.18585957570605138</v>
      </c>
      <c r="Q40" s="8">
        <f>J40/'2. Score calculation'!J$23</f>
        <v>0.40824829046386307</v>
      </c>
      <c r="R40" s="5"/>
      <c r="S40" s="11" t="s">
        <v>44</v>
      </c>
      <c r="T40" s="12">
        <f t="shared" si="23"/>
        <v>8.4629349071037464E-3</v>
      </c>
      <c r="U40" s="12">
        <f t="shared" si="24"/>
        <v>5.1424191379325981E-2</v>
      </c>
      <c r="V40" s="12">
        <f t="shared" si="25"/>
        <v>4.7152298071506575E-3</v>
      </c>
      <c r="W40" s="12">
        <f t="shared" si="26"/>
        <v>0.10640865677253936</v>
      </c>
      <c r="X40" s="12">
        <f t="shared" si="27"/>
        <v>1.6188447916743506E-2</v>
      </c>
      <c r="Y40" s="13"/>
      <c r="Z40" s="13" t="s">
        <v>44</v>
      </c>
      <c r="AA40" s="12">
        <f t="shared" si="37"/>
        <v>1.6114785129421895E-4</v>
      </c>
      <c r="AB40" s="12">
        <f t="shared" si="28"/>
        <v>8.1485886770172038E-4</v>
      </c>
      <c r="AC40" s="12">
        <f t="shared" si="29"/>
        <v>6.2001569501754598E-6</v>
      </c>
      <c r="AD40" s="12">
        <f t="shared" si="30"/>
        <v>7.5666114974518419E-3</v>
      </c>
      <c r="AE40" s="12">
        <f t="shared" si="31"/>
        <v>0</v>
      </c>
      <c r="AF40" s="12">
        <f t="shared" si="38"/>
        <v>9.2459820318871247E-2</v>
      </c>
      <c r="AG40" s="13"/>
      <c r="AH40" s="13" t="s">
        <v>44</v>
      </c>
      <c r="AI40" s="12">
        <f t="shared" si="39"/>
        <v>1.7905316810468774E-5</v>
      </c>
      <c r="AJ40" s="12">
        <f t="shared" si="32"/>
        <v>5.5444219563782597E-4</v>
      </c>
      <c r="AK40" s="12">
        <f t="shared" si="33"/>
        <v>1.8116814663384959E-3</v>
      </c>
      <c r="AL40" s="12">
        <f t="shared" si="34"/>
        <v>1.2590888468670911E-2</v>
      </c>
      <c r="AM40" s="12">
        <f t="shared" si="35"/>
        <v>2.6206584595311715E-4</v>
      </c>
      <c r="AN40" s="12">
        <f t="shared" si="36"/>
        <v>0.12343817599677508</v>
      </c>
      <c r="AO40" s="11"/>
      <c r="AP40" t="s">
        <v>131</v>
      </c>
      <c r="AQ40" s="12">
        <f t="shared" si="40"/>
        <v>0.21589799631564632</v>
      </c>
      <c r="AR40" s="12">
        <f t="shared" si="41"/>
        <v>0.57174303654169389</v>
      </c>
      <c r="AS40" s="11">
        <f t="shared" si="42"/>
        <v>11</v>
      </c>
      <c r="AU40" t="str">
        <v>Methacrylic acid</v>
      </c>
      <c r="AV40">
        <v>0.2264613838040522</v>
      </c>
      <c r="AW40" s="4">
        <v>0.80319193709550218</v>
      </c>
    </row>
    <row r="41" spans="2:49" x14ac:dyDescent="0.3">
      <c r="E41" t="s">
        <v>45</v>
      </c>
      <c r="F41">
        <f>'2. Database'!O17</f>
        <v>1</v>
      </c>
      <c r="G41" s="8">
        <f>LOG('2. Database'!M17)</f>
        <v>3.3069242325079786</v>
      </c>
      <c r="H41" s="4">
        <f>'2. Database'!J17</f>
        <v>0.56022408963585435</v>
      </c>
      <c r="I41" s="8">
        <f>'2. Database'!H17</f>
        <v>1.2338394632773795</v>
      </c>
      <c r="J41" s="15">
        <f>'2. Database'!P17</f>
        <v>0</v>
      </c>
      <c r="K41" s="8"/>
      <c r="L41" s="9" t="s">
        <v>45</v>
      </c>
      <c r="M41" s="8">
        <f>F41/'2. Score calculation'!F$23</f>
        <v>9.4491118252306799E-2</v>
      </c>
      <c r="N41" s="8">
        <f>G41/'2. Score calculation'!G$23</f>
        <v>0.21746837337512873</v>
      </c>
      <c r="O41" s="8">
        <f>H41/'2. Score calculation'!H$23</f>
        <v>6.8324319904161213E-2</v>
      </c>
      <c r="P41" s="8">
        <f>I41/'2. Score calculation'!I$23</f>
        <v>7.4790057164978344E-2</v>
      </c>
      <c r="Q41" s="8">
        <f>J41/'2. Score calculation'!J$23</f>
        <v>0</v>
      </c>
      <c r="R41" s="5"/>
      <c r="S41" s="11" t="s">
        <v>45</v>
      </c>
      <c r="T41" s="12">
        <f t="shared" si="23"/>
        <v>4.2314674535518732E-3</v>
      </c>
      <c r="U41" s="12">
        <f t="shared" si="24"/>
        <v>5.2330265517519077E-2</v>
      </c>
      <c r="V41" s="12">
        <f t="shared" si="25"/>
        <v>6.997040257555571E-3</v>
      </c>
      <c r="W41" s="12">
        <f t="shared" si="26"/>
        <v>4.2818937322085276E-2</v>
      </c>
      <c r="X41" s="12">
        <f t="shared" si="27"/>
        <v>0</v>
      </c>
      <c r="Y41" s="13"/>
      <c r="Z41" s="13" t="s">
        <v>45</v>
      </c>
      <c r="AA41" s="12">
        <f t="shared" si="37"/>
        <v>2.8648506896750039E-4</v>
      </c>
      <c r="AB41" s="12">
        <f t="shared" si="28"/>
        <v>7.6395073734402655E-4</v>
      </c>
      <c r="AC41" s="12">
        <f t="shared" si="29"/>
        <v>4.3347650299474586E-8</v>
      </c>
      <c r="AD41" s="12">
        <f t="shared" si="30"/>
        <v>5.4739866609161323E-4</v>
      </c>
      <c r="AE41" s="12">
        <f t="shared" si="31"/>
        <v>2.6206584595311715E-4</v>
      </c>
      <c r="AF41" s="12">
        <f t="shared" si="38"/>
        <v>4.3127064194152569E-2</v>
      </c>
      <c r="AG41" s="13"/>
      <c r="AH41" s="13" t="s">
        <v>45</v>
      </c>
      <c r="AI41" s="12">
        <f t="shared" si="39"/>
        <v>0</v>
      </c>
      <c r="AJ41" s="12">
        <f t="shared" si="32"/>
        <v>5.9793308981699036E-4</v>
      </c>
      <c r="AK41" s="12">
        <f t="shared" si="33"/>
        <v>1.6226428423118096E-3</v>
      </c>
      <c r="AL41" s="12">
        <f t="shared" si="34"/>
        <v>3.0905234862279703E-2</v>
      </c>
      <c r="AM41" s="12">
        <f t="shared" si="35"/>
        <v>0</v>
      </c>
      <c r="AN41" s="12">
        <f t="shared" si="36"/>
        <v>0.18200497464192703</v>
      </c>
      <c r="AO41" s="13"/>
      <c r="AP41" t="s">
        <v>7</v>
      </c>
      <c r="AQ41" s="12">
        <f t="shared" si="40"/>
        <v>0.2251320388360796</v>
      </c>
      <c r="AR41" s="12">
        <f t="shared" si="41"/>
        <v>0.80843657607723385</v>
      </c>
      <c r="AS41" s="11">
        <f t="shared" si="42"/>
        <v>5</v>
      </c>
      <c r="AU41" t="str">
        <v>PHA</v>
      </c>
      <c r="AV41">
        <v>0.24069600584252265</v>
      </c>
      <c r="AW41" s="4">
        <v>0.79457751895202289</v>
      </c>
    </row>
    <row r="42" spans="2:49" x14ac:dyDescent="0.3">
      <c r="E42" t="s">
        <v>46</v>
      </c>
      <c r="F42">
        <f>'2. Database'!O18</f>
        <v>1</v>
      </c>
      <c r="G42" s="8">
        <f>LOG('2. Database'!M18)</f>
        <v>3.1513586269692353</v>
      </c>
      <c r="H42" s="4">
        <f>'2. Database'!J18</f>
        <v>0.60635072602521145</v>
      </c>
      <c r="I42" s="8">
        <f>'2. Database'!H18</f>
        <v>1.2240726606374617</v>
      </c>
      <c r="J42" s="15">
        <f>'2. Database'!P18</f>
        <v>0</v>
      </c>
      <c r="K42" s="8"/>
      <c r="L42" s="9" t="s">
        <v>46</v>
      </c>
      <c r="M42" s="8">
        <f>F42/'2. Score calculation'!F$23</f>
        <v>9.4491118252306799E-2</v>
      </c>
      <c r="N42" s="8">
        <f>G42/'2. Score calculation'!G$23</f>
        <v>0.20723814225671866</v>
      </c>
      <c r="O42" s="8">
        <f>H42/'2. Score calculation'!H$23</f>
        <v>7.3949874247634509E-2</v>
      </c>
      <c r="P42" s="8">
        <f>I42/'2. Score calculation'!I$23</f>
        <v>7.4198035472125182E-2</v>
      </c>
      <c r="Q42" s="8">
        <f>J42/'2. Score calculation'!J$23</f>
        <v>0</v>
      </c>
      <c r="R42" s="5"/>
      <c r="S42" s="11" t="s">
        <v>46</v>
      </c>
      <c r="T42" s="12">
        <f t="shared" si="23"/>
        <v>4.2314674535518732E-3</v>
      </c>
      <c r="U42" s="12">
        <f t="shared" si="24"/>
        <v>4.9868524978316557E-2</v>
      </c>
      <c r="V42" s="12">
        <f t="shared" si="25"/>
        <v>7.5731488857506682E-3</v>
      </c>
      <c r="W42" s="12">
        <f t="shared" si="26"/>
        <v>4.2479992003409087E-2</v>
      </c>
      <c r="X42" s="12">
        <f t="shared" si="27"/>
        <v>0</v>
      </c>
      <c r="Y42" s="13"/>
      <c r="Z42" s="13" t="s">
        <v>46</v>
      </c>
      <c r="AA42" s="12">
        <f t="shared" si="37"/>
        <v>2.8648506896750039E-4</v>
      </c>
      <c r="AB42" s="12">
        <f t="shared" si="28"/>
        <v>9.0609424083163131E-4</v>
      </c>
      <c r="AC42" s="12">
        <f t="shared" si="29"/>
        <v>1.3535603366602026E-7</v>
      </c>
      <c r="AD42" s="12">
        <f t="shared" si="30"/>
        <v>5.3165324617506372E-4</v>
      </c>
      <c r="AE42" s="12">
        <f t="shared" si="31"/>
        <v>2.6206584595311715E-4</v>
      </c>
      <c r="AF42" s="12">
        <f t="shared" si="38"/>
        <v>4.4569426269147533E-2</v>
      </c>
      <c r="AG42" s="13"/>
      <c r="AH42" s="13" t="s">
        <v>46</v>
      </c>
      <c r="AI42" s="12">
        <f t="shared" si="39"/>
        <v>0</v>
      </c>
      <c r="AJ42" s="12">
        <f t="shared" si="32"/>
        <v>4.836009962557882E-4</v>
      </c>
      <c r="AK42" s="12">
        <f t="shared" si="33"/>
        <v>1.576561080483283E-3</v>
      </c>
      <c r="AL42" s="12">
        <f t="shared" si="34"/>
        <v>3.1024522139140486E-2</v>
      </c>
      <c r="AM42" s="12">
        <f t="shared" si="35"/>
        <v>0</v>
      </c>
      <c r="AN42" s="12">
        <f t="shared" si="36"/>
        <v>0.18189195753490467</v>
      </c>
      <c r="AO42" s="13"/>
      <c r="AP42" t="s">
        <v>8</v>
      </c>
      <c r="AQ42" s="12">
        <f t="shared" si="40"/>
        <v>0.2264613838040522</v>
      </c>
      <c r="AR42" s="12">
        <f t="shared" si="41"/>
        <v>0.80319193709550218</v>
      </c>
      <c r="AS42" s="11">
        <f t="shared" si="42"/>
        <v>6</v>
      </c>
      <c r="AU42" t="str">
        <v>β-alanine</v>
      </c>
      <c r="AV42">
        <v>0.22857991745966005</v>
      </c>
      <c r="AW42" s="4">
        <v>0.69720331291181947</v>
      </c>
    </row>
    <row r="43" spans="2:49" x14ac:dyDescent="0.3">
      <c r="E43" t="s">
        <v>47</v>
      </c>
      <c r="F43">
        <f>'2. Database'!O19</f>
        <v>1</v>
      </c>
      <c r="G43" s="8">
        <f>LOG('2. Database'!M19)</f>
        <v>3.3978364324130048</v>
      </c>
      <c r="H43" s="4">
        <f>'2. Database'!J19</f>
        <v>0.91849663222215072</v>
      </c>
      <c r="I43" s="8">
        <f>'2. Database'!H19</f>
        <v>4.4058761563270403</v>
      </c>
      <c r="J43" s="15">
        <f>'2. Database'!P19</f>
        <v>0</v>
      </c>
      <c r="K43" s="8"/>
      <c r="L43" s="9" t="s">
        <v>47</v>
      </c>
      <c r="M43" s="8">
        <f>F43/'2. Score calculation'!F$23</f>
        <v>9.4491118252306799E-2</v>
      </c>
      <c r="N43" s="8">
        <f>G43/'2. Score calculation'!G$23</f>
        <v>0.22344689808366325</v>
      </c>
      <c r="O43" s="8">
        <f>H43/'2. Score calculation'!H$23</f>
        <v>0.11201884904955106</v>
      </c>
      <c r="P43" s="8">
        <f>I43/'2. Score calculation'!I$23</f>
        <v>0.2670653187881023</v>
      </c>
      <c r="Q43" s="8">
        <f>J43/'2. Score calculation'!J$23</f>
        <v>0</v>
      </c>
      <c r="R43" s="5"/>
      <c r="S43" s="11" t="s">
        <v>47</v>
      </c>
      <c r="T43" s="12">
        <f t="shared" si="23"/>
        <v>4.2314674535518732E-3</v>
      </c>
      <c r="U43" s="12">
        <f t="shared" si="24"/>
        <v>5.3768901308761177E-2</v>
      </c>
      <c r="V43" s="12">
        <f t="shared" si="25"/>
        <v>1.147176287307637E-2</v>
      </c>
      <c r="W43" s="12">
        <f t="shared" si="26"/>
        <v>0.15290071407306416</v>
      </c>
      <c r="X43" s="12">
        <f t="shared" si="27"/>
        <v>0</v>
      </c>
      <c r="Y43" s="13"/>
      <c r="Z43" s="13" t="s">
        <v>47</v>
      </c>
      <c r="AA43" s="12">
        <f t="shared" si="37"/>
        <v>2.8648506896750039E-4</v>
      </c>
      <c r="AB43" s="12">
        <f t="shared" si="28"/>
        <v>6.8649360553342379E-4</v>
      </c>
      <c r="AC43" s="12">
        <f t="shared" si="29"/>
        <v>1.8203206820740626E-5</v>
      </c>
      <c r="AD43" s="12">
        <f t="shared" si="30"/>
        <v>1.7816464363694873E-2</v>
      </c>
      <c r="AE43" s="12">
        <f t="shared" si="31"/>
        <v>2.6206584595311715E-4</v>
      </c>
      <c r="AF43" s="12">
        <f t="shared" si="38"/>
        <v>0.13809312832639306</v>
      </c>
      <c r="AG43" s="13"/>
      <c r="AH43" s="13" t="s">
        <v>47</v>
      </c>
      <c r="AI43" s="12">
        <f t="shared" si="39"/>
        <v>0</v>
      </c>
      <c r="AJ43" s="12">
        <f t="shared" si="32"/>
        <v>6.7035973642201596E-4</v>
      </c>
      <c r="AK43" s="12">
        <f t="shared" si="33"/>
        <v>1.2821640633866424E-3</v>
      </c>
      <c r="AL43" s="12">
        <f t="shared" si="34"/>
        <v>4.3187334177192714E-3</v>
      </c>
      <c r="AM43" s="12">
        <f t="shared" si="35"/>
        <v>0</v>
      </c>
      <c r="AN43" s="12">
        <f t="shared" si="36"/>
        <v>7.9191269831515712E-2</v>
      </c>
      <c r="AO43" s="13"/>
      <c r="AP43" s="1" t="s">
        <v>9</v>
      </c>
      <c r="AQ43" s="12">
        <f t="shared" si="40"/>
        <v>0.21728439815790879</v>
      </c>
      <c r="AR43" s="12">
        <f t="shared" si="41"/>
        <v>0.36445907070587014</v>
      </c>
      <c r="AS43" s="11">
        <f t="shared" si="42"/>
        <v>17</v>
      </c>
      <c r="AU43" t="str">
        <v>L-Citrulline</v>
      </c>
      <c r="AV43">
        <v>0.21642638572849954</v>
      </c>
      <c r="AW43" s="4">
        <v>0.65177177401584663</v>
      </c>
    </row>
    <row r="44" spans="2:49" x14ac:dyDescent="0.3">
      <c r="E44" t="s">
        <v>48</v>
      </c>
      <c r="F44">
        <f>'2. Database'!O20</f>
        <v>1</v>
      </c>
      <c r="G44" s="8">
        <f>LOG('2. Database'!M20)</f>
        <v>4.0644579892269181</v>
      </c>
      <c r="H44" s="4">
        <f>'2. Database'!J20</f>
        <v>0.94578069027377998</v>
      </c>
      <c r="I44" s="8">
        <f>'2. Database'!H20</f>
        <v>3.5128257770146409</v>
      </c>
      <c r="J44" s="15">
        <f>'2. Database'!P20</f>
        <v>0</v>
      </c>
      <c r="K44" s="8"/>
      <c r="L44" s="9" t="s">
        <v>48</v>
      </c>
      <c r="M44" s="8">
        <f>F44/'2. Score calculation'!F$23</f>
        <v>9.4491118252306799E-2</v>
      </c>
      <c r="N44" s="8">
        <f>G44/'2. Score calculation'!G$23</f>
        <v>0.26728494680338638</v>
      </c>
      <c r="O44" s="8">
        <f>H44/'2. Score calculation'!H$23</f>
        <v>0.11534638305797781</v>
      </c>
      <c r="P44" s="8">
        <f>I44/'2. Score calculation'!I$23</f>
        <v>0.21293243448031243</v>
      </c>
      <c r="Q44" s="8">
        <f>J44/'2. Score calculation'!J$23</f>
        <v>0</v>
      </c>
      <c r="R44" s="5"/>
      <c r="S44" s="11" t="s">
        <v>48</v>
      </c>
      <c r="T44" s="12">
        <f t="shared" si="23"/>
        <v>4.2314674535518732E-3</v>
      </c>
      <c r="U44" s="12">
        <f t="shared" si="24"/>
        <v>6.4317822485983792E-2</v>
      </c>
      <c r="V44" s="12">
        <f t="shared" si="25"/>
        <v>1.1812533032925837E-2</v>
      </c>
      <c r="W44" s="12">
        <f t="shared" si="26"/>
        <v>0.12190845830936153</v>
      </c>
      <c r="X44" s="12">
        <f t="shared" si="27"/>
        <v>0</v>
      </c>
      <c r="Y44" s="13"/>
      <c r="Z44" s="13" t="s">
        <v>48</v>
      </c>
      <c r="AA44" s="12">
        <f t="shared" si="37"/>
        <v>2.8648506896750039E-4</v>
      </c>
      <c r="AB44" s="12">
        <f t="shared" si="28"/>
        <v>2.4498829104459269E-4</v>
      </c>
      <c r="AC44" s="12">
        <f t="shared" si="29"/>
        <v>2.1227137638415509E-5</v>
      </c>
      <c r="AD44" s="12">
        <f t="shared" si="30"/>
        <v>1.0503395246602138E-2</v>
      </c>
      <c r="AE44" s="12">
        <f t="shared" si="31"/>
        <v>2.6206584595311715E-4</v>
      </c>
      <c r="AF44" s="12">
        <f t="shared" si="38"/>
        <v>0.10638684876527627</v>
      </c>
      <c r="AG44" s="13"/>
      <c r="AH44" s="13" t="s">
        <v>48</v>
      </c>
      <c r="AI44" s="12">
        <f t="shared" si="39"/>
        <v>0</v>
      </c>
      <c r="AJ44" s="12">
        <f t="shared" si="32"/>
        <v>1.3278901708531062E-3</v>
      </c>
      <c r="AK44" s="12">
        <f t="shared" si="33"/>
        <v>1.2578760563406984E-3</v>
      </c>
      <c r="AL44" s="12">
        <f t="shared" si="34"/>
        <v>9.3526938785269843E-3</v>
      </c>
      <c r="AM44" s="12">
        <f t="shared" si="35"/>
        <v>0</v>
      </c>
      <c r="AN44" s="12">
        <f t="shared" si="36"/>
        <v>0.10926326054864365</v>
      </c>
      <c r="AO44" s="13"/>
      <c r="AP44" t="s">
        <v>10</v>
      </c>
      <c r="AQ44" s="12">
        <f t="shared" si="40"/>
        <v>0.21565010931391992</v>
      </c>
      <c r="AR44" s="12">
        <f t="shared" si="41"/>
        <v>0.50666916374983195</v>
      </c>
      <c r="AS44" s="11">
        <f t="shared" si="42"/>
        <v>14</v>
      </c>
      <c r="AU44" t="str">
        <v>2-Pyrrolidone</v>
      </c>
      <c r="AV44">
        <v>0.21921562493756047</v>
      </c>
      <c r="AW44" s="4">
        <v>0.64549161742587458</v>
      </c>
    </row>
    <row r="45" spans="2:49" x14ac:dyDescent="0.3">
      <c r="E45" t="s">
        <v>49</v>
      </c>
      <c r="F45">
        <f>'2. Database'!O21</f>
        <v>1</v>
      </c>
      <c r="G45" s="8">
        <f>LOG('2. Database'!M21)</f>
        <v>5.053566572004792</v>
      </c>
      <c r="H45" s="4">
        <f>'2. Database'!J21</f>
        <v>0.43864711993535727</v>
      </c>
      <c r="I45" s="8">
        <f>'2. Database'!H21</f>
        <v>0.69260071568740622</v>
      </c>
      <c r="J45" s="15">
        <f>'2. Database'!P21</f>
        <v>0</v>
      </c>
      <c r="K45" s="8"/>
      <c r="L45" s="9" t="s">
        <v>49</v>
      </c>
      <c r="M45" s="8">
        <f>F45/'2. Score calculation'!F$23</f>
        <v>9.4491118252306799E-2</v>
      </c>
      <c r="N45" s="8">
        <f>G45/'2. Score calculation'!G$23</f>
        <v>0.33233023343970908</v>
      </c>
      <c r="O45" s="8">
        <f>H45/'2. Score calculation'!H$23</f>
        <v>5.3496925073291637E-2</v>
      </c>
      <c r="P45" s="8">
        <f>I45/'2. Score calculation'!I$23</f>
        <v>4.1982485291217293E-2</v>
      </c>
      <c r="Q45" s="8">
        <f>J45/'2. Score calculation'!J$23</f>
        <v>0</v>
      </c>
      <c r="R45" s="5"/>
      <c r="S45" s="11" t="s">
        <v>49</v>
      </c>
      <c r="T45" s="12">
        <f t="shared" si="23"/>
        <v>4.2314674535518732E-3</v>
      </c>
      <c r="U45" s="12">
        <f t="shared" si="24"/>
        <v>7.9969924295152831E-2</v>
      </c>
      <c r="V45" s="12">
        <f t="shared" si="25"/>
        <v>5.4785783293315755E-3</v>
      </c>
      <c r="W45" s="12">
        <f t="shared" si="26"/>
        <v>2.4035887582551242E-2</v>
      </c>
      <c r="X45" s="12">
        <f t="shared" si="27"/>
        <v>0</v>
      </c>
      <c r="Y45" s="13"/>
      <c r="Z45" s="13" t="s">
        <v>49</v>
      </c>
      <c r="AA45" s="12">
        <f t="shared" si="37"/>
        <v>2.8648506896750039E-4</v>
      </c>
      <c r="AB45" s="12">
        <f t="shared" si="28"/>
        <v>0</v>
      </c>
      <c r="AC45" s="12">
        <f t="shared" si="29"/>
        <v>2.9813648171015861E-6</v>
      </c>
      <c r="AD45" s="12">
        <f t="shared" si="30"/>
        <v>2.1284407169956187E-5</v>
      </c>
      <c r="AE45" s="12">
        <f t="shared" si="31"/>
        <v>2.6206584595311715E-4</v>
      </c>
      <c r="AF45" s="12">
        <f t="shared" si="38"/>
        <v>2.3933589093733422E-2</v>
      </c>
      <c r="AG45" s="13"/>
      <c r="AH45" s="13" t="s">
        <v>49</v>
      </c>
      <c r="AI45" s="12">
        <f t="shared" si="39"/>
        <v>0</v>
      </c>
      <c r="AJ45" s="12">
        <f t="shared" si="32"/>
        <v>2.713610759419277E-3</v>
      </c>
      <c r="AK45" s="12">
        <f t="shared" si="33"/>
        <v>1.7472820608110441E-3</v>
      </c>
      <c r="AL45" s="12">
        <f t="shared" si="34"/>
        <v>3.7862114821830363E-2</v>
      </c>
      <c r="AM45" s="12">
        <f t="shared" si="35"/>
        <v>0</v>
      </c>
      <c r="AN45" s="3">
        <f t="shared" si="36"/>
        <v>0.20572556390021315</v>
      </c>
      <c r="AO45" s="13"/>
      <c r="AP45" t="s">
        <v>130</v>
      </c>
      <c r="AQ45" s="12">
        <f t="shared" si="40"/>
        <v>0.22965915299394657</v>
      </c>
      <c r="AR45" s="12">
        <f t="shared" si="41"/>
        <v>0.89578647843239123</v>
      </c>
      <c r="AS45" s="11">
        <f t="shared" si="42"/>
        <v>1</v>
      </c>
      <c r="AU45" t="str">
        <v>NMP</v>
      </c>
      <c r="AV45">
        <v>0.21589799631564632</v>
      </c>
      <c r="AW45" s="4">
        <v>0.57174303654169389</v>
      </c>
    </row>
    <row r="46" spans="2:49" x14ac:dyDescent="0.3">
      <c r="E46" t="s">
        <v>50</v>
      </c>
      <c r="F46">
        <f>'2. Database'!O22</f>
        <v>3</v>
      </c>
      <c r="G46" s="8">
        <f>LOG('2. Database'!M22)</f>
        <v>2.4234327044026847</v>
      </c>
      <c r="H46" s="4">
        <f>'2. Database'!J22</f>
        <v>0.270661029904399</v>
      </c>
      <c r="I46" s="8">
        <f>'2. Database'!H22</f>
        <v>0.13679954599764715</v>
      </c>
      <c r="J46" s="15">
        <f>'2. Database'!P22</f>
        <v>0</v>
      </c>
      <c r="K46" s="8"/>
      <c r="L46" s="9" t="s">
        <v>50</v>
      </c>
      <c r="M46" s="8">
        <f>F46/'2. Score calculation'!F$23</f>
        <v>0.28347335475692043</v>
      </c>
      <c r="N46" s="8">
        <f>G46/'2. Score calculation'!G$23</f>
        <v>0.15936862508967975</v>
      </c>
      <c r="O46" s="8">
        <f>H46/'2. Score calculation'!H$23</f>
        <v>3.3009524465108554E-2</v>
      </c>
      <c r="P46" s="8">
        <f>I46/'2. Score calculation'!I$23</f>
        <v>8.2922018380984699E-3</v>
      </c>
      <c r="Q46" s="8">
        <f>J46/'2. Score calculation'!J$23</f>
        <v>0</v>
      </c>
      <c r="R46" s="5"/>
      <c r="S46" s="11" t="s">
        <v>50</v>
      </c>
      <c r="T46" s="12">
        <f t="shared" si="23"/>
        <v>1.269440236065562E-2</v>
      </c>
      <c r="U46" s="12">
        <f t="shared" si="24"/>
        <v>3.8349495775732392E-2</v>
      </c>
      <c r="V46" s="12">
        <f t="shared" si="25"/>
        <v>3.3804796284706701E-3</v>
      </c>
      <c r="W46" s="12">
        <f t="shared" si="26"/>
        <v>4.7474662304962494E-3</v>
      </c>
      <c r="X46" s="12">
        <f t="shared" si="27"/>
        <v>0</v>
      </c>
      <c r="Y46" s="13"/>
      <c r="Z46" s="13" t="s">
        <v>50</v>
      </c>
      <c r="AA46" s="12">
        <f t="shared" si="37"/>
        <v>7.162126724187507E-5</v>
      </c>
      <c r="AB46" s="12">
        <f t="shared" si="28"/>
        <v>1.7322600701401862E-3</v>
      </c>
      <c r="AC46" s="12">
        <f t="shared" si="29"/>
        <v>1.4628801407231958E-5</v>
      </c>
      <c r="AD46" s="12">
        <f t="shared" si="30"/>
        <v>2.1535323742200995E-4</v>
      </c>
      <c r="AE46" s="12">
        <f t="shared" si="31"/>
        <v>2.6206584595311715E-4</v>
      </c>
      <c r="AF46" s="12">
        <f t="shared" si="38"/>
        <v>4.7915855644707218E-2</v>
      </c>
      <c r="AG46" s="13"/>
      <c r="AH46" s="13" t="s">
        <v>50</v>
      </c>
      <c r="AI46" s="12">
        <f t="shared" si="39"/>
        <v>7.1621267241875125E-5</v>
      </c>
      <c r="AJ46" s="12">
        <f t="shared" si="32"/>
        <v>1.0966070344942857E-4</v>
      </c>
      <c r="AK46" s="12">
        <f t="shared" si="33"/>
        <v>1.9270872415386494E-3</v>
      </c>
      <c r="AL46" s="12">
        <f t="shared" si="34"/>
        <v>4.5740513271733743E-2</v>
      </c>
      <c r="AM46" s="12">
        <f t="shared" si="35"/>
        <v>0</v>
      </c>
      <c r="AN46" s="12">
        <f t="shared" si="36"/>
        <v>0.21874387416328644</v>
      </c>
      <c r="AO46" s="13"/>
      <c r="AP46" t="s">
        <v>12</v>
      </c>
      <c r="AQ46" s="12">
        <f t="shared" si="40"/>
        <v>0.26665972980799368</v>
      </c>
      <c r="AR46" s="12">
        <f t="shared" si="41"/>
        <v>0.82031086703939626</v>
      </c>
      <c r="AS46" s="11">
        <f t="shared" si="42"/>
        <v>4</v>
      </c>
      <c r="AU46" t="str">
        <v>Biodiesel</v>
      </c>
      <c r="AV46">
        <v>0.21622321833470795</v>
      </c>
      <c r="AW46" s="4">
        <v>0.57109258419446207</v>
      </c>
    </row>
    <row r="47" spans="2:49" x14ac:dyDescent="0.3">
      <c r="E47" t="s">
        <v>51</v>
      </c>
      <c r="F47">
        <f>'2. Database'!O23</f>
        <v>3</v>
      </c>
      <c r="G47" s="8">
        <f>LOG('2. Database'!M23)</f>
        <v>2.5089148786372051</v>
      </c>
      <c r="H47" s="4">
        <f>'2. Database'!J23</f>
        <v>0.35056901255117623</v>
      </c>
      <c r="I47" s="8">
        <f>'2. Database'!H23</f>
        <v>0.38856926285707694</v>
      </c>
      <c r="J47" s="15">
        <f>'2. Database'!P23</f>
        <v>1</v>
      </c>
      <c r="K47" s="8"/>
      <c r="L47" s="9" t="s">
        <v>51</v>
      </c>
      <c r="M47" s="8">
        <f>F47/'2. Score calculation'!F$23</f>
        <v>0.28347335475692043</v>
      </c>
      <c r="N47" s="8">
        <f>G47/'2. Score calculation'!G$23</f>
        <v>0.16499006304117828</v>
      </c>
      <c r="O47" s="8">
        <f>H47/'2. Score calculation'!H$23</f>
        <v>4.2755015011227956E-2</v>
      </c>
      <c r="P47" s="8">
        <f>I47/'2. Score calculation'!I$23</f>
        <v>2.3553402404913232E-2</v>
      </c>
      <c r="Q47" s="8">
        <f>J47/'2. Score calculation'!J$23</f>
        <v>0.40824829046386307</v>
      </c>
      <c r="R47" s="5"/>
      <c r="S47" s="11" t="s">
        <v>51</v>
      </c>
      <c r="T47" s="12">
        <f t="shared" si="23"/>
        <v>1.269440236065562E-2</v>
      </c>
      <c r="U47" s="12">
        <f t="shared" si="24"/>
        <v>3.9702204383547914E-2</v>
      </c>
      <c r="V47" s="12">
        <f t="shared" si="25"/>
        <v>4.3785077065616696E-3</v>
      </c>
      <c r="W47" s="12">
        <f t="shared" si="26"/>
        <v>1.34848360801908E-2</v>
      </c>
      <c r="X47" s="12">
        <f t="shared" si="27"/>
        <v>1.6188447916743506E-2</v>
      </c>
      <c r="Y47" s="13"/>
      <c r="Z47" s="13" t="s">
        <v>51</v>
      </c>
      <c r="AA47" s="12">
        <f t="shared" si="37"/>
        <v>7.162126724187507E-5</v>
      </c>
      <c r="AB47" s="12">
        <f t="shared" si="28"/>
        <v>1.621489266879463E-3</v>
      </c>
      <c r="AC47" s="12">
        <f t="shared" si="29"/>
        <v>7.990422485474512E-6</v>
      </c>
      <c r="AD47" s="12">
        <f t="shared" si="30"/>
        <v>3.5254485771340035E-5</v>
      </c>
      <c r="AE47" s="12">
        <f t="shared" si="31"/>
        <v>0</v>
      </c>
      <c r="AF47" s="12">
        <f t="shared" si="38"/>
        <v>4.1669598538720681E-2</v>
      </c>
      <c r="AG47" s="13"/>
      <c r="AH47" s="13" t="s">
        <v>51</v>
      </c>
      <c r="AI47" s="12">
        <f t="shared" si="39"/>
        <v>7.1621267241875125E-5</v>
      </c>
      <c r="AJ47" s="12">
        <f t="shared" si="32"/>
        <v>1.3982138435516284E-4</v>
      </c>
      <c r="AK47" s="12">
        <f t="shared" si="33"/>
        <v>1.84045922717754E-3</v>
      </c>
      <c r="AL47" s="12">
        <f t="shared" si="34"/>
        <v>4.2079526752836993E-2</v>
      </c>
      <c r="AM47" s="12">
        <f t="shared" si="35"/>
        <v>2.6206584595311715E-4</v>
      </c>
      <c r="AN47" s="12">
        <f t="shared" si="36"/>
        <v>0.21069763756996585</v>
      </c>
      <c r="AO47" s="13"/>
      <c r="AP47" s="2" t="s">
        <v>13</v>
      </c>
      <c r="AQ47" s="12">
        <f t="shared" si="40"/>
        <v>0.2523672361086865</v>
      </c>
      <c r="AR47" s="12">
        <f t="shared" si="41"/>
        <v>0.83488506994317246</v>
      </c>
      <c r="AS47" s="11">
        <f t="shared" si="42"/>
        <v>2</v>
      </c>
      <c r="AU47" t="str">
        <v>Caprolactam</v>
      </c>
      <c r="AV47">
        <v>0.21401629588218563</v>
      </c>
      <c r="AW47" s="4">
        <v>0.54798895011243132</v>
      </c>
    </row>
    <row r="48" spans="2:49" x14ac:dyDescent="0.3">
      <c r="E48" t="s">
        <v>52</v>
      </c>
      <c r="F48">
        <f>'2. Database'!O24</f>
        <v>4</v>
      </c>
      <c r="G48" s="8">
        <f>LOG('2. Database'!M24)</f>
        <v>2.2257242788008007</v>
      </c>
      <c r="H48" s="4">
        <f>'2. Database'!J24</f>
        <v>0.58669136946117029</v>
      </c>
      <c r="I48" s="8">
        <f>'2. Database'!H24</f>
        <v>0.92673860585314882</v>
      </c>
      <c r="J48" s="15">
        <f>'2. Database'!P24</f>
        <v>0</v>
      </c>
      <c r="K48" s="8"/>
      <c r="L48" s="9" t="s">
        <v>52</v>
      </c>
      <c r="M48" s="8">
        <f>F48/'2. Score calculation'!F$23</f>
        <v>0.3779644730092272</v>
      </c>
      <c r="N48" s="8">
        <f>G48/'2. Score calculation'!G$23</f>
        <v>0.14636701794805146</v>
      </c>
      <c r="O48" s="8">
        <f>H48/'2. Score calculation'!H$23</f>
        <v>7.1552240529554653E-2</v>
      </c>
      <c r="P48" s="8">
        <f>I48/'2. Score calculation'!I$23</f>
        <v>5.6174920134782209E-2</v>
      </c>
      <c r="Q48" s="8">
        <f>J48/'2. Score calculation'!J$23</f>
        <v>0</v>
      </c>
      <c r="R48" s="5"/>
      <c r="S48" s="11" t="s">
        <v>52</v>
      </c>
      <c r="T48" s="12">
        <f t="shared" si="23"/>
        <v>1.6925869814207493E-2</v>
      </c>
      <c r="U48" s="12">
        <f t="shared" si="24"/>
        <v>3.5220868181216648E-2</v>
      </c>
      <c r="V48" s="12">
        <f t="shared" si="25"/>
        <v>7.3276090886211882E-3</v>
      </c>
      <c r="W48" s="12">
        <f t="shared" si="26"/>
        <v>3.2161365768426368E-2</v>
      </c>
      <c r="X48" s="12">
        <f t="shared" si="27"/>
        <v>0</v>
      </c>
      <c r="Y48" s="13"/>
      <c r="Z48" s="13" t="s">
        <v>52</v>
      </c>
      <c r="AA48" s="12">
        <f t="shared" si="37"/>
        <v>1.7905316810468768E-5</v>
      </c>
      <c r="AB48" s="12">
        <f t="shared" si="28"/>
        <v>2.0024780230882091E-3</v>
      </c>
      <c r="AC48" s="12">
        <f t="shared" si="29"/>
        <v>1.4973889665807734E-8</v>
      </c>
      <c r="AD48" s="12">
        <f t="shared" si="30"/>
        <v>1.6228163403015551E-4</v>
      </c>
      <c r="AE48" s="12">
        <f t="shared" si="31"/>
        <v>2.6206584595311715E-4</v>
      </c>
      <c r="AF48" s="12">
        <f t="shared" si="38"/>
        <v>4.9444370698509418E-2</v>
      </c>
      <c r="AG48" s="13"/>
      <c r="AH48" s="13" t="s">
        <v>52</v>
      </c>
      <c r="AI48" s="12">
        <f t="shared" si="39"/>
        <v>1.6114785129421898E-4</v>
      </c>
      <c r="AJ48" s="12">
        <f t="shared" si="32"/>
        <v>5.3923659325851055E-5</v>
      </c>
      <c r="AK48" s="12">
        <f t="shared" si="33"/>
        <v>1.5961201435266445E-3</v>
      </c>
      <c r="AL48" s="12">
        <f t="shared" si="34"/>
        <v>3.4765996291112052E-2</v>
      </c>
      <c r="AM48" s="12">
        <f t="shared" si="35"/>
        <v>0</v>
      </c>
      <c r="AN48" s="12">
        <f t="shared" si="36"/>
        <v>0.19125163514401325</v>
      </c>
      <c r="AO48" s="13"/>
      <c r="AP48" s="1" t="s">
        <v>132</v>
      </c>
      <c r="AQ48" s="12">
        <f t="shared" si="40"/>
        <v>0.24069600584252265</v>
      </c>
      <c r="AR48" s="12">
        <f t="shared" si="41"/>
        <v>0.79457751895202289</v>
      </c>
      <c r="AS48" s="11">
        <f t="shared" si="42"/>
        <v>7</v>
      </c>
      <c r="AU48" t="str">
        <v>Valerolactam</v>
      </c>
      <c r="AV48">
        <v>0.21565010931391992</v>
      </c>
      <c r="AW48" s="4">
        <v>0.50666916374983195</v>
      </c>
    </row>
    <row r="49" spans="5:49" x14ac:dyDescent="0.3">
      <c r="E49" t="s">
        <v>53</v>
      </c>
      <c r="F49">
        <f>'2. Database'!O25</f>
        <v>1</v>
      </c>
      <c r="G49" s="8">
        <f>LOG('2. Database'!M25)</f>
        <v>2.6419185158158522</v>
      </c>
      <c r="H49" s="4">
        <f>'2. Database'!J25</f>
        <v>0.78318561072558079</v>
      </c>
      <c r="I49" s="8">
        <f>'2. Database'!H25</f>
        <v>2.3884273725430405</v>
      </c>
      <c r="J49" s="15">
        <f>'2. Database'!P25</f>
        <v>0</v>
      </c>
      <c r="K49" s="8"/>
      <c r="L49" s="9" t="s">
        <v>53</v>
      </c>
      <c r="M49" s="8">
        <f>F49/'2. Score calculation'!F$23</f>
        <v>9.4491118252306799E-2</v>
      </c>
      <c r="N49" s="8">
        <f>G49/'2. Score calculation'!G$23</f>
        <v>0.17373658476244555</v>
      </c>
      <c r="O49" s="8">
        <f>H49/'2. Score calculation'!H$23</f>
        <v>9.5516464217617558E-2</v>
      </c>
      <c r="P49" s="8">
        <f>I49/'2. Score calculation'!I$23</f>
        <v>0.14477622498181927</v>
      </c>
      <c r="Q49" s="8">
        <f>J49/'2. Score calculation'!J$23</f>
        <v>0</v>
      </c>
      <c r="R49" s="5"/>
      <c r="S49" s="11" t="s">
        <v>53</v>
      </c>
      <c r="T49" s="12">
        <f t="shared" si="23"/>
        <v>4.2314674535518732E-3</v>
      </c>
      <c r="U49" s="12">
        <f t="shared" si="24"/>
        <v>4.1806914125589935E-2</v>
      </c>
      <c r="V49" s="12">
        <f t="shared" si="25"/>
        <v>9.7817665265824659E-3</v>
      </c>
      <c r="W49" s="12">
        <f t="shared" si="26"/>
        <v>8.2887543320765047E-2</v>
      </c>
      <c r="X49" s="12">
        <f t="shared" si="27"/>
        <v>0</v>
      </c>
      <c r="Y49" s="13"/>
      <c r="Z49" s="13" t="s">
        <v>53</v>
      </c>
      <c r="AA49" s="12">
        <f t="shared" si="37"/>
        <v>2.8648506896750039E-4</v>
      </c>
      <c r="AB49" s="12">
        <f t="shared" si="28"/>
        <v>1.4564153452021611E-3</v>
      </c>
      <c r="AC49" s="12">
        <f t="shared" si="29"/>
        <v>6.6384825374416037E-6</v>
      </c>
      <c r="AD49" s="12">
        <f t="shared" si="30"/>
        <v>4.0278263356845487E-3</v>
      </c>
      <c r="AE49" s="12">
        <f t="shared" si="31"/>
        <v>2.6206584595311715E-4</v>
      </c>
      <c r="AF49" s="12">
        <f t="shared" si="38"/>
        <v>7.7713776631590681E-2</v>
      </c>
      <c r="AG49" s="13"/>
      <c r="AH49" s="13" t="s">
        <v>53</v>
      </c>
      <c r="AI49" s="12">
        <f t="shared" si="39"/>
        <v>0</v>
      </c>
      <c r="AJ49" s="12">
        <f t="shared" si="32"/>
        <v>1.9402592810035315E-4</v>
      </c>
      <c r="AK49" s="12">
        <f t="shared" si="33"/>
        <v>1.4060486261699536E-3</v>
      </c>
      <c r="AL49" s="12">
        <f t="shared" si="34"/>
        <v>1.8422698519735378E-2</v>
      </c>
      <c r="AM49" s="12">
        <f t="shared" si="35"/>
        <v>0</v>
      </c>
      <c r="AN49" s="12">
        <f t="shared" si="36"/>
        <v>0.14150184830596979</v>
      </c>
      <c r="AO49" s="13"/>
      <c r="AP49" t="s">
        <v>15</v>
      </c>
      <c r="AQ49" s="12">
        <f t="shared" si="40"/>
        <v>0.21921562493756047</v>
      </c>
      <c r="AR49" s="12">
        <f t="shared" si="41"/>
        <v>0.64549161742587458</v>
      </c>
      <c r="AS49" s="11">
        <f t="shared" si="42"/>
        <v>10</v>
      </c>
      <c r="AU49" t="str">
        <v>Violacein</v>
      </c>
      <c r="AV49">
        <v>0.22112008547480808</v>
      </c>
      <c r="AW49" s="4">
        <v>0.50651645338324758</v>
      </c>
    </row>
    <row r="50" spans="5:49" x14ac:dyDescent="0.3">
      <c r="E50" t="s">
        <v>54</v>
      </c>
      <c r="F50">
        <f>'2. Database'!O26</f>
        <v>1</v>
      </c>
      <c r="G50" s="8">
        <f>LOG('2. Database'!M26)</f>
        <v>1.9718070804268304</v>
      </c>
      <c r="H50" s="4">
        <f>'2. Database'!J26</f>
        <v>0.49878502185795903</v>
      </c>
      <c r="I50" s="8">
        <f>'2. Database'!H26</f>
        <v>1.8879175570060831</v>
      </c>
      <c r="J50" s="15">
        <f>'2. Database'!P26</f>
        <v>1</v>
      </c>
      <c r="K50" s="8"/>
      <c r="L50" s="9" t="s">
        <v>54</v>
      </c>
      <c r="M50" s="8">
        <f>F50/'2. Score calculation'!F$23</f>
        <v>9.4491118252306799E-2</v>
      </c>
      <c r="N50" s="8">
        <f>G50/'2. Score calculation'!G$23</f>
        <v>0.12966903631317167</v>
      </c>
      <c r="O50" s="8">
        <f>H50/'2. Score calculation'!H$23</f>
        <v>6.0831278103336613E-2</v>
      </c>
      <c r="P50" s="8">
        <f>I50/'2. Score calculation'!I$23</f>
        <v>0.11443746631040332</v>
      </c>
      <c r="Q50" s="8">
        <f>J50/'2. Score calculation'!J$23</f>
        <v>0.40824829046386307</v>
      </c>
      <c r="R50" s="5"/>
      <c r="S50" s="11" t="s">
        <v>54</v>
      </c>
      <c r="T50" s="12">
        <f t="shared" si="23"/>
        <v>4.2314674535518732E-3</v>
      </c>
      <c r="U50" s="12">
        <f t="shared" si="24"/>
        <v>3.1202767530541291E-2</v>
      </c>
      <c r="V50" s="12">
        <f t="shared" si="25"/>
        <v>6.2296836968834864E-3</v>
      </c>
      <c r="W50" s="12">
        <f t="shared" si="26"/>
        <v>6.5517942932365514E-2</v>
      </c>
      <c r="X50" s="12">
        <f t="shared" si="27"/>
        <v>1.6188447916743506E-2</v>
      </c>
      <c r="Y50" s="13"/>
      <c r="Z50" s="13" t="s">
        <v>54</v>
      </c>
      <c r="AA50" s="12">
        <f t="shared" si="37"/>
        <v>2.8648506896750039E-4</v>
      </c>
      <c r="AB50" s="12">
        <f t="shared" si="28"/>
        <v>2.378235578904197E-3</v>
      </c>
      <c r="AC50" s="12">
        <f t="shared" si="29"/>
        <v>9.5171252559483867E-7</v>
      </c>
      <c r="AD50" s="12">
        <f t="shared" si="30"/>
        <v>2.1248004719942263E-3</v>
      </c>
      <c r="AE50" s="12">
        <f t="shared" si="31"/>
        <v>0</v>
      </c>
      <c r="AF50" s="12">
        <f t="shared" si="38"/>
        <v>6.9213241741674827E-2</v>
      </c>
      <c r="AG50" s="13"/>
      <c r="AH50" s="13" t="s">
        <v>54</v>
      </c>
      <c r="AI50" s="12">
        <f t="shared" si="39"/>
        <v>0</v>
      </c>
      <c r="AJ50" s="12">
        <f t="shared" si="32"/>
        <v>1.1056771593451726E-5</v>
      </c>
      <c r="AK50" s="12">
        <f t="shared" si="33"/>
        <v>1.6850530555695294E-3</v>
      </c>
      <c r="AL50" s="12">
        <f t="shared" si="34"/>
        <v>2.3439561656285371E-2</v>
      </c>
      <c r="AM50" s="12">
        <f t="shared" si="35"/>
        <v>2.6206584595311715E-4</v>
      </c>
      <c r="AN50" s="12">
        <f t="shared" si="36"/>
        <v>0.15936667571798524</v>
      </c>
      <c r="AO50" s="13"/>
      <c r="AP50" s="2" t="s">
        <v>16</v>
      </c>
      <c r="AQ50" s="12">
        <f t="shared" si="40"/>
        <v>0.22857991745966005</v>
      </c>
      <c r="AR50" s="12">
        <f t="shared" si="41"/>
        <v>0.69720331291181947</v>
      </c>
      <c r="AS50" s="11">
        <f t="shared" si="42"/>
        <v>8</v>
      </c>
      <c r="AU50" t="str">
        <v>Bio-aviation gasoline</v>
      </c>
      <c r="AV50">
        <v>0.21434708268125308</v>
      </c>
      <c r="AW50" s="4">
        <v>0.44015531309042927</v>
      </c>
    </row>
    <row r="51" spans="5:49" x14ac:dyDescent="0.3">
      <c r="E51" t="s">
        <v>55</v>
      </c>
      <c r="F51">
        <f>'2. Database'!O27</f>
        <v>1</v>
      </c>
      <c r="G51" s="8">
        <f>LOG('2. Database'!M27)</f>
        <v>3.6214100944626124</v>
      </c>
      <c r="H51" s="4">
        <f>'2. Database'!J27</f>
        <v>0.95325086956334315</v>
      </c>
      <c r="I51" s="8">
        <f>'2. Database'!H27</f>
        <v>4.5825317369018581</v>
      </c>
      <c r="J51" s="15">
        <f>'2. Database'!P27</f>
        <v>0</v>
      </c>
      <c r="K51" s="8"/>
      <c r="L51" s="9" t="s">
        <v>55</v>
      </c>
      <c r="M51" s="8">
        <f>F51/'2. Score calculation'!F$23</f>
        <v>9.4491118252306799E-2</v>
      </c>
      <c r="N51" s="8">
        <f>G51/'2. Score calculation'!G$23</f>
        <v>0.23814944256215445</v>
      </c>
      <c r="O51" s="8">
        <f>H51/'2. Score calculation'!H$23</f>
        <v>0.11625743798932378</v>
      </c>
      <c r="P51" s="8">
        <f>I51/'2. Score calculation'!I$23</f>
        <v>0.27777342252682419</v>
      </c>
      <c r="Q51" s="8">
        <f>J51/'2. Score calculation'!J$23</f>
        <v>0</v>
      </c>
      <c r="R51" s="5"/>
      <c r="S51" s="11" t="s">
        <v>55</v>
      </c>
      <c r="T51" s="12">
        <f t="shared" si="23"/>
        <v>4.2314674535518732E-3</v>
      </c>
      <c r="U51" s="12">
        <f t="shared" si="24"/>
        <v>5.7306832109463857E-2</v>
      </c>
      <c r="V51" s="12">
        <f t="shared" si="25"/>
        <v>1.1905833457143951E-2</v>
      </c>
      <c r="W51" s="12">
        <f t="shared" si="26"/>
        <v>0.15903133678157871</v>
      </c>
      <c r="X51" s="12">
        <f t="shared" si="27"/>
        <v>0</v>
      </c>
      <c r="Y51" s="13"/>
      <c r="Z51" s="13" t="s">
        <v>55</v>
      </c>
      <c r="AA51" s="12">
        <f t="shared" si="37"/>
        <v>2.8648506896750039E-4</v>
      </c>
      <c r="AB51" s="12">
        <f t="shared" si="28"/>
        <v>5.1361574741703661E-4</v>
      </c>
      <c r="AC51" s="12">
        <f t="shared" si="29"/>
        <v>2.2095567164586385E-5</v>
      </c>
      <c r="AD51" s="12">
        <f t="shared" si="30"/>
        <v>1.9490659450558275E-2</v>
      </c>
      <c r="AE51" s="12">
        <f t="shared" si="31"/>
        <v>2.6206584595311715E-4</v>
      </c>
      <c r="AF51" s="12">
        <f t="shared" si="38"/>
        <v>0.14343960987140378</v>
      </c>
      <c r="AG51" s="13"/>
      <c r="AH51" s="13" t="s">
        <v>55</v>
      </c>
      <c r="AI51" s="12">
        <f t="shared" si="39"/>
        <v>0</v>
      </c>
      <c r="AJ51" s="12">
        <f t="shared" si="32"/>
        <v>8.6607999007963922E-4</v>
      </c>
      <c r="AK51" s="12">
        <f t="shared" si="33"/>
        <v>1.2512666732848634E-3</v>
      </c>
      <c r="AL51" s="12">
        <f t="shared" si="34"/>
        <v>3.5505448171832712E-3</v>
      </c>
      <c r="AM51" s="12">
        <f t="shared" si="35"/>
        <v>0</v>
      </c>
      <c r="AN51" s="12">
        <f t="shared" si="36"/>
        <v>7.5285400181892989E-2</v>
      </c>
      <c r="AO51" s="13"/>
      <c r="AP51" t="s">
        <v>17</v>
      </c>
      <c r="AQ51" s="12">
        <f t="shared" si="40"/>
        <v>0.21872501005329675</v>
      </c>
      <c r="AR51" s="12">
        <f t="shared" si="41"/>
        <v>0.34420115085855152</v>
      </c>
      <c r="AS51" s="11">
        <f t="shared" si="42"/>
        <v>18</v>
      </c>
      <c r="AU51" t="str">
        <v>Ethylamine</v>
      </c>
      <c r="AV51">
        <v>0.21728439815790879</v>
      </c>
      <c r="AW51" s="4">
        <v>0.36445907070587014</v>
      </c>
    </row>
    <row r="52" spans="5:49" x14ac:dyDescent="0.3">
      <c r="E52" t="s">
        <v>56</v>
      </c>
      <c r="F52">
        <f>'2. Database'!O28</f>
        <v>1</v>
      </c>
      <c r="G52" s="8">
        <f>LOG('2. Database'!M28)</f>
        <v>4.5005619384412956</v>
      </c>
      <c r="H52" s="4">
        <f>'2. Database'!J28</f>
        <v>0.57224162599853068</v>
      </c>
      <c r="I52" s="8">
        <f>'2. Database'!H28</f>
        <v>2.6083577306917953</v>
      </c>
      <c r="J52" s="15">
        <f>'2. Database'!P28</f>
        <v>0</v>
      </c>
      <c r="K52" s="8"/>
      <c r="L52" s="9" t="s">
        <v>56</v>
      </c>
      <c r="M52" s="8">
        <f>F52/'2. Score calculation'!F$23</f>
        <v>9.4491118252306799E-2</v>
      </c>
      <c r="N52" s="8">
        <f>G52/'2. Score calculation'!G$23</f>
        <v>0.29596380661088623</v>
      </c>
      <c r="O52" s="8">
        <f>H52/'2. Score calculation'!H$23</f>
        <v>6.978996555220375E-2</v>
      </c>
      <c r="P52" s="8">
        <f>I52/'2. Score calculation'!I$23</f>
        <v>0.15810746016096325</v>
      </c>
      <c r="Q52" s="8">
        <f>J52/'2. Score calculation'!J$23</f>
        <v>0</v>
      </c>
      <c r="R52" s="5"/>
      <c r="S52" s="11" t="s">
        <v>56</v>
      </c>
      <c r="T52" s="12">
        <f t="shared" si="23"/>
        <v>4.2314674535518732E-3</v>
      </c>
      <c r="U52" s="12">
        <f t="shared" si="24"/>
        <v>7.1218928725820183E-2</v>
      </c>
      <c r="V52" s="12">
        <f t="shared" si="25"/>
        <v>7.1471358840769876E-3</v>
      </c>
      <c r="W52" s="12">
        <f t="shared" si="26"/>
        <v>9.0519965934142105E-2</v>
      </c>
      <c r="X52" s="12">
        <f t="shared" si="27"/>
        <v>0</v>
      </c>
      <c r="Y52" s="13"/>
      <c r="Z52" s="13" t="s">
        <v>56</v>
      </c>
      <c r="AA52" s="12">
        <f t="shared" si="37"/>
        <v>2.8648506896750039E-4</v>
      </c>
      <c r="AB52" s="12">
        <f t="shared" si="28"/>
        <v>7.6579923454479632E-5</v>
      </c>
      <c r="AC52" s="12">
        <f t="shared" si="29"/>
        <v>3.3762327242533964E-9</v>
      </c>
      <c r="AD52" s="12">
        <f t="shared" si="30"/>
        <v>5.0548660314961615E-3</v>
      </c>
      <c r="AE52" s="12">
        <f t="shared" si="31"/>
        <v>2.6206584595311715E-4</v>
      </c>
      <c r="AF52" s="12">
        <f t="shared" si="38"/>
        <v>7.5365776358397474E-2</v>
      </c>
      <c r="AG52" s="13"/>
      <c r="AH52" s="13" t="s">
        <v>56</v>
      </c>
      <c r="AI52" s="12">
        <f t="shared" si="39"/>
        <v>0</v>
      </c>
      <c r="AJ52" s="12">
        <f t="shared" si="32"/>
        <v>1.8784711991692994E-3</v>
      </c>
      <c r="AK52" s="12">
        <f t="shared" si="33"/>
        <v>1.6105730545894125E-3</v>
      </c>
      <c r="AL52" s="12">
        <f t="shared" si="34"/>
        <v>1.6409051262105817E-2</v>
      </c>
      <c r="AM52" s="12">
        <f t="shared" si="35"/>
        <v>0</v>
      </c>
      <c r="AN52" s="12">
        <f t="shared" si="36"/>
        <v>0.14106060937010206</v>
      </c>
      <c r="AO52" s="13"/>
      <c r="AP52" s="1" t="s">
        <v>18</v>
      </c>
      <c r="AQ52" s="12">
        <f t="shared" si="40"/>
        <v>0.21642638572849954</v>
      </c>
      <c r="AR52" s="12">
        <f t="shared" si="41"/>
        <v>0.65177177401584663</v>
      </c>
      <c r="AS52" s="11">
        <f t="shared" si="42"/>
        <v>9</v>
      </c>
      <c r="AU52" t="str">
        <v>Putrescine</v>
      </c>
      <c r="AV52">
        <v>0.21872501005329675</v>
      </c>
      <c r="AW52" s="4">
        <v>0.34420115085855152</v>
      </c>
    </row>
    <row r="53" spans="5:49" x14ac:dyDescent="0.3">
      <c r="E53" t="s">
        <v>57</v>
      </c>
      <c r="F53">
        <f>'2. Database'!O29</f>
        <v>1</v>
      </c>
      <c r="G53" s="8">
        <f>LOG('2. Database'!M29)</f>
        <v>1.7616783312286095</v>
      </c>
      <c r="H53" s="4">
        <f>'2. Database'!J29</f>
        <v>0.9728573343224951</v>
      </c>
      <c r="I53" s="8">
        <f>'2. Database'!H29</f>
        <v>3.2350419480189649</v>
      </c>
      <c r="J53" s="15">
        <f>'2. Database'!P29</f>
        <v>0</v>
      </c>
      <c r="K53" s="8"/>
      <c r="L53" s="9" t="s">
        <v>57</v>
      </c>
      <c r="M53" s="8">
        <f>F53/'2. Score calculation'!F$23</f>
        <v>9.4491118252306799E-2</v>
      </c>
      <c r="N53" s="8">
        <f>G53/'2. Score calculation'!G$23</f>
        <v>0.1158506497779497</v>
      </c>
      <c r="O53" s="8">
        <f>H53/'2. Score calculation'!H$23</f>
        <v>0.11864862108047701</v>
      </c>
      <c r="P53" s="8">
        <f>I53/'2. Score calculation'!I$23</f>
        <v>0.19609436999264526</v>
      </c>
      <c r="Q53" s="8">
        <f>J53/'2. Score calculation'!J$23</f>
        <v>0</v>
      </c>
      <c r="R53" s="5"/>
      <c r="S53" s="11" t="s">
        <v>57</v>
      </c>
      <c r="T53" s="12">
        <f t="shared" si="23"/>
        <v>4.2314674535518732E-3</v>
      </c>
      <c r="U53" s="12">
        <f t="shared" si="24"/>
        <v>2.7877595114943608E-2</v>
      </c>
      <c r="V53" s="12">
        <f t="shared" si="25"/>
        <v>1.2150712650606165E-2</v>
      </c>
      <c r="W53" s="12">
        <f t="shared" si="26"/>
        <v>0.11226829950680529</v>
      </c>
      <c r="X53" s="12">
        <f t="shared" si="27"/>
        <v>0</v>
      </c>
      <c r="Y53" s="13"/>
      <c r="Z53" s="13" t="s">
        <v>57</v>
      </c>
      <c r="AA53" s="12">
        <f t="shared" si="37"/>
        <v>2.8648506896750039E-4</v>
      </c>
      <c r="AB53" s="12">
        <f t="shared" si="28"/>
        <v>2.713610759419277E-3</v>
      </c>
      <c r="AC53" s="12">
        <f t="shared" si="29"/>
        <v>2.4457687444413467E-5</v>
      </c>
      <c r="AD53" s="12">
        <f t="shared" si="30"/>
        <v>8.6203638625561314E-3</v>
      </c>
      <c r="AE53" s="12">
        <f t="shared" si="31"/>
        <v>2.6206584595311715E-4</v>
      </c>
      <c r="AF53" s="12">
        <f t="shared" si="38"/>
        <v>0.10911912400830773</v>
      </c>
      <c r="AG53" s="13"/>
      <c r="AH53" s="13" t="s">
        <v>57</v>
      </c>
      <c r="AI53" s="12">
        <f t="shared" si="39"/>
        <v>0</v>
      </c>
      <c r="AJ53" s="12">
        <f t="shared" si="32"/>
        <v>0</v>
      </c>
      <c r="AK53" s="12">
        <f t="shared" si="33"/>
        <v>1.2340022942289282E-3</v>
      </c>
      <c r="AL53" s="12">
        <f t="shared" si="34"/>
        <v>1.1310213075191568E-2</v>
      </c>
      <c r="AM53" s="12">
        <f t="shared" si="35"/>
        <v>0</v>
      </c>
      <c r="AN53" s="12">
        <f t="shared" si="36"/>
        <v>0.11200096146650035</v>
      </c>
      <c r="AO53" s="13"/>
      <c r="AP53" t="s">
        <v>19</v>
      </c>
      <c r="AQ53" s="12">
        <f t="shared" si="40"/>
        <v>0.22112008547480808</v>
      </c>
      <c r="AR53" s="12">
        <f t="shared" si="41"/>
        <v>0.50651645338324758</v>
      </c>
      <c r="AS53" s="11">
        <f t="shared" si="42"/>
        <v>15</v>
      </c>
      <c r="AU53" t="str">
        <v>Limonene</v>
      </c>
      <c r="AV53">
        <v>0.212629621116529</v>
      </c>
      <c r="AW53" s="4">
        <v>0.27995909040238254</v>
      </c>
    </row>
    <row r="54" spans="5:49" x14ac:dyDescent="0.3">
      <c r="E54" t="s">
        <v>143</v>
      </c>
      <c r="F54">
        <f>SQRT(SUMSQ(F35:F53))</f>
        <v>10.583005244258363</v>
      </c>
      <c r="G54">
        <f t="shared" ref="G54:I54" si="43">SQRT(SUMSQ(G35:G53))</f>
        <v>15.206460512782696</v>
      </c>
      <c r="H54">
        <f t="shared" si="43"/>
        <v>4.0556868708157854</v>
      </c>
      <c r="I54">
        <f t="shared" si="43"/>
        <v>12.430994879518463</v>
      </c>
      <c r="J54">
        <f>SQRT(SUMSQ(J35:J53))</f>
        <v>2.4494897427831779</v>
      </c>
      <c r="K54" s="8"/>
      <c r="L54" s="9"/>
      <c r="M54" s="8"/>
      <c r="N54" s="8"/>
      <c r="O54" s="8"/>
      <c r="P54" s="8"/>
      <c r="Q54" s="8"/>
      <c r="R54" s="5"/>
      <c r="S54" s="14" t="s">
        <v>58</v>
      </c>
      <c r="T54" s="12">
        <f>MAX(T35:T53)</f>
        <v>2.1157337267759365E-2</v>
      </c>
      <c r="U54" s="12">
        <f t="shared" ref="U54" si="44">MAX(U35:U53)</f>
        <v>7.9969924295152831E-2</v>
      </c>
      <c r="V54" s="12">
        <f>MIN(V35:V53)</f>
        <v>3.3804796284706701E-3</v>
      </c>
      <c r="W54" s="12">
        <f>MIN(W35:W53)</f>
        <v>4.7474662304962494E-3</v>
      </c>
      <c r="X54" s="12">
        <f t="shared" ref="X54" si="45">MAX(X35:X53)</f>
        <v>1.6188447916743506E-2</v>
      </c>
      <c r="Y54" s="13"/>
      <c r="Z54" s="11"/>
      <c r="AA54" s="11"/>
      <c r="AB54" s="11"/>
      <c r="AC54" s="11"/>
      <c r="AD54" s="11"/>
      <c r="AE54" s="11"/>
      <c r="AF54" s="11"/>
      <c r="AG54" s="11"/>
      <c r="AH54" s="11"/>
      <c r="AI54" s="12"/>
      <c r="AJ54" s="12"/>
      <c r="AK54" s="12"/>
      <c r="AL54" s="12"/>
      <c r="AM54" s="12"/>
      <c r="AN54" s="12"/>
      <c r="AO54" s="11"/>
      <c r="AP54" s="11"/>
      <c r="AQ54" s="11"/>
      <c r="AR54" s="11"/>
      <c r="AS54" s="11"/>
    </row>
    <row r="55" spans="5:49" x14ac:dyDescent="0.3">
      <c r="E55" s="10" t="s">
        <v>59</v>
      </c>
      <c r="F55">
        <f>MAX(F35:F53)</f>
        <v>5</v>
      </c>
      <c r="G55" s="8">
        <f>MAX(G35:G53)</f>
        <v>5.053566572004792</v>
      </c>
      <c r="H55" s="8">
        <f>MAX(H35:H53)</f>
        <v>2.1384021384021383</v>
      </c>
      <c r="I55" s="8">
        <f>MAX(I35:I53)</f>
        <v>4.7383049150608851</v>
      </c>
      <c r="J55">
        <f>MAX(J35:J53)</f>
        <v>1</v>
      </c>
      <c r="K55" s="8"/>
      <c r="L55" s="9"/>
      <c r="M55" s="8"/>
      <c r="N55" s="8"/>
      <c r="O55" s="8"/>
      <c r="P55" s="8"/>
      <c r="Q55" s="8"/>
      <c r="R55" s="5"/>
      <c r="S55" s="5" t="s">
        <v>60</v>
      </c>
      <c r="T55" s="3">
        <f>MIN(T35:T53)</f>
        <v>4.2314674535518732E-3</v>
      </c>
      <c r="U55" s="3">
        <f>MIN(U35:U53)</f>
        <v>2.7877595114943608E-2</v>
      </c>
      <c r="V55" s="3">
        <f>MAX(V35:V53)</f>
        <v>2.6708037240898187E-2</v>
      </c>
      <c r="W55" s="3">
        <f>MAX(W35:W53)</f>
        <v>0.16443726044553428</v>
      </c>
      <c r="X55" s="3">
        <f>MIN(X35:X53)</f>
        <v>0</v>
      </c>
      <c r="Y55" s="6"/>
    </row>
    <row r="56" spans="5:49" x14ac:dyDescent="0.3">
      <c r="E56" s="1" t="s">
        <v>61</v>
      </c>
      <c r="F56">
        <f>MIN(F35:F53)</f>
        <v>1</v>
      </c>
      <c r="G56" s="8">
        <f>MIN(G35:G53)</f>
        <v>1.7616783312286095</v>
      </c>
      <c r="H56" s="8">
        <f>MIN(H35:H53)</f>
        <v>0.270661029904399</v>
      </c>
      <c r="I56" s="8">
        <f>MIN(I35:I53)</f>
        <v>0.13679954599764715</v>
      </c>
      <c r="J56">
        <f>MIN(J35:J53)</f>
        <v>0</v>
      </c>
      <c r="K56" s="8"/>
      <c r="R56" s="5"/>
      <c r="Y56" s="6"/>
    </row>
    <row r="57" spans="5:49" x14ac:dyDescent="0.3">
      <c r="E57" t="s">
        <v>62</v>
      </c>
      <c r="F57" s="8">
        <f>F55-F56</f>
        <v>4</v>
      </c>
      <c r="G57" s="8">
        <f t="shared" ref="G57:J57" si="46">G55-G56</f>
        <v>3.2918882407761823</v>
      </c>
      <c r="H57" s="8">
        <f t="shared" si="46"/>
        <v>1.8677411084977393</v>
      </c>
      <c r="I57" s="8">
        <f t="shared" si="46"/>
        <v>4.6015053690632381</v>
      </c>
      <c r="J57" s="8">
        <f t="shared" si="46"/>
        <v>1</v>
      </c>
      <c r="K57" s="8"/>
      <c r="L57" s="7"/>
      <c r="M57" s="3"/>
      <c r="N57" s="3"/>
      <c r="O57" s="3"/>
      <c r="P57" s="3"/>
      <c r="Q57" s="3"/>
      <c r="R57" s="5"/>
      <c r="Y57" s="6"/>
    </row>
  </sheetData>
  <mergeCells count="3">
    <mergeCell ref="E32:F32"/>
    <mergeCell ref="E1:F1"/>
    <mergeCell ref="B2:C2"/>
  </mergeCells>
  <phoneticPr fontId="3" type="noConversion"/>
  <conditionalFormatting sqref="F4:F22">
    <cfRule type="cellIs" dxfId="15" priority="5" operator="equal">
      <formula>$I$25</formula>
    </cfRule>
    <cfRule type="cellIs" dxfId="14" priority="6" operator="equal">
      <formula>$I$26</formula>
    </cfRule>
  </conditionalFormatting>
  <conditionalFormatting sqref="F35:F53">
    <cfRule type="cellIs" dxfId="13" priority="31" operator="equal">
      <formula>$I$25</formula>
    </cfRule>
    <cfRule type="cellIs" dxfId="12" priority="32" operator="equal">
      <formula>$I$26</formula>
    </cfRule>
  </conditionalFormatting>
  <conditionalFormatting sqref="G4:G22">
    <cfRule type="cellIs" dxfId="11" priority="3" operator="equal">
      <formula>$J$26</formula>
    </cfRule>
    <cfRule type="cellIs" dxfId="10" priority="4" operator="equal">
      <formula>$J$25</formula>
    </cfRule>
  </conditionalFormatting>
  <conditionalFormatting sqref="G35:G53">
    <cfRule type="cellIs" dxfId="9" priority="33" operator="equal">
      <formula>$J$26</formula>
    </cfRule>
    <cfRule type="cellIs" dxfId="8" priority="34" operator="equal">
      <formula>$J$25</formula>
    </cfRule>
  </conditionalFormatting>
  <conditionalFormatting sqref="H4:H22">
    <cfRule type="cellIs" dxfId="7" priority="1" operator="equal">
      <formula>$K$26</formula>
    </cfRule>
    <cfRule type="cellIs" dxfId="6" priority="2" operator="equal">
      <formula>$K$25</formula>
    </cfRule>
  </conditionalFormatting>
  <conditionalFormatting sqref="H35:H53">
    <cfRule type="cellIs" dxfId="5" priority="11" operator="equal">
      <formula>$K$26</formula>
    </cfRule>
    <cfRule type="cellIs" dxfId="4" priority="12" operator="equal">
      <formula>$K$25</formula>
    </cfRule>
  </conditionalFormatting>
  <conditionalFormatting sqref="I4:I22">
    <cfRule type="cellIs" dxfId="3" priority="7" operator="equal">
      <formula>$L$29</formula>
    </cfRule>
    <cfRule type="cellIs" dxfId="2" priority="8" operator="equal">
      <formula>$L$25</formula>
    </cfRule>
  </conditionalFormatting>
  <conditionalFormatting sqref="I35:I53">
    <cfRule type="cellIs" dxfId="1" priority="25" operator="equal">
      <formula>$L$29</formula>
    </cfRule>
    <cfRule type="cellIs" dxfId="0" priority="26" operator="equal">
      <formula>$L$25</formula>
    </cfRule>
  </conditionalFormatting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AE491-30DD-4257-A268-A18E710B1866}">
  <dimension ref="A1:R67"/>
  <sheetViews>
    <sheetView showGridLines="0" tabSelected="1" zoomScale="70" zoomScaleNormal="70" workbookViewId="0">
      <selection activeCell="A10" sqref="A10"/>
    </sheetView>
  </sheetViews>
  <sheetFormatPr defaultRowHeight="16.5" x14ac:dyDescent="0.3"/>
  <cols>
    <col min="1" max="1" width="3.5" customWidth="1"/>
    <col min="2" max="2" width="36.625" customWidth="1"/>
    <col min="3" max="3" width="17.25" customWidth="1"/>
    <col min="4" max="4" width="19.25" customWidth="1"/>
    <col min="5" max="5" width="16.875" customWidth="1"/>
    <col min="6" max="6" width="13.125" customWidth="1"/>
    <col min="7" max="7" width="22.125" customWidth="1"/>
    <col min="8" max="8" width="21.875" customWidth="1"/>
    <col min="9" max="9" width="20" customWidth="1"/>
    <col min="10" max="10" width="19" customWidth="1"/>
    <col min="11" max="11" width="20.5" customWidth="1"/>
    <col min="12" max="12" width="12.25" customWidth="1"/>
    <col min="13" max="13" width="26.375" customWidth="1"/>
    <col min="14" max="14" width="14.375" customWidth="1"/>
    <col min="15" max="15" width="15.5" customWidth="1"/>
    <col min="16" max="16" width="8.5" customWidth="1"/>
    <col min="17" max="17" width="8.25" customWidth="1"/>
    <col min="18" max="18" width="38.5" customWidth="1"/>
    <col min="19" max="19" width="13.875" customWidth="1"/>
    <col min="20" max="20" width="20.125" customWidth="1"/>
    <col min="21" max="21" width="21.5" customWidth="1"/>
    <col min="22" max="22" width="24.125" customWidth="1"/>
  </cols>
  <sheetData>
    <row r="1" spans="1:18" x14ac:dyDescent="0.3">
      <c r="A1" s="35"/>
      <c r="B1" s="35"/>
      <c r="C1" s="35"/>
      <c r="D1" s="35"/>
      <c r="E1" s="35"/>
      <c r="F1" s="35"/>
      <c r="G1" s="35"/>
      <c r="H1" s="35"/>
      <c r="I1" s="35"/>
      <c r="J1" s="35"/>
      <c r="K1" s="35"/>
      <c r="L1" s="35"/>
      <c r="M1" s="35"/>
      <c r="N1" s="35"/>
      <c r="O1" s="35"/>
      <c r="P1" s="35"/>
      <c r="Q1" s="35"/>
      <c r="R1" s="35"/>
    </row>
    <row r="2" spans="1:18" x14ac:dyDescent="0.3">
      <c r="A2" s="35"/>
      <c r="B2" s="35"/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35"/>
    </row>
    <row r="3" spans="1:18" x14ac:dyDescent="0.3">
      <c r="A3" s="35"/>
      <c r="B3" s="35"/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5"/>
      <c r="P3" s="35"/>
      <c r="Q3" s="35"/>
      <c r="R3" s="35"/>
    </row>
    <row r="4" spans="1:18" x14ac:dyDescent="0.3">
      <c r="A4" s="35"/>
      <c r="B4" s="35"/>
      <c r="C4" s="35"/>
      <c r="D4" s="35"/>
      <c r="E4" s="35"/>
      <c r="F4" s="35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</row>
    <row r="5" spans="1:18" x14ac:dyDescent="0.3">
      <c r="A5" s="35"/>
      <c r="B5" s="35"/>
      <c r="C5" s="35"/>
      <c r="D5" s="35"/>
      <c r="E5" s="35"/>
      <c r="F5" s="35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</row>
    <row r="6" spans="1:18" x14ac:dyDescent="0.3">
      <c r="A6" s="35"/>
      <c r="B6" s="35"/>
      <c r="C6" s="35"/>
      <c r="D6" s="35"/>
      <c r="E6" s="35"/>
      <c r="F6" s="35"/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</row>
    <row r="7" spans="1:18" x14ac:dyDescent="0.3">
      <c r="A7" s="35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35"/>
      <c r="Q7" s="35"/>
      <c r="R7" s="35"/>
    </row>
    <row r="8" spans="1:18" x14ac:dyDescent="0.3">
      <c r="A8" s="35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35"/>
      <c r="Q8" s="35"/>
      <c r="R8" s="35"/>
    </row>
    <row r="9" spans="1:18" ht="16.5" customHeight="1" x14ac:dyDescent="0.3">
      <c r="A9" s="35"/>
      <c r="B9" s="38"/>
      <c r="C9" s="80" t="s">
        <v>152</v>
      </c>
      <c r="D9" s="80"/>
      <c r="E9" s="80"/>
      <c r="F9" s="97"/>
      <c r="G9" s="96" t="s">
        <v>153</v>
      </c>
      <c r="H9" s="97"/>
      <c r="I9" s="96" t="s">
        <v>154</v>
      </c>
      <c r="J9" s="97"/>
      <c r="K9" s="96" t="s">
        <v>150</v>
      </c>
      <c r="L9" s="80"/>
      <c r="M9" s="80"/>
      <c r="N9" s="97"/>
      <c r="O9" s="100" t="s">
        <v>20</v>
      </c>
      <c r="P9" s="98" t="s">
        <v>65</v>
      </c>
      <c r="Q9" s="99"/>
      <c r="R9" s="35"/>
    </row>
    <row r="10" spans="1:18" ht="53.25" customHeight="1" x14ac:dyDescent="0.3">
      <c r="A10" s="36"/>
      <c r="B10" s="17" t="s">
        <v>0</v>
      </c>
      <c r="C10" s="21" t="s">
        <v>23</v>
      </c>
      <c r="D10" s="21" t="s">
        <v>90</v>
      </c>
      <c r="E10" s="80" t="s">
        <v>91</v>
      </c>
      <c r="F10" s="97"/>
      <c r="G10" s="39" t="s">
        <v>27</v>
      </c>
      <c r="H10" s="40" t="s">
        <v>28</v>
      </c>
      <c r="I10" s="39" t="s">
        <v>27</v>
      </c>
      <c r="J10" s="40" t="s">
        <v>28</v>
      </c>
      <c r="K10" s="41" t="s">
        <v>125</v>
      </c>
      <c r="L10" s="42" t="s">
        <v>21</v>
      </c>
      <c r="M10" s="43" t="s">
        <v>22</v>
      </c>
      <c r="N10" s="44" t="s">
        <v>124</v>
      </c>
      <c r="O10" s="100"/>
      <c r="P10" s="98"/>
      <c r="Q10" s="99"/>
      <c r="R10" s="35"/>
    </row>
    <row r="11" spans="1:18" x14ac:dyDescent="0.3">
      <c r="A11" s="35"/>
      <c r="B11" s="17" t="s">
        <v>1</v>
      </c>
      <c r="C11" s="19">
        <v>0</v>
      </c>
      <c r="D11" s="19">
        <v>0</v>
      </c>
      <c r="E11" s="19">
        <v>1.5181417944436011</v>
      </c>
      <c r="F11" s="45" t="s">
        <v>25</v>
      </c>
      <c r="G11" s="62">
        <v>1.59987445073112</v>
      </c>
      <c r="H11" s="63">
        <v>1.59987445073112</v>
      </c>
      <c r="I11" s="62">
        <f>$C11*$I$31+$D11*$I$32+$E11*$I$34</f>
        <v>0.57689388188856838</v>
      </c>
      <c r="J11" s="63">
        <f>$C11*$I$31+$D11*$I$32+$E11*$I$34</f>
        <v>0.57689388188856838</v>
      </c>
      <c r="K11" s="66">
        <f>44.1*1000</f>
        <v>44100</v>
      </c>
      <c r="L11" s="67">
        <v>5.0691790188998276E-2</v>
      </c>
      <c r="M11" s="68">
        <f>K11*(1+L11)^(2027-2022)</f>
        <v>56469.674388470361</v>
      </c>
      <c r="N11" s="46" t="s">
        <v>113</v>
      </c>
      <c r="O11" s="69">
        <v>3</v>
      </c>
      <c r="P11" s="94">
        <v>1</v>
      </c>
      <c r="Q11" s="95"/>
      <c r="R11" s="35"/>
    </row>
    <row r="12" spans="1:18" x14ac:dyDescent="0.3">
      <c r="A12" s="35"/>
      <c r="B12" s="17" t="s">
        <v>2</v>
      </c>
      <c r="C12" s="19">
        <v>0</v>
      </c>
      <c r="D12" s="19">
        <v>0.58386355602686457</v>
      </c>
      <c r="E12" s="19">
        <v>1.7439832577607255</v>
      </c>
      <c r="F12" s="101" t="s">
        <v>26</v>
      </c>
      <c r="G12" s="62">
        <v>3.2456892678421054</v>
      </c>
      <c r="H12" s="63">
        <v>3.2456892678421054</v>
      </c>
      <c r="I12" s="62">
        <f>$C12*$I$31+$D12*$I$32+$E12*$I$35</f>
        <v>1.325731572310946</v>
      </c>
      <c r="J12" s="63">
        <f>$C12*$I$31+$D12*$I$32+$E12*$I$35</f>
        <v>1.325731572310946</v>
      </c>
      <c r="K12" s="66">
        <f>15*1000</f>
        <v>15000</v>
      </c>
      <c r="L12" s="67">
        <v>3.8568833269740477E-2</v>
      </c>
      <c r="M12" s="68">
        <f>K12*(1+L12)^(2027-2022)</f>
        <v>18124.568960391854</v>
      </c>
      <c r="N12" s="46" t="s">
        <v>117</v>
      </c>
      <c r="O12" s="69">
        <v>2</v>
      </c>
      <c r="P12" s="94">
        <v>0</v>
      </c>
      <c r="Q12" s="95"/>
      <c r="R12" s="35"/>
    </row>
    <row r="13" spans="1:18" x14ac:dyDescent="0.3">
      <c r="A13" s="35"/>
      <c r="B13" s="17" t="s">
        <v>3</v>
      </c>
      <c r="C13" s="19">
        <v>0</v>
      </c>
      <c r="D13" s="19">
        <v>0</v>
      </c>
      <c r="E13" s="19">
        <v>2.97000297000297</v>
      </c>
      <c r="F13" s="101"/>
      <c r="G13" s="62">
        <v>4.7383049150608851</v>
      </c>
      <c r="H13" s="63">
        <v>4.7383049150608851</v>
      </c>
      <c r="I13" s="62">
        <f>$C13*$I$31+$D13*$I$32+$E13*$I$35</f>
        <v>2.1384021384021383</v>
      </c>
      <c r="J13" s="63">
        <f>$C13*$I$31+$D13*$I$32+$E13*$I$35</f>
        <v>2.1384021384021383</v>
      </c>
      <c r="K13" s="66">
        <v>312.10000000000002</v>
      </c>
      <c r="L13" s="67">
        <v>0.06</v>
      </c>
      <c r="M13" s="68">
        <f>K13*(1+L13)^(2027-2022)</f>
        <v>417.66020276896018</v>
      </c>
      <c r="N13" s="46" t="s">
        <v>114</v>
      </c>
      <c r="O13" s="69">
        <v>1</v>
      </c>
      <c r="P13" s="94">
        <v>0</v>
      </c>
      <c r="Q13" s="95"/>
      <c r="R13" s="35"/>
    </row>
    <row r="14" spans="1:18" x14ac:dyDescent="0.3">
      <c r="A14" s="35"/>
      <c r="B14" s="18" t="s">
        <v>4</v>
      </c>
      <c r="C14" s="19">
        <v>0</v>
      </c>
      <c r="D14" s="19">
        <v>0</v>
      </c>
      <c r="E14" s="19">
        <v>3.8314176245210727</v>
      </c>
      <c r="F14" s="101" t="s">
        <v>24</v>
      </c>
      <c r="G14" s="62">
        <v>6.2995316427251211</v>
      </c>
      <c r="H14" s="63">
        <v>3.9240527155220564</v>
      </c>
      <c r="I14" s="62">
        <f t="shared" ref="I14:J29" si="0">$C14*$I$31+$D14*$I$32+$E14*I$33</f>
        <v>3.7854406130268199</v>
      </c>
      <c r="J14" s="63">
        <f t="shared" si="0"/>
        <v>1.4559386973180077</v>
      </c>
      <c r="K14" s="66">
        <f>2.11*1000</f>
        <v>2110</v>
      </c>
      <c r="L14" s="67">
        <v>7.2321814509390236E-2</v>
      </c>
      <c r="M14" s="68">
        <f>K14*(1+L14)^(2027-2023)</f>
        <v>2789.8639139633588</v>
      </c>
      <c r="N14" s="46" t="s">
        <v>114</v>
      </c>
      <c r="O14" s="69">
        <v>5</v>
      </c>
      <c r="P14" s="94">
        <v>1</v>
      </c>
      <c r="Q14" s="95"/>
      <c r="R14" s="35"/>
    </row>
    <row r="15" spans="1:18" x14ac:dyDescent="0.3">
      <c r="A15" s="35"/>
      <c r="B15" s="18" t="s">
        <v>5</v>
      </c>
      <c r="C15" s="19">
        <v>0</v>
      </c>
      <c r="D15" s="19">
        <v>0</v>
      </c>
      <c r="E15" s="19">
        <v>3.0303030303030303</v>
      </c>
      <c r="F15" s="101"/>
      <c r="G15" s="62">
        <v>5.0984428275867941</v>
      </c>
      <c r="H15" s="63">
        <v>3.2196549487989152</v>
      </c>
      <c r="I15" s="62">
        <f t="shared" si="0"/>
        <v>2.9939393939393937</v>
      </c>
      <c r="J15" s="63">
        <f t="shared" si="0"/>
        <v>1.1515151515151516</v>
      </c>
      <c r="K15" s="66">
        <f>42.6*1000</f>
        <v>42600</v>
      </c>
      <c r="L15" s="67">
        <v>4.3182895502444696E-2</v>
      </c>
      <c r="M15" s="68">
        <f>K15*(1+L15)^(2027-2022)</f>
        <v>52627.39663072952</v>
      </c>
      <c r="N15" s="46" t="s">
        <v>115</v>
      </c>
      <c r="O15" s="69">
        <v>5</v>
      </c>
      <c r="P15" s="94">
        <v>1</v>
      </c>
      <c r="Q15" s="95"/>
      <c r="R15" s="35"/>
    </row>
    <row r="16" spans="1:18" x14ac:dyDescent="0.3">
      <c r="A16" s="35"/>
      <c r="B16" s="17" t="s">
        <v>6</v>
      </c>
      <c r="C16" s="19">
        <v>0</v>
      </c>
      <c r="D16" s="19">
        <v>0.66649853727428621</v>
      </c>
      <c r="E16" s="19">
        <v>0.78302403883799243</v>
      </c>
      <c r="F16" s="101"/>
      <c r="G16" s="62">
        <v>3.551669634058972</v>
      </c>
      <c r="H16" s="63">
        <v>3.0661947299794168</v>
      </c>
      <c r="I16" s="62">
        <f t="shared" si="0"/>
        <v>0.85360757484485084</v>
      </c>
      <c r="J16" s="63">
        <f t="shared" si="0"/>
        <v>0.37752895923135149</v>
      </c>
      <c r="K16" s="66">
        <v>1088.4000000000001</v>
      </c>
      <c r="L16" s="67">
        <v>0.103000145586173</v>
      </c>
      <c r="M16" s="68">
        <f>K16*(1+L16)^(2027-2022)</f>
        <v>1776.913888784974</v>
      </c>
      <c r="N16" s="46" t="s">
        <v>116</v>
      </c>
      <c r="O16" s="69">
        <v>2</v>
      </c>
      <c r="P16" s="94">
        <v>1</v>
      </c>
      <c r="Q16" s="95"/>
      <c r="R16" s="35"/>
    </row>
    <row r="17" spans="1:18" x14ac:dyDescent="0.3">
      <c r="A17" s="35"/>
      <c r="B17" s="17" t="s">
        <v>7</v>
      </c>
      <c r="C17" s="19">
        <v>0</v>
      </c>
      <c r="D17" s="19">
        <v>0</v>
      </c>
      <c r="E17" s="19">
        <v>1.4742739200943535</v>
      </c>
      <c r="F17" s="101"/>
      <c r="G17" s="62">
        <v>2.1478892937358784</v>
      </c>
      <c r="H17" s="63">
        <v>1.2338394632773795</v>
      </c>
      <c r="I17" s="62">
        <f t="shared" si="0"/>
        <v>1.4565826330532212</v>
      </c>
      <c r="J17" s="63">
        <f t="shared" si="0"/>
        <v>0.56022408963585435</v>
      </c>
      <c r="K17" s="66">
        <f>1.7*1000</f>
        <v>1700</v>
      </c>
      <c r="L17" s="67">
        <v>3.5845687318051489E-2</v>
      </c>
      <c r="M17" s="68">
        <f>K17*(1+L17)^(2027-2022)</f>
        <v>2027.3289986244883</v>
      </c>
      <c r="N17" s="46" t="s">
        <v>115</v>
      </c>
      <c r="O17" s="69">
        <v>1</v>
      </c>
      <c r="P17" s="94">
        <v>0</v>
      </c>
      <c r="Q17" s="95"/>
      <c r="R17" s="35"/>
    </row>
    <row r="18" spans="1:18" x14ac:dyDescent="0.3">
      <c r="A18" s="35"/>
      <c r="B18" s="17" t="s">
        <v>8</v>
      </c>
      <c r="C18" s="19">
        <v>0</v>
      </c>
      <c r="D18" s="19">
        <v>0</v>
      </c>
      <c r="E18" s="19">
        <v>1.5956598053295037</v>
      </c>
      <c r="F18" s="101"/>
      <c r="G18" s="62">
        <v>2.2133817399417541</v>
      </c>
      <c r="H18" s="63">
        <v>1.2240726606374617</v>
      </c>
      <c r="I18" s="62">
        <f t="shared" si="0"/>
        <v>1.5765118876655497</v>
      </c>
      <c r="J18" s="63">
        <f t="shared" si="0"/>
        <v>0.60635072602521145</v>
      </c>
      <c r="K18" s="66">
        <v>1156.3</v>
      </c>
      <c r="L18" s="67">
        <v>4.1496033435677315E-2</v>
      </c>
      <c r="M18" s="68">
        <f>K18*(1+L18)^(2027-2022)</f>
        <v>1416.9633815753655</v>
      </c>
      <c r="N18" s="46" t="s">
        <v>116</v>
      </c>
      <c r="O18" s="69">
        <v>1</v>
      </c>
      <c r="P18" s="94">
        <v>0</v>
      </c>
      <c r="Q18" s="95"/>
      <c r="R18" s="35"/>
    </row>
    <row r="19" spans="1:18" x14ac:dyDescent="0.3">
      <c r="A19" s="35"/>
      <c r="B19" s="18" t="s">
        <v>9</v>
      </c>
      <c r="C19" s="19">
        <v>0</v>
      </c>
      <c r="D19" s="19">
        <v>1.4656166814551908</v>
      </c>
      <c r="E19" s="19">
        <v>1.9542700801250732</v>
      </c>
      <c r="F19" s="101"/>
      <c r="G19" s="62">
        <v>5.6175236060045854</v>
      </c>
      <c r="H19" s="63">
        <v>4.4058761563270403</v>
      </c>
      <c r="I19" s="62">
        <f t="shared" si="0"/>
        <v>2.1066928409381953</v>
      </c>
      <c r="J19" s="63">
        <f t="shared" si="0"/>
        <v>0.91849663222215072</v>
      </c>
      <c r="K19" s="66">
        <v>2087.9</v>
      </c>
      <c r="L19" s="67">
        <v>4.5999999999999999E-2</v>
      </c>
      <c r="M19" s="68">
        <f>K19*(1+L19)^(2027-2023)</f>
        <v>2499.4038382179829</v>
      </c>
      <c r="N19" s="46" t="s">
        <v>118</v>
      </c>
      <c r="O19" s="69">
        <v>1</v>
      </c>
      <c r="P19" s="94">
        <v>0</v>
      </c>
      <c r="Q19" s="95"/>
      <c r="R19" s="35"/>
    </row>
    <row r="20" spans="1:18" x14ac:dyDescent="0.3">
      <c r="A20" s="35"/>
      <c r="B20" s="17" t="s">
        <v>10</v>
      </c>
      <c r="C20" s="19">
        <v>0</v>
      </c>
      <c r="D20" s="19">
        <v>0.66649853727428621</v>
      </c>
      <c r="E20" s="19">
        <v>2.2784233310549098</v>
      </c>
      <c r="F20" s="101"/>
      <c r="G20" s="62">
        <v>4.9254482422686801</v>
      </c>
      <c r="H20" s="63">
        <v>3.5128257770146409</v>
      </c>
      <c r="I20" s="62">
        <f t="shared" si="0"/>
        <v>2.331062075555165</v>
      </c>
      <c r="J20" s="63">
        <f t="shared" si="0"/>
        <v>0.94578069027377998</v>
      </c>
      <c r="K20" s="66">
        <f>8.9*1000</f>
        <v>8900</v>
      </c>
      <c r="L20" s="67">
        <v>5.441990674192887E-2</v>
      </c>
      <c r="M20" s="68">
        <f>K20*(1+L20)^(2027-2022)</f>
        <v>11600.000000000002</v>
      </c>
      <c r="N20" s="46" t="s">
        <v>119</v>
      </c>
      <c r="O20" s="69">
        <v>1</v>
      </c>
      <c r="P20" s="94">
        <v>0</v>
      </c>
      <c r="Q20" s="95"/>
      <c r="R20" s="35"/>
    </row>
    <row r="21" spans="1:18" x14ac:dyDescent="0.3">
      <c r="A21" s="35"/>
      <c r="B21" s="17" t="s">
        <v>11</v>
      </c>
      <c r="C21" s="19">
        <v>0</v>
      </c>
      <c r="D21" s="19">
        <v>0</v>
      </c>
      <c r="E21" s="19">
        <v>1.154334526145677</v>
      </c>
      <c r="F21" s="101"/>
      <c r="G21" s="62">
        <v>1.4082881218977299</v>
      </c>
      <c r="H21" s="63">
        <v>0.69260071568740622</v>
      </c>
      <c r="I21" s="62">
        <f t="shared" si="0"/>
        <v>1.1404825118319288</v>
      </c>
      <c r="J21" s="63">
        <f>$C21*$I$31+$D21*$I$32+$E21*J$33</f>
        <v>0.43864711993535727</v>
      </c>
      <c r="K21" s="66">
        <f>87.1*1000</f>
        <v>87100</v>
      </c>
      <c r="L21" s="67">
        <v>5.3682296765148019E-2</v>
      </c>
      <c r="M21" s="68">
        <f>K21*(1+L21)^(2027-2022)</f>
        <v>113127.07859470489</v>
      </c>
      <c r="N21" s="46" t="s">
        <v>115</v>
      </c>
      <c r="O21" s="69">
        <v>1</v>
      </c>
      <c r="P21" s="94">
        <v>0</v>
      </c>
      <c r="Q21" s="95"/>
      <c r="R21" s="35"/>
    </row>
    <row r="22" spans="1:18" x14ac:dyDescent="0.3">
      <c r="A22" s="35"/>
      <c r="B22" s="17" t="s">
        <v>12</v>
      </c>
      <c r="C22" s="19">
        <v>0.32821875880955254</v>
      </c>
      <c r="D22" s="19">
        <v>0</v>
      </c>
      <c r="E22" s="19">
        <v>0.68203519301595961</v>
      </c>
      <c r="F22" s="101"/>
      <c r="G22" s="62">
        <v>0.55966136566754199</v>
      </c>
      <c r="H22" s="63">
        <v>0.13679954599764715</v>
      </c>
      <c r="I22" s="62">
        <f t="shared" si="0"/>
        <v>0.68533842725810246</v>
      </c>
      <c r="J22" s="63">
        <f t="shared" si="0"/>
        <v>0.270661029904399</v>
      </c>
      <c r="K22" s="66">
        <v>205.75670918421329</v>
      </c>
      <c r="L22" s="67">
        <v>5.1999999999999998E-2</v>
      </c>
      <c r="M22" s="68">
        <f>K22*(1+L22)^(2027-2022)</f>
        <v>265.11402568186503</v>
      </c>
      <c r="N22" s="46" t="s">
        <v>113</v>
      </c>
      <c r="O22" s="69">
        <v>3</v>
      </c>
      <c r="P22" s="94">
        <v>0</v>
      </c>
      <c r="Q22" s="95"/>
      <c r="R22" s="35"/>
    </row>
    <row r="23" spans="1:18" x14ac:dyDescent="0.3">
      <c r="A23" s="35"/>
      <c r="B23" s="17" t="s">
        <v>13</v>
      </c>
      <c r="C23" s="19">
        <v>0.18634092641205857</v>
      </c>
      <c r="D23" s="19">
        <v>0</v>
      </c>
      <c r="E23" s="19">
        <v>0.90538705296514255</v>
      </c>
      <c r="F23" s="101"/>
      <c r="G23" s="62">
        <v>0.94990923569546537</v>
      </c>
      <c r="H23" s="63">
        <v>0.38856926285707694</v>
      </c>
      <c r="I23" s="62">
        <f t="shared" si="0"/>
        <v>0.90104434075398288</v>
      </c>
      <c r="J23" s="63">
        <f t="shared" si="0"/>
        <v>0.35056901255117623</v>
      </c>
      <c r="K23" s="66">
        <v>222.88886276251463</v>
      </c>
      <c r="L23" s="67">
        <v>9.7000000000000003E-2</v>
      </c>
      <c r="M23" s="68">
        <f>K23*(1+L23)^(2027-2023)</f>
        <v>322.78614015170473</v>
      </c>
      <c r="N23" s="46" t="s">
        <v>120</v>
      </c>
      <c r="O23" s="69">
        <v>3</v>
      </c>
      <c r="P23" s="94">
        <v>1</v>
      </c>
      <c r="Q23" s="95"/>
      <c r="R23" s="35"/>
    </row>
    <row r="24" spans="1:18" x14ac:dyDescent="0.3">
      <c r="A24" s="35"/>
      <c r="B24" s="18" t="s">
        <v>14</v>
      </c>
      <c r="C24" s="19">
        <v>0</v>
      </c>
      <c r="D24" s="19">
        <v>0</v>
      </c>
      <c r="E24" s="19">
        <v>1.5439246564767639</v>
      </c>
      <c r="F24" s="101"/>
      <c r="G24" s="62">
        <v>1.8839718928687423</v>
      </c>
      <c r="H24" s="63">
        <v>0.92673860585314882</v>
      </c>
      <c r="I24" s="62">
        <f t="shared" si="0"/>
        <v>1.5253975605990426</v>
      </c>
      <c r="J24" s="63">
        <f>$C24*$I$31+$D24*$I$32+$E24*J$33</f>
        <v>0.58669136946117029</v>
      </c>
      <c r="K24" s="66">
        <v>93</v>
      </c>
      <c r="L24" s="67">
        <v>0.15960567627529801</v>
      </c>
      <c r="M24" s="68">
        <f>K24*(1+L24)^(2027-2023)</f>
        <v>168.16061182655451</v>
      </c>
      <c r="N24" s="46" t="s">
        <v>121</v>
      </c>
      <c r="O24" s="69">
        <v>4</v>
      </c>
      <c r="P24" s="94">
        <v>0</v>
      </c>
      <c r="Q24" s="95"/>
      <c r="R24" s="35"/>
    </row>
    <row r="25" spans="1:18" x14ac:dyDescent="0.3">
      <c r="A25" s="35"/>
      <c r="B25" s="17" t="s">
        <v>15</v>
      </c>
      <c r="C25" s="19">
        <v>0</v>
      </c>
      <c r="D25" s="19">
        <v>0.77628950769592286</v>
      </c>
      <c r="E25" s="19">
        <v>1.8158707100054476</v>
      </c>
      <c r="F25" s="101"/>
      <c r="G25" s="62">
        <v>3.5142672127464181</v>
      </c>
      <c r="H25" s="63">
        <v>2.3884273725430405</v>
      </c>
      <c r="I25" s="62">
        <f>$C25*$I$31+$D25*$I$32+$E25*I$33</f>
        <v>1.8872350024088931</v>
      </c>
      <c r="J25" s="63">
        <f t="shared" si="0"/>
        <v>0.78318561072558079</v>
      </c>
      <c r="K25" s="66">
        <v>350.19</v>
      </c>
      <c r="L25" s="67">
        <v>4.5978975376201214E-2</v>
      </c>
      <c r="M25" s="68">
        <f>K25*(1+L25)^(2027-2022)</f>
        <v>438.44842649222306</v>
      </c>
      <c r="N25" s="46" t="s">
        <v>113</v>
      </c>
      <c r="O25" s="69">
        <v>1</v>
      </c>
      <c r="P25" s="94">
        <v>0</v>
      </c>
      <c r="Q25" s="95"/>
      <c r="R25" s="35"/>
    </row>
    <row r="26" spans="1:18" x14ac:dyDescent="0.3">
      <c r="A26" s="35"/>
      <c r="B26" s="17" t="s">
        <v>135</v>
      </c>
      <c r="C26" s="19">
        <v>0</v>
      </c>
      <c r="D26" s="19">
        <v>0.74160960826130873</v>
      </c>
      <c r="E26" s="19">
        <v>1.0783996549121104</v>
      </c>
      <c r="F26" s="101"/>
      <c r="G26" s="62">
        <v>2.5565253430515913</v>
      </c>
      <c r="H26" s="63">
        <v>1.8879175570060831</v>
      </c>
      <c r="I26" s="62">
        <f t="shared" si="0"/>
        <v>1.1544520120445221</v>
      </c>
      <c r="J26" s="63">
        <f t="shared" si="0"/>
        <v>0.49878502185795903</v>
      </c>
      <c r="K26" s="66">
        <v>74</v>
      </c>
      <c r="L26" s="67">
        <v>4.83711765486603E-2</v>
      </c>
      <c r="M26" s="68">
        <f>K26*(1+L26)^(2027-2022)</f>
        <v>93.714562149546822</v>
      </c>
      <c r="N26" s="46" t="s">
        <v>116</v>
      </c>
      <c r="O26" s="69">
        <v>1</v>
      </c>
      <c r="P26" s="94">
        <v>1</v>
      </c>
      <c r="Q26" s="95"/>
      <c r="R26" s="35"/>
    </row>
    <row r="27" spans="1:18" x14ac:dyDescent="0.3">
      <c r="A27" s="35"/>
      <c r="B27" s="17" t="s">
        <v>17</v>
      </c>
      <c r="C27" s="19">
        <v>0</v>
      </c>
      <c r="D27" s="19">
        <v>1.4982724780594083</v>
      </c>
      <c r="E27" s="19">
        <v>2.0354162426216162</v>
      </c>
      <c r="F27" s="101"/>
      <c r="G27" s="62">
        <v>5.8444898073272604</v>
      </c>
      <c r="H27" s="63">
        <v>4.5825317369018581</v>
      </c>
      <c r="I27" s="62">
        <f t="shared" si="0"/>
        <v>2.1907839450772859</v>
      </c>
      <c r="J27" s="63">
        <f t="shared" si="0"/>
        <v>0.95325086956334315</v>
      </c>
      <c r="K27" s="66">
        <f>2.9*1000</f>
        <v>2900</v>
      </c>
      <c r="L27" s="67">
        <v>7.5975591099628259E-2</v>
      </c>
      <c r="M27" s="68">
        <f>K27*(1+L27)^(2027-2022)</f>
        <v>4182.2510075726505</v>
      </c>
      <c r="N27" s="46" t="s">
        <v>115</v>
      </c>
      <c r="O27" s="69">
        <v>1</v>
      </c>
      <c r="P27" s="94">
        <v>0</v>
      </c>
      <c r="Q27" s="95"/>
      <c r="R27" s="35"/>
    </row>
    <row r="28" spans="1:18" x14ac:dyDescent="0.3">
      <c r="A28" s="35"/>
      <c r="B28" s="18" t="s">
        <v>18</v>
      </c>
      <c r="C28" s="19">
        <v>0</v>
      </c>
      <c r="D28" s="19">
        <v>1.1321773840101108</v>
      </c>
      <c r="E28" s="19">
        <v>1.1483693155718879</v>
      </c>
      <c r="F28" s="101"/>
      <c r="G28" s="62">
        <v>3.3203467063463661</v>
      </c>
      <c r="H28" s="63">
        <v>2.6083577306917953</v>
      </c>
      <c r="I28" s="62">
        <f t="shared" si="0"/>
        <v>1.2704501698662387</v>
      </c>
      <c r="J28" s="63">
        <f t="shared" si="0"/>
        <v>0.57224162599853068</v>
      </c>
      <c r="K28" s="66">
        <v>26660</v>
      </c>
      <c r="L28" s="67">
        <v>3.5000021162014283E-2</v>
      </c>
      <c r="M28" s="68">
        <f>K28*(1+L28)^(2027-2022)</f>
        <v>31663.720145589443</v>
      </c>
      <c r="N28" s="46" t="s">
        <v>122</v>
      </c>
      <c r="O28" s="69">
        <v>1</v>
      </c>
      <c r="P28" s="94">
        <v>0</v>
      </c>
      <c r="Q28" s="95"/>
      <c r="R28" s="35"/>
    </row>
    <row r="29" spans="1:18" ht="17.25" thickBot="1" x14ac:dyDescent="0.35">
      <c r="A29" s="35"/>
      <c r="B29" s="17" t="s">
        <v>19</v>
      </c>
      <c r="C29" s="19">
        <v>0</v>
      </c>
      <c r="D29" s="19">
        <v>0.57642705276673001</v>
      </c>
      <c r="E29" s="19">
        <v>2.3781212841854935</v>
      </c>
      <c r="F29" s="101"/>
      <c r="G29" s="62">
        <v>4.7094771442139711</v>
      </c>
      <c r="H29" s="64">
        <v>3.2350419480189649</v>
      </c>
      <c r="I29" s="65">
        <f t="shared" si="0"/>
        <v>2.4187550751072751</v>
      </c>
      <c r="J29" s="64">
        <f t="shared" si="0"/>
        <v>0.9728573343224951</v>
      </c>
      <c r="K29" s="66">
        <f>(3.1*1000)/66</f>
        <v>46.969696969696969</v>
      </c>
      <c r="L29" s="67">
        <v>0.03</v>
      </c>
      <c r="M29" s="68">
        <f>K29*(1+L29)^(2027-2020)</f>
        <v>57.766802769956016</v>
      </c>
      <c r="N29" s="46" t="s">
        <v>123</v>
      </c>
      <c r="O29" s="69">
        <v>1</v>
      </c>
      <c r="P29" s="102">
        <v>0</v>
      </c>
      <c r="Q29" s="103"/>
      <c r="R29" s="35"/>
    </row>
    <row r="30" spans="1:18" ht="17.25" thickTop="1" x14ac:dyDescent="0.3">
      <c r="A30" s="35"/>
      <c r="B30" s="38"/>
      <c r="C30" s="38"/>
      <c r="D30" s="47"/>
      <c r="E30" s="38"/>
      <c r="F30" s="48"/>
      <c r="G30" s="48"/>
      <c r="H30" s="49" t="s">
        <v>151</v>
      </c>
      <c r="I30" s="50" t="s">
        <v>27</v>
      </c>
      <c r="J30" s="50" t="s">
        <v>28</v>
      </c>
      <c r="K30" s="38"/>
      <c r="L30" s="38"/>
      <c r="M30" s="38"/>
      <c r="N30" s="38"/>
      <c r="O30" s="38"/>
      <c r="P30" s="108" t="s">
        <v>146</v>
      </c>
      <c r="Q30" s="109"/>
      <c r="R30" s="35"/>
    </row>
    <row r="31" spans="1:18" ht="16.5" customHeight="1" x14ac:dyDescent="0.3">
      <c r="A31" s="35"/>
      <c r="B31" s="38"/>
      <c r="C31" s="38"/>
      <c r="D31" s="38"/>
      <c r="E31" s="38"/>
      <c r="F31" s="38"/>
      <c r="G31" s="38"/>
      <c r="H31" s="21" t="s">
        <v>23</v>
      </c>
      <c r="I31" s="112">
        <f>'1. Dashboard'!C33</f>
        <v>3.5000000000000003E-2</v>
      </c>
      <c r="J31" s="113"/>
      <c r="K31" s="38"/>
      <c r="L31" s="38"/>
      <c r="M31" s="38"/>
      <c r="N31" s="38"/>
      <c r="O31" s="38"/>
      <c r="P31" s="110"/>
      <c r="Q31" s="111"/>
      <c r="R31" s="35"/>
    </row>
    <row r="32" spans="1:18" x14ac:dyDescent="0.3">
      <c r="A32" s="35"/>
      <c r="B32" s="38"/>
      <c r="C32" s="38"/>
      <c r="D32" s="38"/>
      <c r="E32" s="38"/>
      <c r="F32" s="38"/>
      <c r="G32" s="38"/>
      <c r="H32" s="21" t="s">
        <v>90</v>
      </c>
      <c r="I32" s="112">
        <f>'1. Dashboard'!C34</f>
        <v>0.12</v>
      </c>
      <c r="J32" s="113"/>
      <c r="K32" s="38"/>
      <c r="L32" s="38"/>
      <c r="M32" s="38"/>
      <c r="N32" s="38"/>
      <c r="O32" s="38"/>
      <c r="P32" s="21" t="s">
        <v>144</v>
      </c>
      <c r="Q32" s="17">
        <v>1</v>
      </c>
      <c r="R32" s="35"/>
    </row>
    <row r="33" spans="1:18" x14ac:dyDescent="0.3">
      <c r="A33" s="35"/>
      <c r="B33" s="38"/>
      <c r="C33" s="38"/>
      <c r="D33" s="38"/>
      <c r="E33" s="38"/>
      <c r="F33" s="38"/>
      <c r="G33" s="38"/>
      <c r="H33" s="21" t="s">
        <v>24</v>
      </c>
      <c r="I33" s="77">
        <f>'1. Dashboard'!C35</f>
        <v>0.98799999999999999</v>
      </c>
      <c r="J33" s="77">
        <f>'1. Dashboard'!D35</f>
        <v>0.38</v>
      </c>
      <c r="K33" s="38"/>
      <c r="L33" s="38"/>
      <c r="M33" s="38"/>
      <c r="N33" s="38"/>
      <c r="O33" s="38"/>
      <c r="P33" s="21" t="s">
        <v>145</v>
      </c>
      <c r="Q33" s="17">
        <v>0</v>
      </c>
      <c r="R33" s="35"/>
    </row>
    <row r="34" spans="1:18" x14ac:dyDescent="0.3">
      <c r="A34" s="35"/>
      <c r="B34" s="38"/>
      <c r="C34" s="38"/>
      <c r="D34" s="38"/>
      <c r="E34" s="38"/>
      <c r="F34" s="38"/>
      <c r="G34" s="38"/>
      <c r="H34" s="21" t="s">
        <v>25</v>
      </c>
      <c r="I34" s="112">
        <f>'1. Dashboard'!C36</f>
        <v>0.38</v>
      </c>
      <c r="J34" s="113"/>
      <c r="K34" s="38"/>
      <c r="L34" s="38"/>
      <c r="M34" s="38"/>
      <c r="N34" s="38"/>
      <c r="O34" s="38"/>
      <c r="P34" s="38"/>
      <c r="Q34" s="38"/>
      <c r="R34" s="35"/>
    </row>
    <row r="35" spans="1:18" x14ac:dyDescent="0.3">
      <c r="A35" s="35"/>
      <c r="B35" s="38"/>
      <c r="C35" s="38"/>
      <c r="D35" s="38"/>
      <c r="E35" s="38"/>
      <c r="F35" s="38"/>
      <c r="G35" s="38"/>
      <c r="H35" s="21" t="s">
        <v>26</v>
      </c>
      <c r="I35" s="93">
        <f>'1. Dashboard'!C37</f>
        <v>0.72</v>
      </c>
      <c r="J35" s="93"/>
      <c r="K35" s="38"/>
      <c r="L35" s="38"/>
      <c r="M35" s="38"/>
      <c r="N35" s="38"/>
      <c r="O35" s="38"/>
      <c r="P35" s="38"/>
      <c r="Q35" s="38"/>
      <c r="R35" s="35"/>
    </row>
    <row r="36" spans="1:18" x14ac:dyDescent="0.3">
      <c r="A36" s="35"/>
      <c r="B36" s="38"/>
      <c r="C36" s="38"/>
      <c r="D36" s="38"/>
      <c r="E36" s="38"/>
      <c r="F36" s="38"/>
      <c r="G36" s="38"/>
      <c r="H36" s="38"/>
      <c r="I36" s="38"/>
      <c r="J36" s="38"/>
      <c r="K36" s="38"/>
      <c r="L36" s="38"/>
      <c r="M36" s="38"/>
      <c r="N36" s="38"/>
      <c r="O36" s="38"/>
      <c r="P36" s="38"/>
      <c r="Q36" s="38"/>
      <c r="R36" s="35"/>
    </row>
    <row r="37" spans="1:18" ht="17.25" thickBot="1" x14ac:dyDescent="0.35">
      <c r="A37" s="35"/>
      <c r="B37" s="38"/>
      <c r="C37" s="38"/>
      <c r="D37" s="38"/>
      <c r="E37" s="38"/>
      <c r="F37" s="38"/>
      <c r="G37" s="38"/>
      <c r="H37" s="38"/>
      <c r="I37" s="38"/>
      <c r="J37" s="38"/>
      <c r="K37" s="38"/>
      <c r="L37" s="38"/>
      <c r="M37" s="38"/>
      <c r="N37" s="38"/>
      <c r="O37" s="38"/>
      <c r="P37" s="38"/>
      <c r="Q37" s="38"/>
      <c r="R37" s="35"/>
    </row>
    <row r="38" spans="1:18" x14ac:dyDescent="0.3">
      <c r="A38" s="35"/>
      <c r="B38" s="104" t="s">
        <v>70</v>
      </c>
      <c r="C38" s="106" t="s">
        <v>73</v>
      </c>
      <c r="D38" s="106"/>
      <c r="E38" s="106"/>
      <c r="F38" s="106"/>
      <c r="G38" s="106"/>
      <c r="H38" s="51"/>
      <c r="I38" s="51"/>
      <c r="J38" s="51"/>
      <c r="K38" s="51"/>
      <c r="L38" s="51"/>
      <c r="M38" s="51"/>
      <c r="N38" s="52"/>
      <c r="O38" s="51"/>
      <c r="P38" s="51"/>
      <c r="Q38" s="53"/>
      <c r="R38" s="35"/>
    </row>
    <row r="39" spans="1:18" x14ac:dyDescent="0.3">
      <c r="A39" s="35"/>
      <c r="B39" s="105"/>
      <c r="C39" s="107"/>
      <c r="D39" s="107"/>
      <c r="E39" s="107"/>
      <c r="F39" s="107"/>
      <c r="G39" s="107"/>
      <c r="H39" s="38"/>
      <c r="I39" s="38"/>
      <c r="J39" s="38"/>
      <c r="K39" s="38"/>
      <c r="L39" s="38"/>
      <c r="M39" s="38"/>
      <c r="N39" s="54"/>
      <c r="O39" s="55"/>
      <c r="P39" s="38"/>
      <c r="Q39" s="56"/>
      <c r="R39" s="35"/>
    </row>
    <row r="40" spans="1:18" x14ac:dyDescent="0.3">
      <c r="A40" s="35"/>
      <c r="B40" s="78" t="s">
        <v>105</v>
      </c>
      <c r="C40" s="21" t="s">
        <v>66</v>
      </c>
      <c r="D40" s="21" t="s">
        <v>67</v>
      </c>
      <c r="E40" s="21" t="s">
        <v>68</v>
      </c>
      <c r="F40" s="21" t="s">
        <v>69</v>
      </c>
      <c r="G40" s="21" t="s">
        <v>64</v>
      </c>
      <c r="H40" s="38"/>
      <c r="I40" s="21" t="s">
        <v>31</v>
      </c>
      <c r="J40" s="21" t="s">
        <v>149</v>
      </c>
      <c r="K40" s="38"/>
      <c r="L40" s="38"/>
      <c r="M40" s="38"/>
      <c r="N40" s="38"/>
      <c r="O40" s="38"/>
      <c r="P40" s="38"/>
      <c r="Q40" s="56"/>
      <c r="R40" s="35"/>
    </row>
    <row r="41" spans="1:18" ht="26.25" customHeight="1" x14ac:dyDescent="0.3">
      <c r="A41" s="35"/>
      <c r="B41" s="75" t="s">
        <v>66</v>
      </c>
      <c r="C41" s="70">
        <f>'1. Dashboard'!C41</f>
        <v>1</v>
      </c>
      <c r="D41" s="70">
        <f>'1. Dashboard'!D41</f>
        <v>0.16666666666666666</v>
      </c>
      <c r="E41" s="70">
        <f>'1. Dashboard'!E41</f>
        <v>0.33333333333333331</v>
      </c>
      <c r="F41" s="70">
        <f>'1. Dashboard'!F41</f>
        <v>0.1111111111111111</v>
      </c>
      <c r="G41" s="70">
        <f>'1. Dashboard'!G41</f>
        <v>1</v>
      </c>
      <c r="H41" s="38"/>
      <c r="I41" s="21" t="s">
        <v>66</v>
      </c>
      <c r="J41" s="21" t="s">
        <v>20</v>
      </c>
      <c r="K41" s="38"/>
      <c r="L41" s="38"/>
      <c r="M41" s="38"/>
      <c r="N41" s="38"/>
      <c r="O41" s="38"/>
      <c r="P41" s="38"/>
      <c r="Q41" s="56"/>
      <c r="R41" s="35"/>
    </row>
    <row r="42" spans="1:18" ht="28.5" x14ac:dyDescent="0.3">
      <c r="A42" s="35"/>
      <c r="B42" s="75" t="s">
        <v>67</v>
      </c>
      <c r="C42" s="70">
        <f>'1. Dashboard'!C42</f>
        <v>6</v>
      </c>
      <c r="D42" s="70">
        <f>'1. Dashboard'!D42</f>
        <v>1</v>
      </c>
      <c r="E42" s="70">
        <f>'1. Dashboard'!E42</f>
        <v>4</v>
      </c>
      <c r="F42" s="70">
        <f>'1. Dashboard'!F42</f>
        <v>0.2</v>
      </c>
      <c r="G42" s="70">
        <f>'1. Dashboard'!G42</f>
        <v>6</v>
      </c>
      <c r="H42" s="38"/>
      <c r="I42" s="21" t="s">
        <v>67</v>
      </c>
      <c r="J42" s="22" t="s">
        <v>75</v>
      </c>
      <c r="K42" s="38"/>
      <c r="L42" s="38"/>
      <c r="M42" s="38"/>
      <c r="N42" s="38"/>
      <c r="O42" s="38"/>
      <c r="P42" s="38"/>
      <c r="Q42" s="56"/>
      <c r="R42" s="35"/>
    </row>
    <row r="43" spans="1:18" ht="28.5" x14ac:dyDescent="0.3">
      <c r="A43" s="35"/>
      <c r="B43" s="75" t="s">
        <v>68</v>
      </c>
      <c r="C43" s="70">
        <f>'1. Dashboard'!C43</f>
        <v>3</v>
      </c>
      <c r="D43" s="70">
        <f>'1. Dashboard'!D43</f>
        <v>0.25</v>
      </c>
      <c r="E43" s="70">
        <f>'1. Dashboard'!E43</f>
        <v>1</v>
      </c>
      <c r="F43" s="70">
        <f>'1. Dashboard'!F43</f>
        <v>0.14285714285714285</v>
      </c>
      <c r="G43" s="70">
        <f>'1. Dashboard'!G43</f>
        <v>3</v>
      </c>
      <c r="H43" s="38"/>
      <c r="I43" s="21" t="s">
        <v>68</v>
      </c>
      <c r="J43" s="22" t="s">
        <v>76</v>
      </c>
      <c r="K43" s="38"/>
      <c r="L43" s="38"/>
      <c r="M43" s="38"/>
      <c r="N43" s="38"/>
      <c r="O43" s="38"/>
      <c r="P43" s="38"/>
      <c r="Q43" s="56"/>
      <c r="R43" s="35"/>
    </row>
    <row r="44" spans="1:18" ht="28.5" x14ac:dyDescent="0.3">
      <c r="A44" s="35"/>
      <c r="B44" s="75" t="s">
        <v>35</v>
      </c>
      <c r="C44" s="70">
        <f>'1. Dashboard'!C44</f>
        <v>9</v>
      </c>
      <c r="D44" s="70">
        <f>'1. Dashboard'!D44</f>
        <v>5</v>
      </c>
      <c r="E44" s="70">
        <f>'1. Dashboard'!E44</f>
        <v>7</v>
      </c>
      <c r="F44" s="70">
        <f>'1. Dashboard'!F44</f>
        <v>1</v>
      </c>
      <c r="G44" s="70">
        <f>'1. Dashboard'!G44</f>
        <v>9</v>
      </c>
      <c r="H44" s="38"/>
      <c r="I44" s="21" t="s">
        <v>35</v>
      </c>
      <c r="J44" s="22" t="s">
        <v>77</v>
      </c>
      <c r="K44" s="38"/>
      <c r="L44" s="38"/>
      <c r="M44" s="38"/>
      <c r="N44" s="38"/>
      <c r="O44" s="38"/>
      <c r="P44" s="38"/>
      <c r="Q44" s="56"/>
      <c r="R44" s="35"/>
    </row>
    <row r="45" spans="1:18" ht="28.5" x14ac:dyDescent="0.3">
      <c r="A45" s="35"/>
      <c r="B45" s="75" t="s">
        <v>36</v>
      </c>
      <c r="C45" s="70">
        <f>'1. Dashboard'!C45</f>
        <v>0.5</v>
      </c>
      <c r="D45" s="70">
        <f>'1. Dashboard'!D45</f>
        <v>0.16666666666666666</v>
      </c>
      <c r="E45" s="70">
        <f>'1. Dashboard'!E45</f>
        <v>0.33333333333333331</v>
      </c>
      <c r="F45" s="70">
        <f>'1. Dashboard'!F45</f>
        <v>0.1111111111111111</v>
      </c>
      <c r="G45" s="70">
        <f>'1. Dashboard'!G45</f>
        <v>1</v>
      </c>
      <c r="H45" s="38"/>
      <c r="I45" s="21" t="s">
        <v>36</v>
      </c>
      <c r="J45" s="22" t="s">
        <v>65</v>
      </c>
      <c r="K45" s="38"/>
      <c r="L45" s="38"/>
      <c r="M45" s="38"/>
      <c r="N45" s="38"/>
      <c r="O45" s="38"/>
      <c r="P45" s="38"/>
      <c r="Q45" s="56"/>
      <c r="R45" s="35"/>
    </row>
    <row r="46" spans="1:18" x14ac:dyDescent="0.3">
      <c r="A46" s="35"/>
      <c r="B46" s="75" t="s">
        <v>74</v>
      </c>
      <c r="C46" s="71">
        <f>SUM(C41:C45)</f>
        <v>19.5</v>
      </c>
      <c r="D46" s="72">
        <f>SUM(D41:D45)</f>
        <v>6.5833333333333339</v>
      </c>
      <c r="E46" s="72">
        <f>SUM(E41:E45)</f>
        <v>12.666666666666666</v>
      </c>
      <c r="F46" s="72">
        <f>SUM(F41:F45)</f>
        <v>1.5650793650793651</v>
      </c>
      <c r="G46" s="71">
        <f>SUM(G41:G45)</f>
        <v>20</v>
      </c>
      <c r="H46" s="38"/>
      <c r="I46" s="38"/>
      <c r="J46" s="38"/>
      <c r="K46" s="38"/>
      <c r="L46" s="38"/>
      <c r="M46" s="38"/>
      <c r="N46" s="38"/>
      <c r="O46" s="38"/>
      <c r="P46" s="38"/>
      <c r="Q46" s="56"/>
      <c r="R46" s="35"/>
    </row>
    <row r="47" spans="1:18" x14ac:dyDescent="0.3">
      <c r="A47" s="35"/>
      <c r="B47" s="57"/>
      <c r="C47" s="38"/>
      <c r="D47" s="58"/>
      <c r="E47" s="58"/>
      <c r="F47" s="58"/>
      <c r="G47" s="38"/>
      <c r="H47" s="38"/>
      <c r="I47" s="38"/>
      <c r="J47" s="38"/>
      <c r="K47" s="38"/>
      <c r="L47" s="38"/>
      <c r="M47" s="38"/>
      <c r="N47" s="38"/>
      <c r="O47" s="38"/>
      <c r="P47" s="38"/>
      <c r="Q47" s="56"/>
      <c r="R47" s="35"/>
    </row>
    <row r="48" spans="1:18" x14ac:dyDescent="0.3">
      <c r="A48" s="35"/>
      <c r="B48" s="78" t="s">
        <v>107</v>
      </c>
      <c r="C48" s="21" t="s">
        <v>66</v>
      </c>
      <c r="D48" s="21" t="s">
        <v>67</v>
      </c>
      <c r="E48" s="21" t="s">
        <v>68</v>
      </c>
      <c r="F48" s="21" t="s">
        <v>69</v>
      </c>
      <c r="G48" s="21" t="s">
        <v>64</v>
      </c>
      <c r="H48" s="21" t="s">
        <v>72</v>
      </c>
      <c r="I48" s="38"/>
      <c r="J48" s="38"/>
      <c r="K48" s="38"/>
      <c r="L48" s="38"/>
      <c r="M48" s="38"/>
      <c r="N48" s="38"/>
      <c r="O48" s="38"/>
      <c r="P48" s="38"/>
      <c r="Q48" s="56"/>
      <c r="R48" s="35"/>
    </row>
    <row r="49" spans="1:18" x14ac:dyDescent="0.3">
      <c r="A49" s="35"/>
      <c r="B49" s="75" t="s">
        <v>66</v>
      </c>
      <c r="C49" s="73">
        <f t="shared" ref="C49:G53" si="1">C41/C$46</f>
        <v>5.128205128205128E-2</v>
      </c>
      <c r="D49" s="73">
        <f t="shared" si="1"/>
        <v>2.5316455696202528E-2</v>
      </c>
      <c r="E49" s="73">
        <f t="shared" si="1"/>
        <v>2.6315789473684209E-2</v>
      </c>
      <c r="F49" s="73">
        <f t="shared" si="1"/>
        <v>7.099391480730223E-2</v>
      </c>
      <c r="G49" s="73">
        <f t="shared" si="1"/>
        <v>0.05</v>
      </c>
      <c r="H49" s="73">
        <f>AVERAGE(C49:G49)</f>
        <v>4.4781642251848053E-2</v>
      </c>
      <c r="I49" s="38"/>
      <c r="J49" s="38"/>
      <c r="K49" s="38"/>
      <c r="L49" s="38"/>
      <c r="M49" s="38"/>
      <c r="N49" s="38"/>
      <c r="O49" s="38"/>
      <c r="P49" s="38"/>
      <c r="Q49" s="56"/>
      <c r="R49" s="35"/>
    </row>
    <row r="50" spans="1:18" x14ac:dyDescent="0.3">
      <c r="A50" s="35"/>
      <c r="B50" s="75" t="s">
        <v>67</v>
      </c>
      <c r="C50" s="73">
        <f t="shared" si="1"/>
        <v>0.30769230769230771</v>
      </c>
      <c r="D50" s="73">
        <f t="shared" si="1"/>
        <v>0.15189873417721517</v>
      </c>
      <c r="E50" s="73">
        <f>E42/E$46</f>
        <v>0.31578947368421056</v>
      </c>
      <c r="F50" s="73">
        <f t="shared" si="1"/>
        <v>0.12778904665314403</v>
      </c>
      <c r="G50" s="73">
        <f>G42/G$46</f>
        <v>0.3</v>
      </c>
      <c r="H50" s="73">
        <f>AVERAGE(C50:G50)</f>
        <v>0.2406339124413755</v>
      </c>
      <c r="I50" s="38"/>
      <c r="J50" s="38"/>
      <c r="K50" s="38"/>
      <c r="L50" s="38"/>
      <c r="M50" s="38"/>
      <c r="N50" s="38"/>
      <c r="O50" s="38"/>
      <c r="P50" s="38"/>
      <c r="Q50" s="56"/>
      <c r="R50" s="35"/>
    </row>
    <row r="51" spans="1:18" x14ac:dyDescent="0.3">
      <c r="A51" s="35"/>
      <c r="B51" s="75" t="s">
        <v>68</v>
      </c>
      <c r="C51" s="73">
        <f t="shared" si="1"/>
        <v>0.15384615384615385</v>
      </c>
      <c r="D51" s="73">
        <f t="shared" si="1"/>
        <v>3.7974683544303792E-2</v>
      </c>
      <c r="E51" s="73">
        <f t="shared" si="1"/>
        <v>7.8947368421052641E-2</v>
      </c>
      <c r="F51" s="73">
        <f t="shared" si="1"/>
        <v>9.1277890466531439E-2</v>
      </c>
      <c r="G51" s="73">
        <f t="shared" si="1"/>
        <v>0.15</v>
      </c>
      <c r="H51" s="73">
        <f>AVERAGE(C51:G51)</f>
        <v>0.10240921925560835</v>
      </c>
      <c r="I51" s="38"/>
      <c r="J51" s="38"/>
      <c r="K51" s="38"/>
      <c r="L51" s="38"/>
      <c r="M51" s="38"/>
      <c r="N51" s="38"/>
      <c r="O51" s="38"/>
      <c r="P51" s="38"/>
      <c r="Q51" s="56"/>
      <c r="R51" s="35"/>
    </row>
    <row r="52" spans="1:18" x14ac:dyDescent="0.3">
      <c r="A52" s="35"/>
      <c r="B52" s="75" t="s">
        <v>35</v>
      </c>
      <c r="C52" s="73">
        <f t="shared" si="1"/>
        <v>0.46153846153846156</v>
      </c>
      <c r="D52" s="73">
        <f t="shared" si="1"/>
        <v>0.75949367088607589</v>
      </c>
      <c r="E52" s="73">
        <f t="shared" si="1"/>
        <v>0.55263157894736847</v>
      </c>
      <c r="F52" s="73">
        <f t="shared" si="1"/>
        <v>0.63894523326572006</v>
      </c>
      <c r="G52" s="73">
        <f t="shared" si="1"/>
        <v>0.45</v>
      </c>
      <c r="H52" s="73">
        <f>AVERAGE(C52:G52)</f>
        <v>0.57252178892752525</v>
      </c>
      <c r="I52" s="38"/>
      <c r="J52" s="38"/>
      <c r="K52" s="38"/>
      <c r="L52" s="38"/>
      <c r="M52" s="38"/>
      <c r="N52" s="38"/>
      <c r="O52" s="38"/>
      <c r="P52" s="38"/>
      <c r="Q52" s="56"/>
      <c r="R52" s="35"/>
    </row>
    <row r="53" spans="1:18" x14ac:dyDescent="0.3">
      <c r="A53" s="35"/>
      <c r="B53" s="75" t="s">
        <v>36</v>
      </c>
      <c r="C53" s="73">
        <f t="shared" si="1"/>
        <v>2.564102564102564E-2</v>
      </c>
      <c r="D53" s="73">
        <f t="shared" si="1"/>
        <v>2.5316455696202528E-2</v>
      </c>
      <c r="E53" s="73">
        <f t="shared" si="1"/>
        <v>2.6315789473684209E-2</v>
      </c>
      <c r="F53" s="73">
        <f t="shared" si="1"/>
        <v>7.099391480730223E-2</v>
      </c>
      <c r="G53" s="73">
        <f t="shared" si="1"/>
        <v>0.05</v>
      </c>
      <c r="H53" s="73">
        <f>AVERAGE(C53:G53)</f>
        <v>3.9653437123642922E-2</v>
      </c>
      <c r="I53" s="38"/>
      <c r="J53" s="38"/>
      <c r="K53" s="38"/>
      <c r="L53" s="38"/>
      <c r="M53" s="38"/>
      <c r="N53" s="38"/>
      <c r="O53" s="38"/>
      <c r="P53" s="38"/>
      <c r="Q53" s="56"/>
      <c r="R53" s="35"/>
    </row>
    <row r="54" spans="1:18" x14ac:dyDescent="0.3">
      <c r="A54" s="35"/>
      <c r="B54" s="57"/>
      <c r="C54" s="38"/>
      <c r="D54" s="38"/>
      <c r="E54" s="38"/>
      <c r="F54" s="38"/>
      <c r="G54" s="38"/>
      <c r="H54" s="38"/>
      <c r="I54" s="38"/>
      <c r="J54" s="38"/>
      <c r="K54" s="38"/>
      <c r="L54" s="38"/>
      <c r="M54" s="38"/>
      <c r="N54" s="38"/>
      <c r="O54" s="38"/>
      <c r="P54" s="38"/>
      <c r="Q54" s="56"/>
      <c r="R54" s="35"/>
    </row>
    <row r="55" spans="1:18" ht="28.5" x14ac:dyDescent="0.3">
      <c r="A55" s="35"/>
      <c r="B55" s="78" t="s">
        <v>108</v>
      </c>
      <c r="C55" s="21" t="s">
        <v>66</v>
      </c>
      <c r="D55" s="21" t="s">
        <v>67</v>
      </c>
      <c r="E55" s="21" t="s">
        <v>68</v>
      </c>
      <c r="F55" s="21" t="s">
        <v>69</v>
      </c>
      <c r="G55" s="21" t="s">
        <v>64</v>
      </c>
      <c r="H55" s="21" t="s">
        <v>71</v>
      </c>
      <c r="I55" s="21" t="s">
        <v>112</v>
      </c>
      <c r="J55" s="22" t="s">
        <v>147</v>
      </c>
      <c r="K55" s="38"/>
      <c r="L55" s="38"/>
      <c r="M55" s="38"/>
      <c r="N55" s="38"/>
      <c r="O55" s="38"/>
      <c r="P55" s="38"/>
      <c r="Q55" s="56"/>
      <c r="R55" s="35"/>
    </row>
    <row r="56" spans="1:18" x14ac:dyDescent="0.3">
      <c r="A56" s="35"/>
      <c r="B56" s="75" t="s">
        <v>66</v>
      </c>
      <c r="C56" s="71">
        <f t="shared" ref="C56:G60" si="2">C41</f>
        <v>1</v>
      </c>
      <c r="D56" s="72">
        <f t="shared" si="2"/>
        <v>0.16666666666666666</v>
      </c>
      <c r="E56" s="72">
        <f t="shared" si="2"/>
        <v>0.33333333333333331</v>
      </c>
      <c r="F56" s="72">
        <f t="shared" si="2"/>
        <v>0.1111111111111111</v>
      </c>
      <c r="G56" s="71">
        <f t="shared" si="2"/>
        <v>1</v>
      </c>
      <c r="H56" s="72">
        <f>H49</f>
        <v>4.4781642251848053E-2</v>
      </c>
      <c r="I56" s="72">
        <f t="array" ref="I56:I60">MMULT(C56:G60,H56:H60)</f>
        <v>0.22229066997064803</v>
      </c>
      <c r="J56" s="72">
        <f>I56/H56</f>
        <v>4.9638793664713026</v>
      </c>
      <c r="K56" s="38"/>
      <c r="L56" s="38"/>
      <c r="M56" s="38"/>
      <c r="N56" s="38"/>
      <c r="O56" s="38"/>
      <c r="P56" s="38"/>
      <c r="Q56" s="56"/>
      <c r="R56" s="35"/>
    </row>
    <row r="57" spans="1:18" x14ac:dyDescent="0.3">
      <c r="A57" s="35"/>
      <c r="B57" s="75" t="s">
        <v>67</v>
      </c>
      <c r="C57" s="71">
        <f t="shared" si="2"/>
        <v>6</v>
      </c>
      <c r="D57" s="71">
        <f t="shared" si="2"/>
        <v>1</v>
      </c>
      <c r="E57" s="71">
        <f t="shared" si="2"/>
        <v>4</v>
      </c>
      <c r="F57" s="72">
        <f t="shared" si="2"/>
        <v>0.2</v>
      </c>
      <c r="G57" s="71">
        <f t="shared" si="2"/>
        <v>6</v>
      </c>
      <c r="H57" s="72">
        <f>H50</f>
        <v>0.2406339124413755</v>
      </c>
      <c r="I57" s="72">
        <v>1.27138562350226</v>
      </c>
      <c r="J57" s="74">
        <f>I57/H57</f>
        <v>5.2834848197549951</v>
      </c>
      <c r="K57" s="96" t="s">
        <v>148</v>
      </c>
      <c r="L57" s="80"/>
      <c r="M57" s="73">
        <f>AVERAGE(J56:J60)</f>
        <v>5.1658070038843462</v>
      </c>
      <c r="N57" s="38"/>
      <c r="O57" s="38"/>
      <c r="P57" s="38"/>
      <c r="Q57" s="56"/>
      <c r="R57" s="35"/>
    </row>
    <row r="58" spans="1:18" x14ac:dyDescent="0.3">
      <c r="A58" s="35"/>
      <c r="B58" s="75" t="s">
        <v>68</v>
      </c>
      <c r="C58" s="71">
        <f t="shared" si="2"/>
        <v>3</v>
      </c>
      <c r="D58" s="72">
        <f t="shared" si="2"/>
        <v>0.25</v>
      </c>
      <c r="E58" s="71">
        <f t="shared" si="2"/>
        <v>1</v>
      </c>
      <c r="F58" s="72">
        <f t="shared" si="2"/>
        <v>0.14285714285714285</v>
      </c>
      <c r="G58" s="71">
        <f t="shared" si="2"/>
        <v>3</v>
      </c>
      <c r="H58" s="72">
        <f>H51</f>
        <v>0.10240921925560835</v>
      </c>
      <c r="I58" s="72">
        <v>0.49766176248207161</v>
      </c>
      <c r="J58" s="74">
        <f>I58/H58</f>
        <v>4.8595406360821132</v>
      </c>
      <c r="K58" s="96" t="s">
        <v>109</v>
      </c>
      <c r="L58" s="80"/>
      <c r="M58" s="73">
        <f>(M57-5)/(5-1)</f>
        <v>4.1451750971086554E-2</v>
      </c>
      <c r="N58" s="38"/>
      <c r="O58" s="38"/>
      <c r="P58" s="38"/>
      <c r="Q58" s="56"/>
      <c r="R58" s="35"/>
    </row>
    <row r="59" spans="1:18" ht="16.5" customHeight="1" x14ac:dyDescent="0.3">
      <c r="A59" s="35"/>
      <c r="B59" s="75" t="s">
        <v>69</v>
      </c>
      <c r="C59" s="71">
        <f t="shared" si="2"/>
        <v>9</v>
      </c>
      <c r="D59" s="71">
        <f t="shared" si="2"/>
        <v>5</v>
      </c>
      <c r="E59" s="71">
        <f t="shared" si="2"/>
        <v>7</v>
      </c>
      <c r="F59" s="71">
        <f t="shared" si="2"/>
        <v>1</v>
      </c>
      <c r="G59" s="71">
        <f t="shared" si="2"/>
        <v>9</v>
      </c>
      <c r="H59" s="72">
        <f>H52</f>
        <v>0.57252178892752525</v>
      </c>
      <c r="I59" s="72">
        <v>3.25247160030308</v>
      </c>
      <c r="J59" s="74">
        <f>I59/H59</f>
        <v>5.6809568879391694</v>
      </c>
      <c r="K59" s="96" t="s">
        <v>110</v>
      </c>
      <c r="L59" s="80"/>
      <c r="M59" s="73">
        <f>M58/M60</f>
        <v>3.7010491938470134E-2</v>
      </c>
      <c r="N59" s="38"/>
      <c r="O59" s="38"/>
      <c r="P59" s="38"/>
      <c r="Q59" s="56"/>
      <c r="R59" s="35"/>
    </row>
    <row r="60" spans="1:18" ht="30" customHeight="1" x14ac:dyDescent="0.3">
      <c r="A60" s="35"/>
      <c r="B60" s="75" t="s">
        <v>64</v>
      </c>
      <c r="C60" s="72">
        <f t="shared" si="2"/>
        <v>0.5</v>
      </c>
      <c r="D60" s="72">
        <f t="shared" si="2"/>
        <v>0.16666666666666666</v>
      </c>
      <c r="E60" s="72">
        <f t="shared" si="2"/>
        <v>0.33333333333333331</v>
      </c>
      <c r="F60" s="72">
        <f t="shared" si="2"/>
        <v>0.1111111111111111</v>
      </c>
      <c r="G60" s="71">
        <f t="shared" si="2"/>
        <v>1</v>
      </c>
      <c r="H60" s="72">
        <f>H53</f>
        <v>3.9653437123642922E-2</v>
      </c>
      <c r="I60" s="72">
        <v>0.19989984884472398</v>
      </c>
      <c r="J60" s="74">
        <f>I60/H60</f>
        <v>5.0411733091741473</v>
      </c>
      <c r="K60" s="92" t="s">
        <v>111</v>
      </c>
      <c r="L60" s="84"/>
      <c r="M60" s="73">
        <v>1.1200000000000001</v>
      </c>
      <c r="N60" s="38"/>
      <c r="O60" s="38"/>
      <c r="P60" s="38"/>
      <c r="Q60" s="56"/>
      <c r="R60" s="35"/>
    </row>
    <row r="61" spans="1:18" ht="17.25" thickBot="1" x14ac:dyDescent="0.35">
      <c r="A61" s="35"/>
      <c r="B61" s="59"/>
      <c r="C61" s="60"/>
      <c r="D61" s="60"/>
      <c r="E61" s="60"/>
      <c r="F61" s="60"/>
      <c r="G61" s="60"/>
      <c r="H61" s="60"/>
      <c r="I61" s="60"/>
      <c r="J61" s="60"/>
      <c r="K61" s="60"/>
      <c r="L61" s="60"/>
      <c r="M61" s="60"/>
      <c r="N61" s="60"/>
      <c r="O61" s="60"/>
      <c r="P61" s="60"/>
      <c r="Q61" s="61"/>
      <c r="R61" s="35"/>
    </row>
    <row r="62" spans="1:18" x14ac:dyDescent="0.3">
      <c r="A62" s="35"/>
      <c r="B62" s="35"/>
      <c r="C62" s="35"/>
      <c r="D62" s="35"/>
      <c r="E62" s="35"/>
      <c r="F62" s="35"/>
      <c r="G62" s="35"/>
      <c r="H62" s="35"/>
      <c r="I62" s="35"/>
      <c r="J62" s="35"/>
      <c r="K62" s="35"/>
      <c r="L62" s="35"/>
      <c r="M62" s="35"/>
      <c r="N62" s="35"/>
      <c r="O62" s="35"/>
      <c r="P62" s="35"/>
      <c r="Q62" s="35"/>
      <c r="R62" s="35"/>
    </row>
    <row r="63" spans="1:18" x14ac:dyDescent="0.3">
      <c r="A63" s="35"/>
      <c r="B63" s="35"/>
      <c r="C63" s="35"/>
      <c r="D63" s="35"/>
      <c r="E63" s="35"/>
      <c r="F63" s="35"/>
      <c r="G63" s="35"/>
      <c r="H63" s="35"/>
      <c r="I63" s="35"/>
      <c r="J63" s="35"/>
      <c r="K63" s="35"/>
      <c r="L63" s="35"/>
      <c r="M63" s="35"/>
      <c r="N63" s="35"/>
      <c r="O63" s="35"/>
      <c r="P63" s="35"/>
      <c r="Q63" s="35"/>
      <c r="R63" s="35"/>
    </row>
    <row r="64" spans="1:18" x14ac:dyDescent="0.3">
      <c r="R64" s="37"/>
    </row>
    <row r="65" spans="18:18" x14ac:dyDescent="0.3">
      <c r="R65" s="37"/>
    </row>
    <row r="67" spans="18:18" ht="33" customHeight="1" x14ac:dyDescent="0.3"/>
  </sheetData>
  <sheetProtection sheet="1" selectLockedCells="1"/>
  <mergeCells count="39">
    <mergeCell ref="F14:F29"/>
    <mergeCell ref="P18:Q18"/>
    <mergeCell ref="P19:Q19"/>
    <mergeCell ref="P20:Q20"/>
    <mergeCell ref="P21:Q21"/>
    <mergeCell ref="P22:Q22"/>
    <mergeCell ref="P23:Q23"/>
    <mergeCell ref="B38:B39"/>
    <mergeCell ref="C38:G39"/>
    <mergeCell ref="P30:Q31"/>
    <mergeCell ref="I31:J31"/>
    <mergeCell ref="I32:J32"/>
    <mergeCell ref="I34:J34"/>
    <mergeCell ref="P14:Q14"/>
    <mergeCell ref="P15:Q15"/>
    <mergeCell ref="P27:Q27"/>
    <mergeCell ref="P28:Q28"/>
    <mergeCell ref="P29:Q29"/>
    <mergeCell ref="C9:F9"/>
    <mergeCell ref="I9:J9"/>
    <mergeCell ref="P9:Q10"/>
    <mergeCell ref="P11:Q11"/>
    <mergeCell ref="P12:Q12"/>
    <mergeCell ref="O9:O10"/>
    <mergeCell ref="K9:N9"/>
    <mergeCell ref="G9:H9"/>
    <mergeCell ref="E10:F10"/>
    <mergeCell ref="F12:F13"/>
    <mergeCell ref="P13:Q13"/>
    <mergeCell ref="K60:L60"/>
    <mergeCell ref="I35:J35"/>
    <mergeCell ref="P16:Q16"/>
    <mergeCell ref="P17:Q17"/>
    <mergeCell ref="K59:L59"/>
    <mergeCell ref="K58:L58"/>
    <mergeCell ref="K57:L57"/>
    <mergeCell ref="P25:Q25"/>
    <mergeCell ref="P26:Q26"/>
    <mergeCell ref="P24:Q24"/>
  </mergeCells>
  <phoneticPr fontId="3" type="noConversion"/>
  <pageMargins left="0.7" right="0.7" top="0.75" bottom="0.75" header="0.3" footer="0.3"/>
  <ignoredErrors>
    <ignoredError sqref="M14 M19" formula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1. Dashboard</vt:lpstr>
      <vt:lpstr>2. Score calculation</vt:lpstr>
      <vt:lpstr>2.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다미 김</dc:creator>
  <cp:lastModifiedBy>다미 김</cp:lastModifiedBy>
  <dcterms:created xsi:type="dcterms:W3CDTF">2025-02-21T06:18:14Z</dcterms:created>
  <dcterms:modified xsi:type="dcterms:W3CDTF">2025-03-20T08:34:28Z</dcterms:modified>
</cp:coreProperties>
</file>