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1710" windowHeight="11380" activeTab="1"/>
  </bookViews>
  <sheets>
    <sheet name="Summary of database" sheetId="19" r:id="rId1"/>
    <sheet name="Database and verification" sheetId="1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<sst xmlns="http://schemas.openxmlformats.org/spreadsheetml/2006/main" count="267" uniqueCount="247">
  <si>
    <t>Refs</t>
  </si>
  <si>
    <r>
      <rPr>
        <i/>
        <sz val="9"/>
        <color rgb="FF000000"/>
        <rFont val="Times New Roman"/>
        <charset val="134"/>
      </rPr>
      <t>f</t>
    </r>
    <r>
      <rPr>
        <vertAlign val="subscript"/>
        <sz val="9"/>
        <color rgb="FF000000"/>
        <rFont val="Times New Roman"/>
        <charset val="134"/>
      </rPr>
      <t>y</t>
    </r>
    <r>
      <rPr>
        <sz val="9"/>
        <color rgb="FF000000"/>
        <rFont val="Times New Roman"/>
        <charset val="134"/>
      </rPr>
      <t xml:space="preserve"> (MPa)</t>
    </r>
  </si>
  <si>
    <r>
      <rPr>
        <i/>
        <sz val="9"/>
        <color rgb="FF000000"/>
        <rFont val="Times New Roman"/>
        <charset val="134"/>
      </rPr>
      <t>f</t>
    </r>
    <r>
      <rPr>
        <vertAlign val="subscript"/>
        <sz val="9"/>
        <color rgb="FF000000"/>
        <rFont val="Times New Roman"/>
        <charset val="134"/>
      </rPr>
      <t>c</t>
    </r>
    <r>
      <rPr>
        <sz val="9"/>
        <color rgb="FF000000"/>
        <rFont val="Times New Roman"/>
        <charset val="134"/>
      </rPr>
      <t xml:space="preserve"> (MPa)</t>
    </r>
  </si>
  <si>
    <r>
      <rPr>
        <i/>
        <sz val="9"/>
        <color rgb="FF000000"/>
        <rFont val="Times New Roman"/>
        <charset val="134"/>
      </rPr>
      <t>D</t>
    </r>
    <r>
      <rPr>
        <vertAlign val="subscript"/>
        <sz val="9"/>
        <color rgb="FF000000"/>
        <rFont val="Times New Roman"/>
        <charset val="134"/>
      </rPr>
      <t>0</t>
    </r>
    <r>
      <rPr>
        <sz val="9"/>
        <color rgb="FF000000"/>
        <rFont val="Times New Roman"/>
        <charset val="134"/>
      </rPr>
      <t xml:space="preserve"> (mm)</t>
    </r>
  </si>
  <si>
    <r>
      <rPr>
        <i/>
        <sz val="9"/>
        <color rgb="FF000000"/>
        <rFont val="Times New Roman"/>
        <charset val="134"/>
      </rPr>
      <t>t</t>
    </r>
    <r>
      <rPr>
        <vertAlign val="subscript"/>
        <sz val="9"/>
        <color rgb="FF000000"/>
        <rFont val="Times New Roman"/>
        <charset val="134"/>
      </rPr>
      <t xml:space="preserve">0 </t>
    </r>
    <r>
      <rPr>
        <sz val="9"/>
        <color rgb="FF000000"/>
        <rFont val="Times New Roman"/>
        <charset val="134"/>
      </rPr>
      <t>(mm)</t>
    </r>
  </si>
  <si>
    <r>
      <rPr>
        <i/>
        <sz val="9"/>
        <color rgb="FF000000"/>
        <rFont val="Times New Roman"/>
        <charset val="134"/>
      </rPr>
      <t>L</t>
    </r>
    <r>
      <rPr>
        <sz val="9"/>
        <color rgb="FF000000"/>
        <rFont val="Times New Roman"/>
        <charset val="134"/>
      </rPr>
      <t>/</t>
    </r>
    <r>
      <rPr>
        <i/>
        <sz val="9"/>
        <color rgb="FF000000"/>
        <rFont val="Times New Roman"/>
        <charset val="134"/>
      </rPr>
      <t>D</t>
    </r>
    <r>
      <rPr>
        <vertAlign val="subscript"/>
        <sz val="9"/>
        <color rgb="FF000000"/>
        <rFont val="Times New Roman"/>
        <charset val="134"/>
      </rPr>
      <t>0</t>
    </r>
  </si>
  <si>
    <t>b</t>
  </si>
  <si>
    <r>
      <rPr>
        <i/>
        <sz val="9"/>
        <color rgb="FF000000"/>
        <rFont val="Symbol"/>
        <charset val="2"/>
      </rPr>
      <t>a</t>
    </r>
    <r>
      <rPr>
        <sz val="9"/>
        <color rgb="FF000000"/>
        <rFont val="Times New Roman"/>
        <charset val="134"/>
      </rPr>
      <t>/(2</t>
    </r>
    <r>
      <rPr>
        <sz val="9"/>
        <color rgb="FF000000"/>
        <rFont val="Symbol"/>
        <charset val="2"/>
      </rPr>
      <t>p</t>
    </r>
    <r>
      <rPr>
        <sz val="9"/>
        <color rgb="FF000000"/>
        <rFont val="Times New Roman"/>
        <charset val="134"/>
      </rPr>
      <t>)</t>
    </r>
  </si>
  <si>
    <r>
      <rPr>
        <i/>
        <sz val="9"/>
        <color rgb="FF000000"/>
        <rFont val="Times New Roman"/>
        <charset val="134"/>
      </rPr>
      <t xml:space="preserve"> l/L</t>
    </r>
  </si>
  <si>
    <r>
      <rPr>
        <i/>
        <sz val="9"/>
        <color rgb="FF000000"/>
        <rFont val="Times New Roman"/>
        <charset val="134"/>
      </rPr>
      <t>h/L</t>
    </r>
  </si>
  <si>
    <t>Yu et al. (2007)</t>
  </si>
  <si>
    <t>35.2-67.9</t>
  </si>
  <si>
    <t>165-219</t>
  </si>
  <si>
    <t>2.72-4.74</t>
  </si>
  <si>
    <t>0.015-1</t>
  </si>
  <si>
    <t>0.015-0.308</t>
  </si>
  <si>
    <r>
      <rPr>
        <vertAlign val="superscript"/>
        <sz val="7.5"/>
        <color rgb="FF000000"/>
        <rFont val="Times New Roman"/>
        <charset val="134"/>
      </rPr>
      <t>*</t>
    </r>
    <r>
      <rPr>
        <sz val="7.5"/>
        <color rgb="FF000000"/>
        <rFont val="Times New Roman"/>
        <charset val="134"/>
      </rPr>
      <t>Chang et al.(2013)</t>
    </r>
  </si>
  <si>
    <t>259.6-261.3</t>
  </si>
  <si>
    <t>40.0-48.3</t>
  </si>
  <si>
    <t>111.64-113.64</t>
  </si>
  <si>
    <t>0.017-0.137</t>
  </si>
  <si>
    <t>0.015-0.21</t>
  </si>
  <si>
    <t>Wang et al.(2021)</t>
  </si>
  <si>
    <t>0.22-0.67</t>
  </si>
  <si>
    <t>0.25-1</t>
  </si>
  <si>
    <t>0.351-0.451</t>
  </si>
  <si>
    <r>
      <rPr>
        <vertAlign val="superscript"/>
        <sz val="7.5"/>
        <color rgb="FF000000"/>
        <rFont val="Times New Roman"/>
        <charset val="134"/>
      </rPr>
      <t>*</t>
    </r>
    <r>
      <rPr>
        <sz val="7.5"/>
        <color rgb="FF000000"/>
        <rFont val="Times New Roman"/>
        <charset val="134"/>
      </rPr>
      <t>Huang et al.(2021)</t>
    </r>
  </si>
  <si>
    <t>0-1</t>
  </si>
  <si>
    <t>0-0.236</t>
  </si>
  <si>
    <t>0-0.667</t>
  </si>
  <si>
    <t>Li et al. (2023)</t>
  </si>
  <si>
    <t>0-0.1</t>
  </si>
  <si>
    <t>0.05-0.5</t>
  </si>
  <si>
    <r>
      <rPr>
        <vertAlign val="superscript"/>
        <sz val="7.5"/>
        <color rgb="FF000000"/>
        <rFont val="Times New Roman"/>
        <charset val="134"/>
      </rPr>
      <t>*</t>
    </r>
    <r>
      <rPr>
        <sz val="7.5"/>
        <color rgb="FF000000"/>
        <rFont val="Times New Roman"/>
        <charset val="134"/>
      </rPr>
      <t>Guo et al. (2023)</t>
    </r>
  </si>
  <si>
    <t>139.8-140.1</t>
  </si>
  <si>
    <t>3.92-4.02</t>
  </si>
  <si>
    <t>9-15</t>
  </si>
  <si>
    <t>0.51-1</t>
  </si>
  <si>
    <t>0.159-0.227</t>
  </si>
  <si>
    <t>0.033-0.167</t>
  </si>
  <si>
    <t>Huang et al.(2023)</t>
  </si>
  <si>
    <t>0.119-0.667</t>
  </si>
  <si>
    <r>
      <rPr>
        <vertAlign val="superscript"/>
        <sz val="7.5"/>
        <color rgb="FF000000"/>
        <rFont val="Symbol"/>
        <charset val="2"/>
      </rPr>
      <t>D</t>
    </r>
    <r>
      <rPr>
        <sz val="7.5"/>
        <color rgb="FF000000"/>
        <rFont val="Times New Roman"/>
        <charset val="134"/>
      </rPr>
      <t>Chen et al.(2024)</t>
    </r>
  </si>
  <si>
    <t>0.19-0.74</t>
  </si>
  <si>
    <t>0.168-0.503</t>
  </si>
  <si>
    <t>0.084-0.503</t>
  </si>
  <si>
    <t>Li et al. (2024)</t>
  </si>
  <si>
    <t>140.1-140.4</t>
  </si>
  <si>
    <t>3.95-4.01</t>
  </si>
  <si>
    <t>0.014-0.159</t>
  </si>
  <si>
    <t>0.167-0.5</t>
  </si>
  <si>
    <t>Minimum</t>
  </si>
  <si>
    <t>Maximum</t>
  </si>
  <si>
    <r>
      <rPr>
        <sz val="10"/>
        <color rgb="FF000000"/>
        <rFont val="Times New Roman"/>
        <charset val="134"/>
      </rPr>
      <t xml:space="preserve">Note: 1.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concrete strength of 150 mm × 300 mm cylinder. Those obtained in other standards were converted into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using the same method in Lin et al.(2021); 
           2.The symbol * indicates the specimens have other defect shapes different from that in Fig.1, and </t>
    </r>
    <r>
      <rPr>
        <sz val="10"/>
        <color rgb="FF000000"/>
        <rFont val="Symbol"/>
        <charset val="2"/>
      </rPr>
      <t>D</t>
    </r>
    <r>
      <rPr>
        <sz val="10"/>
        <color rgb="FF000000"/>
        <rFont val="Times New Roman"/>
        <charset val="134"/>
      </rPr>
      <t xml:space="preserve"> indicates the specimens have multiple defects</t>
    </r>
  </si>
  <si>
    <r>
      <rPr>
        <i/>
        <sz val="12"/>
        <rFont val="Times New Roman"/>
        <charset val="134"/>
      </rPr>
      <t>f</t>
    </r>
    <r>
      <rPr>
        <vertAlign val="subscript"/>
        <sz val="12"/>
        <rFont val="Times New Roman"/>
        <charset val="134"/>
      </rPr>
      <t>y</t>
    </r>
    <r>
      <rPr>
        <sz val="12"/>
        <rFont val="Times New Roman"/>
        <charset val="134"/>
      </rPr>
      <t xml:space="preserve"> /MPa</t>
    </r>
  </si>
  <si>
    <t>: Steel strength</t>
  </si>
  <si>
    <r>
      <rPr>
        <i/>
        <sz val="11"/>
        <rFont val="Times New Roman"/>
        <charset val="134"/>
      </rPr>
      <t>d</t>
    </r>
    <r>
      <rPr>
        <sz val="11"/>
        <rFont val="Times New Roman"/>
        <charset val="134"/>
      </rPr>
      <t xml:space="preserve"> /mm</t>
    </r>
  </si>
  <si>
    <t>: Defect depth</t>
  </si>
  <si>
    <r>
      <rPr>
        <i/>
        <sz val="12"/>
        <rFont val="Times New Roman"/>
        <charset val="134"/>
      </rPr>
      <t>N</t>
    </r>
    <r>
      <rPr>
        <vertAlign val="subscript"/>
        <sz val="12"/>
        <rFont val="Times New Roman"/>
        <charset val="134"/>
      </rPr>
      <t>uc_exp</t>
    </r>
    <r>
      <rPr>
        <sz val="12"/>
        <rFont val="Times New Roman"/>
        <charset val="134"/>
      </rPr>
      <t xml:space="preserve"> /kN</t>
    </r>
  </si>
  <si>
    <t>: Tested axial compression capacity of defective CFST column</t>
  </si>
  <si>
    <r>
      <rPr>
        <i/>
        <sz val="11"/>
        <rFont val="Symbol"/>
        <charset val="2"/>
      </rPr>
      <t>j</t>
    </r>
    <r>
      <rPr>
        <vertAlign val="subscript"/>
        <sz val="11"/>
        <rFont val="Times New Roman"/>
        <charset val="134"/>
      </rPr>
      <t>p</t>
    </r>
  </si>
  <si>
    <t>: Influence factor of defect position</t>
  </si>
  <si>
    <r>
      <rPr>
        <i/>
        <sz val="12"/>
        <rFont val="Times New Roman"/>
        <charset val="134"/>
      </rPr>
      <t>l</t>
    </r>
    <r>
      <rPr>
        <vertAlign val="subscript"/>
        <sz val="12"/>
        <rFont val="Times New Roman"/>
        <charset val="134"/>
      </rPr>
      <t>b</t>
    </r>
    <r>
      <rPr>
        <sz val="12"/>
        <rFont val="Times New Roman"/>
        <charset val="134"/>
      </rPr>
      <t xml:space="preserve"> /mm</t>
    </r>
  </si>
  <si>
    <t>: Axial projection length on column surface of local buckling at defect boundary</t>
  </si>
  <si>
    <r>
      <rPr>
        <i/>
        <sz val="12"/>
        <rFont val="Times New Roman"/>
        <charset val="134"/>
      </rPr>
      <t>f</t>
    </r>
    <r>
      <rPr>
        <vertAlign val="subscript"/>
        <sz val="12"/>
        <rFont val="Times New Roman"/>
        <charset val="134"/>
      </rPr>
      <t>c</t>
    </r>
    <r>
      <rPr>
        <sz val="12"/>
        <rFont val="Times New Roman"/>
        <charset val="134"/>
      </rPr>
      <t xml:space="preserve"> /MPa</t>
    </r>
  </si>
  <si>
    <t>: Concrete strength (150 mm × 300 mm cylinder)</t>
  </si>
  <si>
    <r>
      <rPr>
        <i/>
        <sz val="11"/>
        <rFont val="Symbol"/>
        <charset val="2"/>
      </rPr>
      <t>a</t>
    </r>
    <r>
      <rPr>
        <vertAlign val="subscript"/>
        <sz val="11"/>
        <rFont val="Times New Roman"/>
        <charset val="134"/>
      </rPr>
      <t>a</t>
    </r>
    <r>
      <rPr>
        <sz val="11"/>
        <rFont val="Times New Roman"/>
        <charset val="134"/>
      </rPr>
      <t xml:space="preserve"> /</t>
    </r>
    <r>
      <rPr>
        <sz val="11"/>
        <rFont val="SimSun"/>
        <charset val="134"/>
      </rPr>
      <t>°</t>
    </r>
  </si>
  <si>
    <t>: Circumferential angle of defect</t>
  </si>
  <si>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/kN</t>
    </r>
  </si>
  <si>
    <t>: Predicted axial compression capacity of defective CFST column</t>
  </si>
  <si>
    <r>
      <rPr>
        <i/>
        <sz val="12"/>
        <rFont val="Times New Roman"/>
        <charset val="134"/>
      </rPr>
      <t>D</t>
    </r>
    <r>
      <rPr>
        <vertAlign val="subscript"/>
        <sz val="12"/>
        <rFont val="Times New Roman"/>
        <charset val="134"/>
      </rPr>
      <t>c</t>
    </r>
    <r>
      <rPr>
        <sz val="12"/>
        <rFont val="Times New Roman"/>
        <charset val="134"/>
      </rPr>
      <t xml:space="preserve"> /mm</t>
    </r>
  </si>
  <si>
    <t>: Diameter of defective steel tube</t>
  </si>
  <si>
    <r>
      <rPr>
        <i/>
        <sz val="12"/>
        <rFont val="Symbol"/>
        <charset val="2"/>
      </rPr>
      <t>q</t>
    </r>
    <r>
      <rPr>
        <sz val="12"/>
        <rFont val="Times New Roman"/>
        <charset val="134"/>
      </rPr>
      <t xml:space="preserve"> /rad</t>
    </r>
  </si>
  <si>
    <t>: Half the radian of steel tube corresponding to the part of circumferential defect and outward local buckling</t>
  </si>
  <si>
    <r>
      <rPr>
        <i/>
        <sz val="12"/>
        <rFont val="Times New Roman"/>
        <charset val="134"/>
      </rPr>
      <t>D</t>
    </r>
    <r>
      <rPr>
        <vertAlign val="subscript"/>
        <sz val="12"/>
        <rFont val="Times New Roman"/>
        <charset val="134"/>
      </rPr>
      <t>0</t>
    </r>
    <r>
      <rPr>
        <sz val="12"/>
        <rFont val="Times New Roman"/>
        <charset val="134"/>
      </rPr>
      <t xml:space="preserve"> /mm</t>
    </r>
  </si>
  <si>
    <t>: Diameter of non-defective steel tube</t>
  </si>
  <si>
    <r>
      <rPr>
        <i/>
        <sz val="11"/>
        <rFont val="Times New Roman"/>
        <charset val="134"/>
      </rPr>
      <t>l</t>
    </r>
    <r>
      <rPr>
        <sz val="11"/>
        <rFont val="Times New Roman"/>
        <charset val="134"/>
      </rPr>
      <t xml:space="preserve"> /mm</t>
    </r>
  </si>
  <si>
    <t>: Axial length of defect</t>
  </si>
  <si>
    <r>
      <rPr>
        <i/>
        <sz val="12"/>
        <rFont val="Times New Roman"/>
        <charset val="134"/>
      </rPr>
      <t>t</t>
    </r>
    <r>
      <rPr>
        <vertAlign val="subscript"/>
        <sz val="12"/>
        <rFont val="Times New Roman"/>
        <charset val="134"/>
      </rPr>
      <t xml:space="preserve">c </t>
    </r>
    <r>
      <rPr>
        <sz val="12"/>
        <rFont val="Times New Roman"/>
        <charset val="134"/>
      </rPr>
      <t>/mm</t>
    </r>
  </si>
  <si>
    <t>: Thickness of defective steel tube</t>
  </si>
  <si>
    <r>
      <rPr>
        <i/>
        <sz val="12"/>
        <rFont val="Times New Roman"/>
        <charset val="134"/>
      </rPr>
      <t>t</t>
    </r>
    <r>
      <rPr>
        <vertAlign val="subscript"/>
        <sz val="12"/>
        <rFont val="Times New Roman"/>
        <charset val="134"/>
      </rPr>
      <t xml:space="preserve">0 </t>
    </r>
    <r>
      <rPr>
        <sz val="12"/>
        <rFont val="Times New Roman"/>
        <charset val="134"/>
      </rPr>
      <t>/mm</t>
    </r>
  </si>
  <si>
    <t>: Thickness of non-defective steel tube</t>
  </si>
  <si>
    <r>
      <rPr>
        <i/>
        <sz val="11"/>
        <rFont val="Times New Roman"/>
        <charset val="134"/>
      </rPr>
      <t>h</t>
    </r>
    <r>
      <rPr>
        <sz val="11"/>
        <rFont val="Times New Roman"/>
        <charset val="134"/>
      </rPr>
      <t xml:space="preserve"> /mm</t>
    </r>
  </si>
  <si>
    <t>: Height of defect centroid from column ends</t>
  </si>
  <si>
    <r>
      <rPr>
        <i/>
        <sz val="11"/>
        <rFont val="Symbol"/>
        <charset val="2"/>
      </rPr>
      <t>a</t>
    </r>
    <r>
      <rPr>
        <sz val="11"/>
        <rFont val="Times New Roman"/>
        <charset val="134"/>
      </rPr>
      <t xml:space="preserve"> /rad</t>
    </r>
  </si>
  <si>
    <t>: Circumferential radian of defect</t>
  </si>
  <si>
    <r>
      <rPr>
        <i/>
        <sz val="12"/>
        <rFont val="Times New Roman"/>
        <charset val="134"/>
      </rPr>
      <t>L</t>
    </r>
    <r>
      <rPr>
        <sz val="12"/>
        <rFont val="Times New Roman"/>
        <charset val="134"/>
      </rPr>
      <t>/mm</t>
    </r>
  </si>
  <si>
    <t>: Column length</t>
  </si>
  <si>
    <r>
      <rPr>
        <i/>
        <sz val="12"/>
        <rFont val="Times New Roman"/>
        <charset val="134"/>
      </rPr>
      <t>R</t>
    </r>
    <r>
      <rPr>
        <vertAlign val="subscript"/>
        <sz val="12"/>
        <rFont val="Times New Roman"/>
        <charset val="134"/>
      </rPr>
      <t>c</t>
    </r>
    <r>
      <rPr>
        <sz val="12"/>
        <rFont val="Times New Roman"/>
        <charset val="134"/>
      </rPr>
      <t xml:space="preserve"> /mm</t>
    </r>
  </si>
  <si>
    <t>: Radius of concrete core</t>
  </si>
  <si>
    <t>CoV</t>
  </si>
  <si>
    <t>Mean</t>
  </si>
  <si>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0</t>
    </r>
  </si>
  <si>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c</t>
    </r>
  </si>
  <si>
    <t>Specimens</t>
  </si>
  <si>
    <r>
      <rPr>
        <i/>
        <sz val="11"/>
        <rFont val="Symbol"/>
        <charset val="2"/>
      </rPr>
      <t>a</t>
    </r>
    <r>
      <rPr>
        <vertAlign val="subscript"/>
        <sz val="11"/>
        <rFont val="Times New Roman"/>
        <charset val="2"/>
      </rPr>
      <t>a</t>
    </r>
    <r>
      <rPr>
        <sz val="11"/>
        <rFont val="Times New Roman"/>
        <charset val="2"/>
      </rPr>
      <t xml:space="preserve"> /</t>
    </r>
    <r>
      <rPr>
        <sz val="11"/>
        <rFont val="SimSun"/>
        <charset val="2"/>
      </rPr>
      <t>°</t>
    </r>
  </si>
  <si>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t>
    </r>
    <r>
      <rPr>
        <i/>
        <sz val="11"/>
        <color rgb="FF000000"/>
        <rFont val="Times New Roman"/>
        <charset val="134"/>
      </rPr>
      <t>N</t>
    </r>
    <r>
      <rPr>
        <vertAlign val="subscript"/>
        <sz val="11"/>
        <color rgb="FF000000"/>
        <rFont val="Times New Roman"/>
        <charset val="134"/>
      </rPr>
      <t>uc_exp</t>
    </r>
  </si>
  <si>
    <r>
      <rPr>
        <i/>
        <sz val="12"/>
        <rFont val="Symbol"/>
        <charset val="2"/>
      </rPr>
      <t>a</t>
    </r>
    <r>
      <rPr>
        <sz val="12"/>
        <rFont val="Times New Roman"/>
        <charset val="134"/>
      </rPr>
      <t xml:space="preserve"> /rad</t>
    </r>
  </si>
  <si>
    <r>
      <rPr>
        <i/>
        <sz val="12"/>
        <rFont val="Times New Roman"/>
        <charset val="134"/>
      </rPr>
      <t>l</t>
    </r>
    <r>
      <rPr>
        <vertAlign val="subscript"/>
        <sz val="12"/>
        <rFont val="Times New Roman"/>
        <charset val="134"/>
      </rPr>
      <t>bx</t>
    </r>
    <r>
      <rPr>
        <sz val="12"/>
        <rFont val="Times New Roman"/>
        <charset val="134"/>
      </rPr>
      <t xml:space="preserve"> /mm</t>
    </r>
  </si>
  <si>
    <r>
      <rPr>
        <i/>
        <sz val="12"/>
        <rFont val="Times New Roman"/>
        <charset val="134"/>
      </rPr>
      <t>h</t>
    </r>
    <r>
      <rPr>
        <i/>
        <vertAlign val="subscript"/>
        <sz val="12"/>
        <rFont val="Times New Roman"/>
        <charset val="134"/>
      </rPr>
      <t>l</t>
    </r>
    <r>
      <rPr>
        <sz val="12"/>
        <rFont val="Times New Roman"/>
        <charset val="134"/>
      </rPr>
      <t xml:space="preserve"> /mm</t>
    </r>
  </si>
  <si>
    <r>
      <rPr>
        <i/>
        <sz val="12"/>
        <rFont val="Times New Roman"/>
        <charset val="134"/>
      </rPr>
      <t>h</t>
    </r>
    <r>
      <rPr>
        <i/>
        <vertAlign val="subscript"/>
        <sz val="12"/>
        <rFont val="Symbol"/>
        <charset val="2"/>
      </rPr>
      <t>q</t>
    </r>
    <r>
      <rPr>
        <sz val="12"/>
        <rFont val="Times New Roman"/>
        <charset val="134"/>
      </rPr>
      <t xml:space="preserve"> /mm</t>
    </r>
  </si>
  <si>
    <r>
      <rPr>
        <i/>
        <sz val="11"/>
        <rFont val="Times New Roman"/>
        <charset val="134"/>
      </rPr>
      <t>x</t>
    </r>
    <r>
      <rPr>
        <vertAlign val="subscript"/>
        <sz val="11"/>
        <rFont val="Times New Roman"/>
        <charset val="134"/>
      </rPr>
      <t xml:space="preserve">R </t>
    </r>
    <r>
      <rPr>
        <sz val="11"/>
        <rFont val="Times New Roman"/>
        <charset val="134"/>
      </rPr>
      <t>/mm</t>
    </r>
    <r>
      <rPr>
        <vertAlign val="superscript"/>
        <sz val="11"/>
        <rFont val="Times New Roman"/>
        <charset val="134"/>
      </rPr>
      <t>2</t>
    </r>
  </si>
  <si>
    <r>
      <rPr>
        <i/>
        <sz val="11"/>
        <rFont val="Times New Roman"/>
        <charset val="134"/>
      </rPr>
      <t>A</t>
    </r>
    <r>
      <rPr>
        <vertAlign val="subscript"/>
        <sz val="11"/>
        <rFont val="Times New Roman"/>
        <charset val="134"/>
      </rPr>
      <t>cd</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</si>
  <si>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c0</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</si>
  <si>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</si>
  <si>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s0</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</si>
  <si>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134"/>
      </rPr>
      <t>0</t>
    </r>
  </si>
  <si>
    <r>
      <rPr>
        <i/>
        <sz val="12"/>
        <rFont val="Times New Roman"/>
        <charset val="134"/>
      </rPr>
      <t>f</t>
    </r>
    <r>
      <rPr>
        <vertAlign val="subscript"/>
        <sz val="12"/>
        <rFont val="Times New Roman"/>
        <charset val="134"/>
      </rPr>
      <t>scy0</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</si>
  <si>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cr0</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</si>
  <si>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00</t>
    </r>
    <r>
      <rPr>
        <sz val="11"/>
        <color rgb="FF000000"/>
        <rFont val="Times New Roman"/>
        <charset val="134"/>
      </rPr>
      <t xml:space="preserve"> /kN</t>
    </r>
  </si>
  <si>
    <r>
      <rPr>
        <i/>
        <sz val="11"/>
        <color rgb="FF000000"/>
        <rFont val="Symbol"/>
        <charset val="2"/>
      </rPr>
      <t>l</t>
    </r>
    <r>
      <rPr>
        <vertAlign val="subscript"/>
        <sz val="11"/>
        <color rgb="FF000000"/>
        <rFont val="Times New Roman"/>
        <charset val="134"/>
      </rPr>
      <t>0</t>
    </r>
  </si>
  <si>
    <r>
      <rPr>
        <i/>
        <sz val="11"/>
        <rFont val="Times New Roman"/>
        <charset val="134"/>
      </rPr>
      <t>R</t>
    </r>
    <r>
      <rPr>
        <vertAlign val="subscript"/>
        <sz val="11"/>
        <rFont val="Times New Roman"/>
        <charset val="134"/>
      </rPr>
      <t>ds0</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</si>
  <si>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0</t>
    </r>
    <r>
      <rPr>
        <sz val="11"/>
        <color rgb="FF000000"/>
        <rFont val="Times New Roman"/>
        <charset val="134"/>
      </rPr>
      <t>) /kN</t>
    </r>
  </si>
  <si>
    <r>
      <rPr>
        <i/>
        <sz val="11"/>
        <rFont val="Times New Roman"/>
        <charset val="134"/>
      </rPr>
      <t>A</t>
    </r>
    <r>
      <rPr>
        <vertAlign val="subscript"/>
        <sz val="11"/>
        <rFont val="Times New Roman"/>
        <charset val="134"/>
      </rPr>
      <t>sc</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</si>
  <si>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134"/>
      </rPr>
      <t>c</t>
    </r>
  </si>
  <si>
    <r>
      <rPr>
        <i/>
        <sz val="12"/>
        <rFont val="Times New Roman"/>
        <charset val="134"/>
      </rPr>
      <t>f</t>
    </r>
    <r>
      <rPr>
        <vertAlign val="subscript"/>
        <sz val="12"/>
        <rFont val="Times New Roman"/>
        <charset val="134"/>
      </rPr>
      <t>scyc</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</si>
  <si>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crc</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</si>
  <si>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0c</t>
    </r>
    <r>
      <rPr>
        <sz val="11"/>
        <color rgb="FF000000"/>
        <rFont val="Times New Roman"/>
        <charset val="134"/>
      </rPr>
      <t xml:space="preserve"> /kN</t>
    </r>
  </si>
  <si>
    <r>
      <rPr>
        <i/>
        <sz val="11"/>
        <color rgb="FF000000"/>
        <rFont val="Symbol"/>
        <charset val="2"/>
      </rPr>
      <t>l</t>
    </r>
    <r>
      <rPr>
        <vertAlign val="subscript"/>
        <sz val="11"/>
        <color rgb="FF000000"/>
        <rFont val="Times New Roman"/>
        <charset val="134"/>
      </rPr>
      <t>c</t>
    </r>
  </si>
  <si>
    <r>
      <rPr>
        <i/>
        <sz val="11"/>
        <rFont val="Times New Roman"/>
        <charset val="134"/>
      </rPr>
      <t>R</t>
    </r>
    <r>
      <rPr>
        <vertAlign val="subscript"/>
        <sz val="11"/>
        <rFont val="Times New Roman"/>
        <charset val="134"/>
      </rPr>
      <t>dsc</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</si>
  <si>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c</t>
    </r>
    <r>
      <rPr>
        <sz val="11"/>
        <color rgb="FF000000"/>
        <rFont val="Times New Roman"/>
        <charset val="134"/>
      </rPr>
      <t>) /kN</t>
    </r>
  </si>
  <si>
    <t>Zhiwu Yu, Faxing Ding, CS Cai. Experimental behavior of circular concrete-filled steel tube stub columns. Journal of Constructional Steel Research, 2007, 63(2): 165-174.</t>
  </si>
  <si>
    <t>SZ5S4A1a</t>
  </si>
  <si>
    <t>SZ5S4A1b</t>
  </si>
  <si>
    <t>SZ5S3A1</t>
  </si>
  <si>
    <t>SZ5S4A2</t>
  </si>
  <si>
    <t>SZ4S3A2</t>
  </si>
  <si>
    <t>SZ5S4E1</t>
  </si>
  <si>
    <t>SZ5S4E2</t>
  </si>
  <si>
    <t>SZ5S4E3</t>
  </si>
  <si>
    <t>SZ5S4E4</t>
  </si>
  <si>
    <t>SZ3S6A1</t>
  </si>
  <si>
    <t>SZ3S6A2</t>
  </si>
  <si>
    <t>SZ3S6B</t>
  </si>
  <si>
    <t>SZ3S6C</t>
  </si>
  <si>
    <t>SZ3S6D</t>
  </si>
  <si>
    <t>SZ3S4A1</t>
  </si>
  <si>
    <t>SZ3S4A2</t>
  </si>
  <si>
    <t>SZ3C4A1</t>
  </si>
  <si>
    <t>Xu Chang, Lei Fu, Hongbo Zhao, Yongbin Zhang. Behaviors of axially loaded circular concrete-filled steel tube (CFT) stub columns with notch in steel tubes. Thin-Walled Structures, 2013, 73: 273-280.</t>
  </si>
  <si>
    <t>CN-2</t>
  </si>
  <si>
    <t>CD-3</t>
  </si>
  <si>
    <r>
      <rPr>
        <vertAlign val="superscript"/>
        <sz val="12"/>
        <rFont val="Times New Roman"/>
        <charset val="134"/>
      </rPr>
      <t>1*</t>
    </r>
    <r>
      <rPr>
        <sz val="12"/>
        <rFont val="Times New Roman"/>
        <charset val="134"/>
      </rPr>
      <t>ND-4</t>
    </r>
  </si>
  <si>
    <r>
      <rPr>
        <vertAlign val="superscript"/>
        <sz val="12"/>
        <rFont val="Times New Roman"/>
        <charset val="134"/>
      </rPr>
      <t>1*</t>
    </r>
    <r>
      <rPr>
        <sz val="12"/>
        <rFont val="Times New Roman"/>
        <charset val="134"/>
      </rPr>
      <t>ND-5</t>
    </r>
  </si>
  <si>
    <t>LN-7</t>
  </si>
  <si>
    <t>LN-8</t>
  </si>
  <si>
    <t>LN-9</t>
  </si>
  <si>
    <t>LN-10</t>
  </si>
  <si>
    <t>LN-11</t>
  </si>
  <si>
    <t>LN-12</t>
  </si>
  <si>
    <t>LN-13</t>
  </si>
  <si>
    <t>LN-14</t>
  </si>
  <si>
    <t>LN-15</t>
  </si>
  <si>
    <t>CST-16</t>
  </si>
  <si>
    <t>CST-17</t>
  </si>
  <si>
    <t>CST-18</t>
  </si>
  <si>
    <t>Dongfeng Wang, Yongbo Shao, Jialing Ou.Experimental study on axial compressive capacity of corroded concrete filled circular CFRP-steel tube stubs. Engineering Mechanics, 2021, 38(10): 188-199.(in Chinese)</t>
  </si>
  <si>
    <t>T4.5-CFST</t>
  </si>
  <si>
    <t>T4.5-L140-D2-A150-0</t>
  </si>
  <si>
    <t>T4.5-L160-D1-A150-0</t>
  </si>
  <si>
    <t>T4.5-L160-D2-A90-0</t>
  </si>
  <si>
    <t>T4.5-L160-D2-A150-0</t>
  </si>
  <si>
    <t>T4.5-L160-D2-A210-0</t>
  </si>
  <si>
    <t>T4.5-L160-D2-A360-0</t>
  </si>
  <si>
    <t>T4.5-L160-D3-A150-0</t>
  </si>
  <si>
    <t>T4.5-L180-D2-Al50-0</t>
  </si>
  <si>
    <t>Haijia Huang, Lanhui Guo, Bing Qu, Chen Jia, Mohamed Elchalakani. Tests of circular concrete-filled steel tubular stub columns with artificial notches representing local corrosions.Engineering Structures,2021, 242: 112598.</t>
  </si>
  <si>
    <t>NN</t>
  </si>
  <si>
    <t>V-140-2-6</t>
  </si>
  <si>
    <t>V-140-3-6</t>
  </si>
  <si>
    <t>V-25-4-6</t>
  </si>
  <si>
    <t>V-50-4-6</t>
  </si>
  <si>
    <t>V-100-4-6</t>
  </si>
  <si>
    <t>V-140-4-6</t>
  </si>
  <si>
    <t>V-280-4-6</t>
  </si>
  <si>
    <t>V-140-4-10</t>
  </si>
  <si>
    <t>V-140-4-14</t>
  </si>
  <si>
    <r>
      <rPr>
        <vertAlign val="superscript"/>
        <sz val="12"/>
        <rFont val="Times New Roman"/>
        <charset val="134"/>
      </rPr>
      <t>1*</t>
    </r>
    <r>
      <rPr>
        <sz val="12"/>
        <rFont val="Times New Roman"/>
        <charset val="134"/>
      </rPr>
      <t>S-100-4-6</t>
    </r>
  </si>
  <si>
    <r>
      <rPr>
        <vertAlign val="superscript"/>
        <sz val="12"/>
        <rFont val="Times New Roman"/>
        <charset val="134"/>
      </rPr>
      <t>1*</t>
    </r>
    <r>
      <rPr>
        <sz val="12"/>
        <rFont val="Times New Roman"/>
        <charset val="134"/>
      </rPr>
      <t>S-141-4-6</t>
    </r>
  </si>
  <si>
    <t>H-50-4-6</t>
  </si>
  <si>
    <t>H-100-4-6</t>
  </si>
  <si>
    <t>H-220-4-6</t>
  </si>
  <si>
    <t>Zhenlin Li , Siqi Lin , Yan-gang Zhao, Wenda Wang. Experimental study on behavior of axially loaded concrete-filled steel tube stub columns with local corrosion. Engineering Mechanics, 2023, 40(8): 170-180.</t>
  </si>
  <si>
    <t>A-0-0-0-0-1</t>
  </si>
  <si>
    <t>A-0-0-0-0-2</t>
  </si>
  <si>
    <t>A-45-4-10-20-1</t>
  </si>
  <si>
    <t>A-45-4-10-20-2</t>
  </si>
  <si>
    <t>A-100-4-10-20-1</t>
  </si>
  <si>
    <t>A-100-4-10-20-2</t>
  </si>
  <si>
    <t>A-45-2-10-20-1</t>
  </si>
  <si>
    <t>A-45-2-10-20-2</t>
  </si>
  <si>
    <t>A-45-1-10-20-1</t>
  </si>
  <si>
    <t>A-45-1-10-20-2</t>
  </si>
  <si>
    <t>A-45-4-15-20-1</t>
  </si>
  <si>
    <t>A-45-4-15-20-2</t>
  </si>
  <si>
    <t>A-45-4-20-20-1</t>
  </si>
  <si>
    <t>A-45-4-20-20-2</t>
  </si>
  <si>
    <t>A-45-4-10-4-1</t>
  </si>
  <si>
    <t>A-45-4-10-4-2</t>
  </si>
  <si>
    <t>A-45-4-10-2-1</t>
  </si>
  <si>
    <t>A-45-4-10-2-2</t>
  </si>
  <si>
    <t>Lanhui Guo, Jianwei Li, Chen Jia, Mohamed Elchalakani.Axial compression behavior of slender concrete-filled steel tubes with machining defects representing local corrosion.Engineering Structures, 2023, 286: 116091.</t>
  </si>
  <si>
    <t>2100-Intact</t>
  </si>
  <si>
    <t>1680-Intact</t>
  </si>
  <si>
    <t>1260-Intact</t>
  </si>
  <si>
    <t>2100-70-70-4</t>
  </si>
  <si>
    <t>2100-210-70-4</t>
  </si>
  <si>
    <t>2100-350-70-4</t>
  </si>
  <si>
    <t>2100-210-70-2</t>
  </si>
  <si>
    <t>2100-210-100-4</t>
  </si>
  <si>
    <r>
      <rPr>
        <vertAlign val="superscript"/>
        <sz val="12"/>
        <rFont val="Times New Roman"/>
        <charset val="134"/>
      </rPr>
      <t>2*</t>
    </r>
    <r>
      <rPr>
        <sz val="12"/>
        <rFont val="Times New Roman"/>
        <charset val="134"/>
      </rPr>
      <t>2100-E-210-70-4</t>
    </r>
  </si>
  <si>
    <t>1680-210-70-4</t>
  </si>
  <si>
    <t>1260-210-70-4</t>
  </si>
  <si>
    <t>Haijia Huang, Lanhui Guo, Ou Zhao, Shan Gao.Experimental and numerical investigation into locally corroded circular concrete-filled steel tubular stub columns strengthened by CFRP.Thin-Walled Structures, 2023, 192: 111174.</t>
  </si>
  <si>
    <t>CFST-N-50</t>
  </si>
  <si>
    <t>CFST-N-100</t>
  </si>
  <si>
    <t>CFST-N-140</t>
  </si>
  <si>
    <t>CFST-N-280</t>
  </si>
  <si>
    <t>Mengcheng Chen, Suchang Luo, Hong Huang, Wei Fang, Kaicheng Xu, Wenlei Qian. Experimental studies on axial compressive bearing capacity of circular CFST stub columns with localized corrosion. Journal of Central South University(Science and Technology), 2024, 55(1): 317−329.(in Chinese)</t>
  </si>
  <si>
    <t>S-N</t>
  </si>
  <si>
    <t>OE-1/3-10</t>
  </si>
  <si>
    <t>OE-1/3-20</t>
  </si>
  <si>
    <t>OE-1/3-25</t>
  </si>
  <si>
    <t>MP-1/3-10</t>
  </si>
  <si>
    <t>MP-1/3-20</t>
  </si>
  <si>
    <t>MP-1/3-25</t>
  </si>
  <si>
    <r>
      <rPr>
        <vertAlign val="superscript"/>
        <sz val="12"/>
        <color rgb="FF1A171C"/>
        <rFont val="Symbol"/>
        <charset val="2"/>
      </rPr>
      <t>D</t>
    </r>
    <r>
      <rPr>
        <sz val="12"/>
        <color rgb="FF1A171C"/>
        <rFont val="Times New Roman"/>
        <charset val="134"/>
      </rPr>
      <t>BE-1/3-10</t>
    </r>
  </si>
  <si>
    <r>
      <rPr>
        <vertAlign val="superscript"/>
        <sz val="12"/>
        <color rgb="FF1A171C"/>
        <rFont val="Symbol"/>
        <charset val="2"/>
      </rPr>
      <t>D</t>
    </r>
    <r>
      <rPr>
        <sz val="12"/>
        <color rgb="FF1A171C"/>
        <rFont val="Times New Roman"/>
        <charset val="134"/>
      </rPr>
      <t>BE-1/3-20</t>
    </r>
  </si>
  <si>
    <r>
      <rPr>
        <vertAlign val="superscript"/>
        <sz val="12"/>
        <color rgb="FF1A171C"/>
        <rFont val="Symbol"/>
        <charset val="2"/>
      </rPr>
      <t>D</t>
    </r>
    <r>
      <rPr>
        <sz val="12"/>
        <color rgb="FF1A171C"/>
        <rFont val="Times New Roman"/>
        <charset val="134"/>
      </rPr>
      <t>BE-1/3-25</t>
    </r>
  </si>
  <si>
    <t>OE-1/2-10</t>
  </si>
  <si>
    <t>OE-1/2-20</t>
  </si>
  <si>
    <t>OE-1/2-30</t>
  </si>
  <si>
    <t>OE-1/2-35</t>
  </si>
  <si>
    <t>MP-1/2-10</t>
  </si>
  <si>
    <t>MP-1/2-20</t>
  </si>
  <si>
    <t>MP-1/2-30</t>
  </si>
  <si>
    <t>MP-1/2-35</t>
  </si>
  <si>
    <r>
      <rPr>
        <vertAlign val="superscript"/>
        <sz val="12"/>
        <color rgb="FF1A171C"/>
        <rFont val="Symbol"/>
        <charset val="2"/>
      </rPr>
      <t>D</t>
    </r>
    <r>
      <rPr>
        <sz val="12"/>
        <color rgb="FF1A171C"/>
        <rFont val="Times New Roman"/>
        <charset val="134"/>
      </rPr>
      <t>BE-1/2-10</t>
    </r>
  </si>
  <si>
    <r>
      <rPr>
        <vertAlign val="superscript"/>
        <sz val="12"/>
        <color rgb="FF1A171C"/>
        <rFont val="Symbol"/>
        <charset val="2"/>
      </rPr>
      <t>D</t>
    </r>
    <r>
      <rPr>
        <sz val="12"/>
        <color rgb="FF1A171C"/>
        <rFont val="Times New Roman"/>
        <charset val="134"/>
      </rPr>
      <t>BE-1/2-20</t>
    </r>
  </si>
  <si>
    <r>
      <rPr>
        <vertAlign val="superscript"/>
        <sz val="12"/>
        <color rgb="FF1A171C"/>
        <rFont val="Symbol"/>
        <charset val="2"/>
      </rPr>
      <t>D</t>
    </r>
    <r>
      <rPr>
        <sz val="12"/>
        <color rgb="FF1A171C"/>
        <rFont val="Times New Roman"/>
        <charset val="134"/>
      </rPr>
      <t>BE-1/2-30</t>
    </r>
  </si>
  <si>
    <r>
      <rPr>
        <vertAlign val="superscript"/>
        <sz val="12"/>
        <color rgb="FF1A171C"/>
        <rFont val="Symbol"/>
        <charset val="2"/>
      </rPr>
      <t>D</t>
    </r>
    <r>
      <rPr>
        <sz val="12"/>
        <color rgb="FF1A171C"/>
        <rFont val="Times New Roman"/>
        <charset val="134"/>
      </rPr>
      <t>BE-1/2-35</t>
    </r>
  </si>
  <si>
    <t>Jianwei Li, Chen Jia, Lanhui Guo, Zhiguo Li.Performance of axially loaded slender circular CFSTs with randomlocal corrosion.Journal of Constructional Steel Research,2024, 212: 108310.</t>
  </si>
  <si>
    <t>Intact</t>
  </si>
  <si>
    <t>Pd-1050</t>
  </si>
  <si>
    <t>Pd-700</t>
  </si>
  <si>
    <t>Pd-350</t>
  </si>
  <si>
    <t>NPd-1050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</si>
</sst>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000000_ "/>
    <numFmt numFmtId="179" formatCode="0.0_ "/>
    <numFmt numFmtId="180" formatCode="0.000_ "/>
    <numFmt numFmtId="181" formatCode="0.0000_ "/>
    <numFmt numFmtId="182" formatCode="0.0_);[Red]\(0.0\)"/>
    <numFmt numFmtId="183" formatCode="0.00_ "/>
    <numFmt numFmtId="184" formatCode="0.000_);[Red]\(0.000\)"/>
  </numFmts>
  <fonts count="69">
    <font>
      <sz val="11"/>
      <color theme="1"/>
      <name val="宋体"/>
      <charset val="134"/>
      <scheme val="minor"/>
    </font>
    <font>
      <b/>
      <sz val="11"/>
      <name val="宋体"/>
      <charset val="134"/>
      <scheme val="minor"/>
    </font>
    <font>
      <sz val="11"/>
      <name val="宋体"/>
      <charset val="134"/>
      <scheme val="minor"/>
    </font>
    <font>
      <i/>
      <sz val="12"/>
      <name val="Times New Roman"/>
      <charset val="134"/>
    </font>
    <font>
      <sz val="11"/>
      <name val="Times New Roman"/>
      <charset val="134"/>
    </font>
    <font>
      <i/>
      <sz val="11"/>
      <name val="Times New Roman"/>
      <charset val="134"/>
    </font>
    <font>
      <i/>
      <sz val="11"/>
      <name val="Symbol"/>
      <charset val="2"/>
    </font>
    <font>
      <sz val="12"/>
      <name val="Times New Roman"/>
      <charset val="134"/>
    </font>
    <font>
      <vertAlign val="superscript"/>
      <sz val="12"/>
      <name val="Times New Roman"/>
      <charset val="134"/>
    </font>
    <font>
      <b/>
      <sz val="12"/>
      <name val="Times New Roman"/>
      <charset val="134"/>
    </font>
    <font>
      <i/>
      <sz val="11"/>
      <color rgb="FF000000"/>
      <name val="Times New Roman"/>
      <charset val="134"/>
    </font>
    <font>
      <b/>
      <sz val="11"/>
      <color theme="1"/>
      <name val="Times New Roman"/>
      <charset val="134"/>
    </font>
    <font>
      <sz val="12"/>
      <color theme="1"/>
      <name val="Times New Roman"/>
      <charset val="134"/>
    </font>
    <font>
      <i/>
      <sz val="12"/>
      <name val="Symbol"/>
      <charset val="2"/>
    </font>
    <font>
      <b/>
      <sz val="12"/>
      <color rgb="FF000000"/>
      <name val="Times New Roman"/>
      <charset val="134"/>
    </font>
    <font>
      <b/>
      <sz val="12"/>
      <color indexed="8"/>
      <name val="Times New Roman"/>
      <charset val="134"/>
    </font>
    <font>
      <i/>
      <sz val="11"/>
      <color rgb="FF000000"/>
      <name val="Symbol"/>
      <charset val="2"/>
    </font>
    <font>
      <sz val="12"/>
      <color indexed="8"/>
      <name val="Times New Roman"/>
      <charset val="134"/>
    </font>
    <font>
      <sz val="11"/>
      <color theme="1"/>
      <name val="Times New Roman"/>
      <charset val="134"/>
    </font>
    <font>
      <sz val="12"/>
      <color rgb="FF1A171C"/>
      <name val="Times New Roman"/>
      <charset val="134"/>
    </font>
    <font>
      <vertAlign val="superscript"/>
      <sz val="12"/>
      <color rgb="FF1A171C"/>
      <name val="Symbol"/>
      <charset val="2"/>
    </font>
    <font>
      <sz val="11"/>
      <color indexed="8"/>
      <name val="等线"/>
      <charset val="134"/>
    </font>
    <font>
      <b/>
      <sz val="11"/>
      <name val="等线"/>
      <charset val="134"/>
    </font>
    <font>
      <sz val="11"/>
      <name val="等线"/>
      <charset val="134"/>
    </font>
    <font>
      <b/>
      <sz val="11"/>
      <color theme="1"/>
      <name val="宋体"/>
      <charset val="134"/>
      <scheme val="minor"/>
    </font>
    <font>
      <sz val="9"/>
      <color rgb="FF000000"/>
      <name val="Times New Roman"/>
      <charset val="134"/>
    </font>
    <font>
      <i/>
      <sz val="9"/>
      <color rgb="FF000000"/>
      <name val="Times New Roman"/>
      <charset val="134"/>
    </font>
    <font>
      <i/>
      <sz val="9"/>
      <color rgb="FF000000"/>
      <name val="Symbol"/>
      <charset val="2"/>
    </font>
    <font>
      <sz val="7.5"/>
      <color rgb="FF000000"/>
      <name val="Times New Roman"/>
      <charset val="134"/>
    </font>
    <font>
      <sz val="10"/>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rgb="FF000000"/>
      <name val="Symbol"/>
      <charset val="2"/>
    </font>
    <font>
      <vertAlign val="subscript"/>
      <sz val="12"/>
      <name val="Times New Roman"/>
      <charset val="134"/>
    </font>
    <font>
      <b/>
      <i/>
      <sz val="12"/>
      <color rgb="FF000000"/>
      <name val="Times New Roman"/>
      <charset val="134"/>
    </font>
    <font>
      <b/>
      <vertAlign val="subscript"/>
      <sz val="12"/>
      <color rgb="FF000000"/>
      <name val="Times New Roman"/>
      <charset val="134"/>
    </font>
    <font>
      <i/>
      <sz val="10"/>
      <color rgb="FF000000"/>
      <name val="Times New Roman"/>
      <charset val="134"/>
    </font>
    <font>
      <vertAlign val="subscript"/>
      <sz val="10"/>
      <color rgb="FF000000"/>
      <name val="Times New Roman"/>
      <charset val="134"/>
    </font>
    <font>
      <sz val="10"/>
      <color rgb="FF000000"/>
      <name val="Symbol"/>
      <charset val="2"/>
    </font>
    <font>
      <vertAlign val="superscript"/>
      <sz val="7.5"/>
      <color rgb="FF000000"/>
      <name val="Symbol"/>
      <charset val="2"/>
    </font>
    <font>
      <i/>
      <vertAlign val="subscript"/>
      <sz val="12"/>
      <name val="Symbol"/>
      <charset val="2"/>
    </font>
    <font>
      <vertAlign val="subscript"/>
      <sz val="11"/>
      <color rgb="FF000000"/>
      <name val="Times New Roman"/>
      <charset val="134"/>
    </font>
    <font>
      <sz val="11"/>
      <color rgb="FF000000"/>
      <name val="Times New Roman"/>
      <charset val="134"/>
    </font>
    <font>
      <vertAlign val="subscript"/>
      <sz val="11"/>
      <name val="Times New Roman"/>
      <charset val="134"/>
    </font>
    <font>
      <vertAlign val="superscript"/>
      <sz val="11"/>
      <name val="Times New Roman"/>
      <charset val="134"/>
    </font>
    <font>
      <vertAlign val="subscript"/>
      <sz val="9"/>
      <color rgb="FF000000"/>
      <name val="Times New Roman"/>
      <charset val="134"/>
    </font>
    <font>
      <vertAlign val="superscript"/>
      <sz val="7.5"/>
      <color rgb="FF000000"/>
      <name val="Times New Roman"/>
      <charset val="134"/>
    </font>
    <font>
      <sz val="11"/>
      <name val="SimSun"/>
      <charset val="134"/>
    </font>
    <font>
      <vertAlign val="subscript"/>
      <sz val="11"/>
      <name val="Times New Roman"/>
      <charset val="2"/>
    </font>
    <font>
      <sz val="11"/>
      <name val="Times New Roman"/>
      <charset val="2"/>
    </font>
    <font>
      <sz val="11"/>
      <name val="SimSun"/>
      <charset val="2"/>
    </font>
    <font>
      <i/>
      <vertAlign val="subscript"/>
      <sz val="12"/>
      <name val="Times New Roman"/>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right/>
      <top style="thick">
        <color auto="1"/>
      </top>
      <bottom style="medium">
        <color auto="1"/>
      </bottom>
      <diagonal/>
    </border>
    <border>
      <left style="thin">
        <color rgb="FF000000"/>
      </left>
      <right/>
      <top style="thick">
        <color auto="1"/>
      </top>
      <bottom style="medium">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right/>
      <top/>
      <bottom style="medium">
        <color auto="1"/>
      </bottom>
      <diagonal/>
    </border>
    <border>
      <left/>
      <right/>
      <top style="thick">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style="thick">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22"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23" applyNumberFormat="0" applyFill="0" applyAlignment="0" applyProtection="0">
      <alignment vertical="center"/>
    </xf>
    <xf numFmtId="0" fontId="36" fillId="0" borderId="23" applyNumberFormat="0" applyFill="0" applyAlignment="0" applyProtection="0">
      <alignment vertical="center"/>
    </xf>
    <xf numFmtId="0" fontId="37" fillId="0" borderId="24" applyNumberFormat="0" applyFill="0" applyAlignment="0" applyProtection="0">
      <alignment vertical="center"/>
    </xf>
    <xf numFmtId="0" fontId="37" fillId="0" borderId="0" applyNumberFormat="0" applyFill="0" applyBorder="0" applyAlignment="0" applyProtection="0">
      <alignment vertical="center"/>
    </xf>
    <xf numFmtId="0" fontId="38" fillId="4" borderId="25" applyNumberFormat="0" applyAlignment="0" applyProtection="0">
      <alignment vertical="center"/>
    </xf>
    <xf numFmtId="0" fontId="39" fillId="5" borderId="26" applyNumberFormat="0" applyAlignment="0" applyProtection="0">
      <alignment vertical="center"/>
    </xf>
    <xf numFmtId="0" fontId="40" fillId="5" borderId="25" applyNumberFormat="0" applyAlignment="0" applyProtection="0">
      <alignment vertical="center"/>
    </xf>
    <xf numFmtId="0" fontId="41" fillId="6" borderId="27" applyNumberFormat="0" applyAlignment="0" applyProtection="0">
      <alignment vertical="center"/>
    </xf>
    <xf numFmtId="0" fontId="42" fillId="0" borderId="28" applyNumberFormat="0" applyFill="0" applyAlignment="0" applyProtection="0">
      <alignment vertical="center"/>
    </xf>
    <xf numFmtId="0" fontId="43" fillId="0" borderId="29" applyNumberFormat="0" applyFill="0" applyAlignment="0" applyProtection="0">
      <alignment vertical="center"/>
    </xf>
    <xf numFmtId="0" fontId="44" fillId="7" borderId="0" applyNumberFormat="0" applyBorder="0" applyAlignment="0" applyProtection="0">
      <alignment vertical="center"/>
    </xf>
    <xf numFmtId="0" fontId="45" fillId="8" borderId="0" applyNumberFormat="0" applyBorder="0" applyAlignment="0" applyProtection="0">
      <alignment vertical="center"/>
    </xf>
    <xf numFmtId="0" fontId="46" fillId="9" borderId="0" applyNumberFormat="0" applyBorder="0" applyAlignment="0" applyProtection="0">
      <alignment vertical="center"/>
    </xf>
    <xf numFmtId="0" fontId="47" fillId="10" borderId="0" applyNumberFormat="0" applyBorder="0" applyAlignment="0" applyProtection="0">
      <alignment vertical="center"/>
    </xf>
    <xf numFmtId="0" fontId="48" fillId="11" borderId="0" applyNumberFormat="0" applyBorder="0" applyAlignment="0" applyProtection="0">
      <alignment vertical="center"/>
    </xf>
    <xf numFmtId="0" fontId="48" fillId="12"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8" fillId="15" borderId="0" applyNumberFormat="0" applyBorder="0" applyAlignment="0" applyProtection="0">
      <alignment vertical="center"/>
    </xf>
    <xf numFmtId="0" fontId="48"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cellStyleXfs>
  <cellXfs count="155">
    <xf numFmtId="0" fontId="0" fillId="0" borderId="0" xfId="0">
      <alignment vertical="center"/>
    </xf>
    <xf numFmtId="0" fontId="1" fillId="0" borderId="0" xfId="0" applyFont="1" applyFill="1">
      <alignment vertical="center"/>
    </xf>
    <xf numFmtId="0" fontId="2" fillId="0" borderId="0" xfId="0" applyFont="1" applyFill="1">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178" fontId="2" fillId="0" borderId="0" xfId="0" applyNumberFormat="1" applyFont="1" applyFill="1" applyAlignment="1">
      <alignment horizontal="center" vertical="center"/>
    </xf>
    <xf numFmtId="178" fontId="2" fillId="0" borderId="0" xfId="0" applyNumberFormat="1" applyFont="1" applyFill="1" applyBorder="1" applyAlignment="1">
      <alignment horizontal="center" vertical="center"/>
    </xf>
    <xf numFmtId="0" fontId="0" fillId="0" borderId="0" xfId="0" applyAlignment="1">
      <alignment horizontal="center" vertical="center"/>
    </xf>
    <xf numFmtId="179" fontId="2" fillId="0" borderId="0" xfId="0" applyNumberFormat="1" applyFont="1" applyFill="1" applyAlignment="1">
      <alignment horizontal="center" vertical="center"/>
    </xf>
    <xf numFmtId="0" fontId="0" fillId="0" borderId="0" xfId="0" applyBorder="1">
      <alignment vertical="center"/>
    </xf>
    <xf numFmtId="0" fontId="3" fillId="0" borderId="0" xfId="0" applyNumberFormat="1" applyFont="1" applyFill="1" applyBorder="1" applyAlignment="1" applyProtection="1">
      <alignment horizontal="center" vertical="center"/>
    </xf>
    <xf numFmtId="0" fontId="4" fillId="0" borderId="0" xfId="0" applyFont="1" applyFill="1">
      <alignment vertical="center"/>
    </xf>
    <xf numFmtId="0" fontId="5" fillId="0" borderId="0" xfId="0" applyNumberFormat="1" applyFont="1" applyFill="1" applyBorder="1" applyAlignment="1" applyProtection="1">
      <alignment horizontal="center" vertical="center"/>
    </xf>
    <xf numFmtId="0" fontId="6" fillId="0" borderId="0" xfId="0" applyNumberFormat="1" applyFont="1" applyFill="1" applyBorder="1" applyAlignment="1" applyProtection="1">
      <alignment horizontal="center" vertical="center"/>
    </xf>
    <xf numFmtId="0" fontId="3" fillId="0" borderId="0" xfId="0" applyNumberFormat="1" applyFont="1" applyFill="1" applyAlignment="1" applyProtection="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3"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xf>
    <xf numFmtId="180" fontId="7" fillId="0" borderId="3"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wrapText="1"/>
    </xf>
    <xf numFmtId="0" fontId="7" fillId="0" borderId="5"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xf>
    <xf numFmtId="180" fontId="7" fillId="0" borderId="0" xfId="0" applyNumberFormat="1" applyFont="1" applyFill="1" applyBorder="1" applyAlignment="1" applyProtection="1">
      <alignment horizontal="center" vertical="center"/>
    </xf>
    <xf numFmtId="0" fontId="7" fillId="2" borderId="0" xfId="0" applyNumberFormat="1" applyFont="1" applyFill="1" applyBorder="1" applyAlignment="1" applyProtection="1">
      <alignment horizontal="center" vertical="center" wrapText="1"/>
    </xf>
    <xf numFmtId="0" fontId="7" fillId="2" borderId="0"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wrapText="1"/>
    </xf>
    <xf numFmtId="0" fontId="7" fillId="0" borderId="7"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xf>
    <xf numFmtId="180" fontId="7" fillId="0" borderId="6" xfId="0" applyNumberFormat="1" applyFont="1" applyFill="1" applyBorder="1" applyAlignment="1" applyProtection="1">
      <alignment horizontal="center" vertical="center"/>
    </xf>
    <xf numFmtId="0" fontId="8" fillId="0" borderId="5" xfId="0" applyNumberFormat="1" applyFont="1" applyFill="1" applyBorder="1" applyAlignment="1" applyProtection="1">
      <alignment horizontal="center" vertical="center"/>
    </xf>
    <xf numFmtId="0" fontId="9" fillId="0" borderId="0" xfId="0" applyNumberFormat="1" applyFont="1" applyFill="1" applyBorder="1" applyAlignment="1" applyProtection="1">
      <alignment horizontal="center" vertical="center" wrapText="1"/>
    </xf>
    <xf numFmtId="0" fontId="7" fillId="0" borderId="8" xfId="0" applyNumberFormat="1" applyFont="1" applyFill="1" applyBorder="1" applyAlignment="1" applyProtection="1">
      <alignment horizontal="center" vertical="center" wrapText="1"/>
    </xf>
    <xf numFmtId="0" fontId="6" fillId="0" borderId="0" xfId="0" applyFont="1" applyFill="1" applyBorder="1" applyAlignment="1">
      <alignment horizontal="center" vertical="center" wrapText="1"/>
    </xf>
    <xf numFmtId="0" fontId="10" fillId="0" borderId="0" xfId="0" applyNumberFormat="1" applyFont="1" applyFill="1" applyBorder="1" applyAlignment="1" applyProtection="1">
      <alignment horizontal="center" vertical="center"/>
    </xf>
    <xf numFmtId="181" fontId="11" fillId="2" borderId="9" xfId="0" applyNumberFormat="1" applyFont="1" applyFill="1" applyBorder="1" applyAlignment="1">
      <alignment horizontal="center" vertical="center"/>
    </xf>
    <xf numFmtId="0" fontId="6" fillId="0" borderId="1"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vertical="center"/>
    </xf>
    <xf numFmtId="0" fontId="10" fillId="0" borderId="0" xfId="0" applyNumberFormat="1" applyFont="1" applyFill="1" applyBorder="1" applyAlignment="1" applyProtection="1">
      <alignment vertical="center"/>
    </xf>
    <xf numFmtId="0" fontId="6" fillId="0" borderId="11" xfId="0" applyFont="1" applyFill="1" applyBorder="1" applyAlignment="1">
      <alignment horizontal="center" vertical="center" wrapText="1"/>
    </xf>
    <xf numFmtId="182" fontId="7" fillId="0" borderId="3" xfId="0" applyNumberFormat="1" applyFont="1" applyFill="1" applyBorder="1" applyAlignment="1" applyProtection="1">
      <alignment horizontal="center" vertical="center" wrapText="1"/>
    </xf>
    <xf numFmtId="180" fontId="12" fillId="0" borderId="3" xfId="0" applyNumberFormat="1" applyFont="1" applyFill="1" applyBorder="1" applyAlignment="1">
      <alignment horizontal="center" vertical="center"/>
    </xf>
    <xf numFmtId="180" fontId="7" fillId="0" borderId="0" xfId="0" applyNumberFormat="1" applyFont="1" applyFill="1" applyAlignment="1">
      <alignment horizontal="center" vertical="center"/>
    </xf>
    <xf numFmtId="0" fontId="7" fillId="0" borderId="0" xfId="0" applyNumberFormat="1" applyFont="1" applyFill="1" applyBorder="1" applyAlignment="1">
      <alignment vertical="center"/>
    </xf>
    <xf numFmtId="180" fontId="7" fillId="0" borderId="12" xfId="0" applyNumberFormat="1" applyFont="1" applyFill="1" applyBorder="1" applyAlignment="1" applyProtection="1">
      <alignment horizontal="center" vertical="center"/>
    </xf>
    <xf numFmtId="182" fontId="7" fillId="0" borderId="0" xfId="0" applyNumberFormat="1" applyFont="1" applyFill="1" applyBorder="1" applyAlignment="1" applyProtection="1">
      <alignment horizontal="center" vertical="center" wrapText="1"/>
    </xf>
    <xf numFmtId="182" fontId="7" fillId="0" borderId="6" xfId="0" applyNumberFormat="1" applyFont="1" applyFill="1" applyBorder="1" applyAlignment="1" applyProtection="1">
      <alignment horizontal="center" vertical="center" wrapText="1"/>
    </xf>
    <xf numFmtId="180" fontId="7" fillId="0" borderId="3" xfId="0" applyNumberFormat="1" applyFont="1" applyFill="1" applyBorder="1" applyAlignment="1">
      <alignment horizontal="center" vertical="center"/>
    </xf>
    <xf numFmtId="180" fontId="7" fillId="0" borderId="6" xfId="0" applyNumberFormat="1" applyFont="1" applyFill="1" applyBorder="1" applyAlignment="1">
      <alignment horizontal="center" vertical="center"/>
    </xf>
    <xf numFmtId="0" fontId="13" fillId="0" borderId="0"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xf>
    <xf numFmtId="0" fontId="12" fillId="0" borderId="0" xfId="0" applyFont="1" applyFill="1" applyAlignment="1">
      <alignment horizontal="center" vertical="center"/>
    </xf>
    <xf numFmtId="182" fontId="7" fillId="0" borderId="0" xfId="0" applyNumberFormat="1" applyFont="1" applyFill="1" applyAlignment="1" applyProtection="1">
      <alignment horizontal="center" vertical="center" wrapText="1"/>
    </xf>
    <xf numFmtId="180" fontId="7" fillId="0" borderId="0" xfId="0" applyNumberFormat="1" applyFont="1" applyFill="1" applyAlignment="1" applyProtection="1">
      <alignment horizontal="center" vertical="center" wrapText="1"/>
    </xf>
    <xf numFmtId="180" fontId="7" fillId="0" borderId="3" xfId="0" applyNumberFormat="1" applyFont="1" applyFill="1" applyBorder="1" applyAlignment="1" applyProtection="1">
      <alignment horizontal="center" vertical="center" wrapText="1"/>
    </xf>
    <xf numFmtId="0" fontId="12" fillId="0" borderId="6" xfId="0" applyFont="1" applyFill="1" applyBorder="1" applyAlignment="1">
      <alignment horizontal="center" vertical="center"/>
    </xf>
    <xf numFmtId="180" fontId="7" fillId="0" borderId="6" xfId="0" applyNumberFormat="1" applyFont="1" applyFill="1" applyBorder="1" applyAlignment="1" applyProtection="1">
      <alignment horizontal="center" vertical="center" wrapText="1"/>
    </xf>
    <xf numFmtId="0" fontId="12" fillId="0" borderId="3" xfId="0" applyFont="1" applyFill="1" applyBorder="1" applyAlignment="1">
      <alignment horizontal="center" vertical="center"/>
    </xf>
    <xf numFmtId="0" fontId="14" fillId="0" borderId="13" xfId="0" applyNumberFormat="1" applyFont="1" applyFill="1" applyBorder="1" applyAlignment="1" applyProtection="1">
      <alignment horizontal="center" vertical="center"/>
    </xf>
    <xf numFmtId="0" fontId="15" fillId="0" borderId="12" xfId="0" applyNumberFormat="1" applyFont="1" applyFill="1" applyBorder="1" applyAlignment="1" applyProtection="1">
      <alignment horizontal="center" vertical="center"/>
    </xf>
    <xf numFmtId="180" fontId="5" fillId="0" borderId="1" xfId="0" applyNumberFormat="1" applyFont="1" applyFill="1" applyBorder="1" applyAlignment="1">
      <alignment horizontal="center" vertical="center"/>
    </xf>
    <xf numFmtId="0" fontId="16" fillId="0" borderId="11" xfId="0" applyNumberFormat="1" applyFont="1" applyFill="1" applyBorder="1" applyAlignment="1" applyProtection="1">
      <alignment horizontal="center" vertical="center"/>
    </xf>
    <xf numFmtId="0" fontId="3" fillId="0" borderId="11" xfId="0" applyNumberFormat="1" applyFont="1" applyFill="1" applyBorder="1" applyAlignment="1" applyProtection="1">
      <alignment horizontal="center" vertical="center"/>
    </xf>
    <xf numFmtId="180" fontId="12" fillId="0" borderId="0" xfId="0" applyNumberFormat="1" applyFont="1" applyFill="1" applyAlignment="1">
      <alignment horizontal="center" vertical="center"/>
    </xf>
    <xf numFmtId="180" fontId="17" fillId="0" borderId="0" xfId="0" applyNumberFormat="1" applyFont="1" applyFill="1" applyBorder="1" applyAlignment="1" applyProtection="1">
      <alignment horizontal="center" vertical="center"/>
    </xf>
    <xf numFmtId="180" fontId="17" fillId="0" borderId="12" xfId="0" applyNumberFormat="1" applyFont="1" applyFill="1" applyBorder="1" applyAlignment="1" applyProtection="1">
      <alignment horizontal="center" vertical="center"/>
    </xf>
    <xf numFmtId="180" fontId="17" fillId="0" borderId="3" xfId="0" applyNumberFormat="1" applyFont="1" applyFill="1" applyBorder="1" applyAlignment="1" applyProtection="1">
      <alignment horizontal="center" vertical="center"/>
    </xf>
    <xf numFmtId="180" fontId="12" fillId="0" borderId="6" xfId="0" applyNumberFormat="1" applyFont="1" applyFill="1" applyBorder="1" applyAlignment="1">
      <alignment horizontal="center" vertical="center"/>
    </xf>
    <xf numFmtId="180" fontId="17" fillId="0" borderId="6" xfId="0" applyNumberFormat="1" applyFont="1" applyFill="1" applyBorder="1" applyAlignment="1" applyProtection="1">
      <alignment horizontal="center" vertical="center"/>
    </xf>
    <xf numFmtId="0" fontId="15" fillId="0" borderId="14" xfId="0" applyNumberFormat="1" applyFont="1" applyFill="1" applyBorder="1" applyAlignment="1" applyProtection="1">
      <alignment horizontal="center" vertical="center"/>
    </xf>
    <xf numFmtId="0" fontId="14" fillId="0" borderId="15" xfId="0" applyNumberFormat="1" applyFont="1" applyFill="1" applyBorder="1" applyAlignment="1" applyProtection="1">
      <alignment horizontal="center" vertical="center"/>
    </xf>
    <xf numFmtId="0" fontId="15" fillId="0" borderId="16" xfId="0" applyNumberFormat="1" applyFont="1" applyFill="1" applyBorder="1" applyAlignment="1" applyProtection="1">
      <alignment horizontal="center" vertical="center"/>
    </xf>
    <xf numFmtId="0" fontId="10" fillId="0" borderId="11" xfId="0" applyNumberFormat="1" applyFont="1" applyFill="1" applyBorder="1" applyAlignment="1" applyProtection="1">
      <alignment horizontal="center" vertical="center"/>
    </xf>
    <xf numFmtId="0" fontId="5" fillId="0" borderId="11" xfId="0" applyFont="1" applyFill="1" applyBorder="1" applyAlignment="1">
      <alignment horizontal="center" vertical="center" wrapText="1"/>
    </xf>
    <xf numFmtId="180" fontId="5" fillId="0" borderId="11" xfId="0" applyNumberFormat="1" applyFont="1" applyFill="1" applyBorder="1" applyAlignment="1">
      <alignment horizontal="center" vertical="center"/>
    </xf>
    <xf numFmtId="180" fontId="7" fillId="0" borderId="12" xfId="0" applyNumberFormat="1" applyFont="1" applyFill="1" applyBorder="1" applyAlignment="1">
      <alignment horizontal="center" vertical="center"/>
    </xf>
    <xf numFmtId="180" fontId="12" fillId="0" borderId="12" xfId="0" applyNumberFormat="1" applyFont="1" applyFill="1" applyBorder="1" applyAlignment="1">
      <alignment horizontal="center" vertical="center"/>
    </xf>
    <xf numFmtId="0" fontId="15" fillId="0" borderId="17" xfId="0" applyNumberFormat="1" applyFont="1" applyFill="1" applyBorder="1" applyAlignment="1" applyProtection="1">
      <alignment horizontal="center" vertical="center"/>
    </xf>
    <xf numFmtId="0" fontId="0" fillId="0" borderId="0" xfId="0" applyBorder="1" applyAlignment="1">
      <alignment horizontal="center" vertical="center"/>
    </xf>
    <xf numFmtId="0" fontId="0" fillId="0" borderId="0" xfId="0" applyFont="1" applyBorder="1">
      <alignment vertical="center"/>
    </xf>
    <xf numFmtId="180" fontId="18" fillId="0" borderId="12" xfId="0" applyNumberFormat="1" applyFont="1" applyBorder="1" applyAlignment="1">
      <alignment horizontal="center" vertical="center"/>
    </xf>
    <xf numFmtId="180" fontId="18" fillId="0" borderId="0" xfId="0" applyNumberFormat="1" applyFont="1" applyAlignment="1">
      <alignment horizontal="center" vertical="center"/>
    </xf>
    <xf numFmtId="180" fontId="18" fillId="0" borderId="3" xfId="0" applyNumberFormat="1" applyFont="1" applyBorder="1" applyAlignment="1">
      <alignment horizontal="center" vertical="center"/>
    </xf>
    <xf numFmtId="180" fontId="18" fillId="0" borderId="6" xfId="0" applyNumberFormat="1" applyFont="1" applyBorder="1" applyAlignment="1">
      <alignment horizontal="center" vertical="center"/>
    </xf>
    <xf numFmtId="180" fontId="18" fillId="0" borderId="0" xfId="0" applyNumberFormat="1" applyFont="1" applyFill="1" applyAlignment="1">
      <alignment horizontal="center" vertical="center"/>
    </xf>
    <xf numFmtId="0" fontId="7" fillId="0" borderId="18" xfId="0" applyNumberFormat="1" applyFont="1" applyFill="1" applyBorder="1" applyAlignment="1" applyProtection="1">
      <alignment horizontal="center" vertical="center" wrapText="1"/>
    </xf>
    <xf numFmtId="0" fontId="7" fillId="0" borderId="19" xfId="0" applyNumberFormat="1" applyFont="1" applyFill="1" applyBorder="1" applyAlignment="1" applyProtection="1">
      <alignment horizontal="center" vertical="center" wrapText="1"/>
    </xf>
    <xf numFmtId="0" fontId="7" fillId="0" borderId="20" xfId="0" applyNumberFormat="1" applyFont="1" applyFill="1" applyBorder="1" applyAlignment="1" applyProtection="1">
      <alignment horizontal="center" vertical="center" wrapText="1"/>
    </xf>
    <xf numFmtId="0" fontId="7" fillId="0" borderId="3" xfId="0" applyFont="1" applyFill="1" applyBorder="1" applyAlignment="1">
      <alignment horizontal="center" vertical="center"/>
    </xf>
    <xf numFmtId="0" fontId="7" fillId="0" borderId="0" xfId="0" applyFont="1" applyFill="1" applyAlignment="1">
      <alignment horizontal="center" vertical="center"/>
    </xf>
    <xf numFmtId="0" fontId="7" fillId="0" borderId="6" xfId="0" applyFont="1" applyFill="1" applyBorder="1" applyAlignment="1">
      <alignment horizontal="center" vertical="center"/>
    </xf>
    <xf numFmtId="183" fontId="7" fillId="0" borderId="3" xfId="0" applyNumberFormat="1" applyFont="1" applyFill="1" applyBorder="1" applyAlignment="1" applyProtection="1">
      <alignment horizontal="center" vertical="center"/>
    </xf>
    <xf numFmtId="0" fontId="7" fillId="0" borderId="18" xfId="0" applyNumberFormat="1" applyFont="1" applyFill="1" applyBorder="1" applyAlignment="1" applyProtection="1">
      <alignment horizontal="center" vertical="center"/>
    </xf>
    <xf numFmtId="0" fontId="19" fillId="0" borderId="5" xfId="0" applyFont="1" applyFill="1" applyBorder="1" applyAlignment="1">
      <alignment horizontal="center" vertical="center"/>
    </xf>
    <xf numFmtId="183" fontId="7" fillId="0" borderId="0" xfId="0" applyNumberFormat="1" applyFont="1" applyFill="1" applyBorder="1" applyAlignment="1" applyProtection="1">
      <alignment horizontal="center" vertical="center"/>
    </xf>
    <xf numFmtId="0" fontId="20" fillId="0" borderId="5" xfId="0" applyFont="1" applyFill="1" applyBorder="1" applyAlignment="1">
      <alignment horizontal="center" vertical="center"/>
    </xf>
    <xf numFmtId="0" fontId="7" fillId="0" borderId="19" xfId="0" applyNumberFormat="1" applyFont="1" applyFill="1" applyBorder="1" applyAlignment="1" applyProtection="1">
      <alignment horizontal="center" vertical="center"/>
    </xf>
    <xf numFmtId="0" fontId="20" fillId="0" borderId="7" xfId="0" applyFont="1" applyFill="1" applyBorder="1" applyAlignment="1">
      <alignment horizontal="center" vertical="center"/>
    </xf>
    <xf numFmtId="183" fontId="7" fillId="0" borderId="6" xfId="0" applyNumberFormat="1" applyFont="1" applyFill="1" applyBorder="1" applyAlignment="1" applyProtection="1">
      <alignment horizontal="center" vertical="center"/>
    </xf>
    <xf numFmtId="0" fontId="4" fillId="0" borderId="12" xfId="0" applyNumberFormat="1" applyFont="1" applyFill="1" applyBorder="1" applyAlignment="1" applyProtection="1">
      <alignment horizontal="center" vertical="center" wrapText="1"/>
    </xf>
    <xf numFmtId="0" fontId="7" fillId="0" borderId="12" xfId="0" applyNumberFormat="1" applyFont="1" applyFill="1" applyBorder="1" applyAlignment="1" applyProtection="1">
      <alignment horizontal="center" vertical="center"/>
    </xf>
    <xf numFmtId="0" fontId="9" fillId="0" borderId="12"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vertical="center" wrapText="1"/>
    </xf>
    <xf numFmtId="0" fontId="9" fillId="0" borderId="0" xfId="0" applyNumberFormat="1" applyFont="1" applyFill="1" applyBorder="1" applyAlignment="1" applyProtection="1">
      <alignment horizontal="center" vertical="center"/>
    </xf>
    <xf numFmtId="180" fontId="7" fillId="0" borderId="0" xfId="0" applyNumberFormat="1" applyFont="1" applyFill="1" applyBorder="1" applyAlignment="1">
      <alignment horizontal="center" vertical="center"/>
    </xf>
    <xf numFmtId="0" fontId="7" fillId="0" borderId="3" xfId="0" applyNumberFormat="1" applyFont="1" applyFill="1" applyBorder="1" applyAlignment="1" applyProtection="1">
      <alignment horizontal="center"/>
    </xf>
    <xf numFmtId="0" fontId="7" fillId="0" borderId="0" xfId="0" applyNumberFormat="1" applyFont="1" applyFill="1" applyBorder="1" applyAlignment="1" applyProtection="1">
      <alignment horizontal="center"/>
    </xf>
    <xf numFmtId="0" fontId="7" fillId="0" borderId="6" xfId="0" applyNumberFormat="1" applyFont="1" applyFill="1" applyBorder="1" applyAlignment="1" applyProtection="1">
      <alignment horizontal="center"/>
    </xf>
    <xf numFmtId="180" fontId="7" fillId="0" borderId="10" xfId="0" applyNumberFormat="1" applyFont="1" applyFill="1" applyBorder="1" applyAlignment="1">
      <alignment horizontal="center" vertical="center"/>
    </xf>
    <xf numFmtId="182" fontId="9" fillId="0" borderId="12" xfId="0" applyNumberFormat="1" applyFont="1" applyFill="1" applyBorder="1" applyAlignment="1" applyProtection="1">
      <alignment horizontal="center" vertical="center" wrapText="1"/>
    </xf>
    <xf numFmtId="0" fontId="0" fillId="0" borderId="12" xfId="0" applyBorder="1">
      <alignment vertical="center"/>
    </xf>
    <xf numFmtId="178" fontId="2" fillId="0" borderId="12" xfId="0" applyNumberFormat="1" applyFont="1" applyFill="1" applyBorder="1" applyAlignment="1">
      <alignment horizontal="center" vertical="center"/>
    </xf>
    <xf numFmtId="182" fontId="9" fillId="0" borderId="0" xfId="0" applyNumberFormat="1" applyFont="1" applyFill="1" applyBorder="1" applyAlignment="1" applyProtection="1">
      <alignment horizontal="center" vertical="center" wrapText="1"/>
    </xf>
    <xf numFmtId="0" fontId="7" fillId="0" borderId="10" xfId="0" applyNumberFormat="1" applyFont="1" applyFill="1" applyBorder="1" applyAlignment="1" applyProtection="1">
      <alignment horizontal="center" vertical="center"/>
    </xf>
    <xf numFmtId="180" fontId="7" fillId="0" borderId="10" xfId="0" applyNumberFormat="1" applyFont="1" applyFill="1" applyBorder="1" applyAlignment="1" applyProtection="1">
      <alignment horizontal="center" vertical="center"/>
    </xf>
    <xf numFmtId="182" fontId="7" fillId="0" borderId="10" xfId="0" applyNumberFormat="1" applyFont="1" applyFill="1" applyBorder="1" applyAlignment="1" applyProtection="1">
      <alignment horizontal="center" vertical="center" wrapText="1"/>
    </xf>
    <xf numFmtId="180" fontId="7" fillId="0" borderId="10" xfId="0" applyNumberFormat="1" applyFont="1" applyFill="1" applyBorder="1" applyAlignment="1" applyProtection="1">
      <alignment horizontal="center" vertical="center" wrapText="1"/>
    </xf>
    <xf numFmtId="182" fontId="9" fillId="0" borderId="0" xfId="0" applyNumberFormat="1" applyFont="1" applyFill="1" applyAlignment="1" applyProtection="1">
      <alignment horizontal="center" vertical="center" wrapText="1"/>
    </xf>
    <xf numFmtId="184" fontId="7" fillId="0" borderId="0" xfId="0" applyNumberFormat="1" applyFont="1" applyFill="1" applyAlignment="1" applyProtection="1">
      <alignment horizontal="center" vertical="center" wrapText="1"/>
    </xf>
    <xf numFmtId="0" fontId="1" fillId="0" borderId="0" xfId="0" applyFont="1" applyFill="1" applyAlignment="1">
      <alignment horizontal="center" vertical="center"/>
    </xf>
    <xf numFmtId="180" fontId="12" fillId="0" borderId="10" xfId="0" applyNumberFormat="1" applyFont="1" applyFill="1" applyBorder="1" applyAlignment="1">
      <alignment horizontal="center" vertical="center"/>
    </xf>
    <xf numFmtId="180" fontId="17" fillId="0" borderId="10" xfId="0" applyNumberFormat="1" applyFont="1" applyFill="1" applyBorder="1" applyAlignment="1" applyProtection="1">
      <alignment horizontal="center" vertical="center"/>
    </xf>
    <xf numFmtId="0" fontId="21" fillId="0" borderId="0" xfId="0" applyNumberFormat="1" applyFont="1" applyFill="1" applyBorder="1" applyAlignment="1" applyProtection="1">
      <alignment vertical="center"/>
    </xf>
    <xf numFmtId="0" fontId="21" fillId="0" borderId="0" xfId="0" applyNumberFormat="1" applyFont="1" applyFill="1" applyBorder="1" applyAlignment="1" applyProtection="1">
      <alignment horizontal="center" vertical="center"/>
    </xf>
    <xf numFmtId="180" fontId="18" fillId="0" borderId="3" xfId="0" applyNumberFormat="1" applyFont="1" applyFill="1" applyBorder="1" applyAlignment="1">
      <alignment horizontal="center" vertical="center"/>
    </xf>
    <xf numFmtId="0" fontId="0" fillId="0" borderId="0" xfId="0" applyFont="1" applyAlignment="1">
      <alignment horizontal="center" vertical="center"/>
    </xf>
    <xf numFmtId="180" fontId="18" fillId="0" borderId="10" xfId="0" applyNumberFormat="1" applyFont="1" applyBorder="1" applyAlignment="1">
      <alignment horizontal="center" vertical="center"/>
    </xf>
    <xf numFmtId="0" fontId="1" fillId="0" borderId="0" xfId="0" applyFont="1" applyFill="1" applyBorder="1" applyAlignment="1">
      <alignment horizontal="center" vertical="center"/>
    </xf>
    <xf numFmtId="0" fontId="22" fillId="0" borderId="0" xfId="0" applyNumberFormat="1" applyFont="1" applyFill="1" applyBorder="1" applyAlignment="1" applyProtection="1">
      <alignment vertical="center" wrapText="1"/>
    </xf>
    <xf numFmtId="0" fontId="22" fillId="0" borderId="0" xfId="0" applyNumberFormat="1" applyFont="1" applyFill="1" applyBorder="1" applyAlignment="1" applyProtection="1">
      <alignment horizontal="center" vertical="center"/>
    </xf>
    <xf numFmtId="183" fontId="17" fillId="0" borderId="0" xfId="0" applyNumberFormat="1" applyFont="1" applyFill="1" applyBorder="1" applyAlignment="1" applyProtection="1">
      <alignment horizontal="center" vertical="center"/>
    </xf>
    <xf numFmtId="0" fontId="22" fillId="0" borderId="0" xfId="0" applyNumberFormat="1" applyFont="1" applyFill="1" applyBorder="1" applyAlignment="1" applyProtection="1">
      <alignment horizontal="center" vertical="center" wrapText="1"/>
    </xf>
    <xf numFmtId="0" fontId="23"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center" vertical="center"/>
    </xf>
    <xf numFmtId="184" fontId="7" fillId="0" borderId="0" xfId="0" applyNumberFormat="1" applyFont="1" applyFill="1" applyBorder="1" applyAlignment="1" applyProtection="1">
      <alignment horizontal="center" vertical="center" wrapText="1"/>
    </xf>
    <xf numFmtId="0" fontId="24" fillId="0" borderId="0" xfId="0" applyFont="1" applyBorder="1" applyAlignment="1">
      <alignment horizontal="center" vertical="center"/>
    </xf>
    <xf numFmtId="179" fontId="2" fillId="0" borderId="0" xfId="0" applyNumberFormat="1" applyFont="1" applyFill="1" applyBorder="1" applyAlignment="1">
      <alignment horizontal="center" vertical="center"/>
    </xf>
    <xf numFmtId="0" fontId="25" fillId="0" borderId="21" xfId="0" applyFont="1" applyBorder="1" applyAlignment="1">
      <alignment horizontal="center" vertical="center"/>
    </xf>
    <xf numFmtId="0" fontId="26" fillId="0" borderId="21" xfId="0" applyFont="1" applyBorder="1" applyAlignment="1">
      <alignment horizontal="center" vertical="center"/>
    </xf>
    <xf numFmtId="0" fontId="27" fillId="0" borderId="21" xfId="0" applyFont="1" applyBorder="1" applyAlignment="1">
      <alignment horizontal="center" vertical="center"/>
    </xf>
    <xf numFmtId="0" fontId="28" fillId="0" borderId="0" xfId="0" applyFont="1" applyAlignment="1">
      <alignment horizontal="center" vertical="center" wrapText="1"/>
    </xf>
    <xf numFmtId="0" fontId="28" fillId="0" borderId="0" xfId="0" applyFont="1" applyAlignment="1">
      <alignment horizontal="center" vertical="center"/>
    </xf>
    <xf numFmtId="58" fontId="28" fillId="0" borderId="0" xfId="0" applyNumberFormat="1" applyFont="1" applyAlignment="1">
      <alignment horizontal="center" vertical="center"/>
    </xf>
    <xf numFmtId="0" fontId="28" fillId="0" borderId="6" xfId="0" applyFont="1" applyBorder="1" applyAlignment="1">
      <alignment horizontal="center" vertical="center" wrapText="1"/>
    </xf>
    <xf numFmtId="0" fontId="28" fillId="0" borderId="0" xfId="0" applyFont="1" applyFill="1" applyBorder="1" applyAlignment="1">
      <alignment horizontal="center" vertical="center" wrapText="1"/>
    </xf>
    <xf numFmtId="0" fontId="28" fillId="0" borderId="10" xfId="0" applyFont="1" applyBorder="1" applyAlignment="1">
      <alignment horizontal="center" vertical="center" wrapText="1"/>
    </xf>
    <xf numFmtId="0" fontId="28" fillId="0" borderId="10" xfId="0" applyFont="1" applyBorder="1" applyAlignment="1">
      <alignment horizontal="center" vertical="center"/>
    </xf>
    <xf numFmtId="0" fontId="29" fillId="0" borderId="12" xfId="0" applyFont="1" applyBorder="1" applyAlignment="1">
      <alignment horizontal="left" vertical="center" wrapText="1"/>
    </xf>
    <xf numFmtId="0" fontId="29" fillId="0" borderId="0" xfId="0" applyFont="1" applyBorder="1" applyAlignment="1">
      <alignment horizontal="left" vertical="center" wrapText="1"/>
    </xf>
    <xf numFmtId="58" fontId="28" fillId="0" borderId="0" xfId="0" applyNumberFormat="1" applyFont="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19"/>
  <sheetViews>
    <sheetView zoomScale="130" zoomScaleNormal="130" workbookViewId="0">
      <selection activeCell="C23" sqref="C23"/>
    </sheetView>
  </sheetViews>
  <sheetFormatPr defaultColWidth="8.75454545454545" defaultRowHeight="14"/>
  <cols>
    <col min="1" max="1" width="6.5" customWidth="1"/>
    <col min="2" max="2" width="12.1272727272727" customWidth="1"/>
  </cols>
  <sheetData>
    <row r="2" ht="14.75"/>
    <row r="3" ht="16.5" spans="2:11">
      <c r="B3" s="143" t="s">
        <v>0</v>
      </c>
      <c r="C3" s="144" t="s">
        <v>1</v>
      </c>
      <c r="D3" s="144" t="s">
        <v>2</v>
      </c>
      <c r="E3" s="144" t="s">
        <v>3</v>
      </c>
      <c r="F3" s="144" t="s">
        <v>4</v>
      </c>
      <c r="G3" s="144" t="s">
        <v>5</v>
      </c>
      <c r="H3" s="145" t="s">
        <v>6</v>
      </c>
      <c r="I3" s="145" t="s">
        <v>7</v>
      </c>
      <c r="J3" s="145" t="s">
        <v>8</v>
      </c>
      <c r="K3" s="145" t="s">
        <v>9</v>
      </c>
    </row>
    <row r="4" spans="2:13">
      <c r="B4" s="146" t="s">
        <v>10</v>
      </c>
      <c r="C4" s="147">
        <v>350</v>
      </c>
      <c r="D4" s="147" t="s">
        <v>11</v>
      </c>
      <c r="E4" s="147" t="s">
        <v>12</v>
      </c>
      <c r="F4" s="147" t="s">
        <v>13</v>
      </c>
      <c r="G4" s="147">
        <v>3</v>
      </c>
      <c r="H4" s="147">
        <v>1</v>
      </c>
      <c r="I4" s="147" t="s">
        <v>14</v>
      </c>
      <c r="J4" s="147" t="s">
        <v>15</v>
      </c>
      <c r="K4" s="147">
        <v>0.5</v>
      </c>
      <c r="M4" s="147"/>
    </row>
    <row r="5" spans="2:13">
      <c r="B5" s="147" t="s">
        <v>16</v>
      </c>
      <c r="C5" s="147" t="s">
        <v>17</v>
      </c>
      <c r="D5" s="147" t="s">
        <v>18</v>
      </c>
      <c r="E5" s="147" t="s">
        <v>19</v>
      </c>
      <c r="F5" s="147">
        <v>1.9</v>
      </c>
      <c r="G5" s="147">
        <v>4</v>
      </c>
      <c r="H5" s="147">
        <v>1</v>
      </c>
      <c r="I5" s="147" t="s">
        <v>20</v>
      </c>
      <c r="J5" s="147" t="s">
        <v>21</v>
      </c>
      <c r="K5" s="147">
        <v>0.5</v>
      </c>
      <c r="M5" s="147"/>
    </row>
    <row r="6" ht="14.25" customHeight="1" spans="2:13">
      <c r="B6" s="146" t="s">
        <v>22</v>
      </c>
      <c r="C6" s="147">
        <v>431</v>
      </c>
      <c r="D6" s="147">
        <v>42.62</v>
      </c>
      <c r="E6" s="147">
        <v>133</v>
      </c>
      <c r="F6" s="147">
        <v>4.5</v>
      </c>
      <c r="G6" s="147">
        <v>3</v>
      </c>
      <c r="H6" s="147" t="s">
        <v>23</v>
      </c>
      <c r="I6" s="147" t="s">
        <v>24</v>
      </c>
      <c r="J6" s="147" t="s">
        <v>25</v>
      </c>
      <c r="K6" s="147">
        <v>0.5</v>
      </c>
      <c r="M6" s="147"/>
    </row>
    <row r="7" spans="2:13">
      <c r="B7" s="147" t="s">
        <v>26</v>
      </c>
      <c r="C7" s="147">
        <v>310</v>
      </c>
      <c r="D7" s="147">
        <v>28.54</v>
      </c>
      <c r="E7" s="147">
        <v>140</v>
      </c>
      <c r="F7" s="147">
        <v>4</v>
      </c>
      <c r="G7" s="147">
        <v>3</v>
      </c>
      <c r="H7" s="147" t="s">
        <v>27</v>
      </c>
      <c r="I7" s="147" t="s">
        <v>28</v>
      </c>
      <c r="J7" s="147" t="s">
        <v>29</v>
      </c>
      <c r="K7" s="147">
        <v>0.5</v>
      </c>
      <c r="M7" s="147"/>
    </row>
    <row r="8" spans="2:13">
      <c r="B8" s="147" t="s">
        <v>30</v>
      </c>
      <c r="C8" s="147">
        <v>397.2</v>
      </c>
      <c r="D8" s="147">
        <v>51.43</v>
      </c>
      <c r="E8" s="147">
        <v>159</v>
      </c>
      <c r="F8" s="147">
        <v>4.64</v>
      </c>
      <c r="G8" s="147">
        <v>3</v>
      </c>
      <c r="H8" s="147" t="s">
        <v>27</v>
      </c>
      <c r="I8" s="147" t="s">
        <v>27</v>
      </c>
      <c r="J8" s="147" t="s">
        <v>31</v>
      </c>
      <c r="K8" s="147" t="s">
        <v>32</v>
      </c>
      <c r="M8" s="147"/>
    </row>
    <row r="9" ht="15" customHeight="1" spans="2:13">
      <c r="B9" s="146" t="s">
        <v>33</v>
      </c>
      <c r="C9" s="147">
        <v>345</v>
      </c>
      <c r="D9" s="147">
        <v>30.88</v>
      </c>
      <c r="E9" s="147" t="s">
        <v>34</v>
      </c>
      <c r="F9" s="147" t="s">
        <v>35</v>
      </c>
      <c r="G9" s="155" t="s">
        <v>36</v>
      </c>
      <c r="H9" s="147" t="s">
        <v>37</v>
      </c>
      <c r="I9" s="147" t="s">
        <v>38</v>
      </c>
      <c r="J9" s="147" t="s">
        <v>39</v>
      </c>
      <c r="K9" s="147">
        <v>0.5</v>
      </c>
      <c r="M9" s="147"/>
    </row>
    <row r="10" ht="15.75" customHeight="1" spans="2:13">
      <c r="B10" s="146" t="s">
        <v>40</v>
      </c>
      <c r="C10" s="147">
        <v>310</v>
      </c>
      <c r="D10" s="147">
        <v>28.54</v>
      </c>
      <c r="E10" s="147">
        <v>140</v>
      </c>
      <c r="F10" s="147">
        <v>4</v>
      </c>
      <c r="G10" s="147">
        <v>3</v>
      </c>
      <c r="H10" s="147">
        <v>1</v>
      </c>
      <c r="I10" s="147">
        <v>0.014</v>
      </c>
      <c r="J10" s="147" t="s">
        <v>41</v>
      </c>
      <c r="K10" s="147">
        <v>0.5</v>
      </c>
      <c r="M10" s="147"/>
    </row>
    <row r="11" ht="15" customHeight="1" spans="2:13">
      <c r="B11" s="146" t="s">
        <v>42</v>
      </c>
      <c r="C11" s="147">
        <v>340.26</v>
      </c>
      <c r="D11" s="147">
        <v>46.39</v>
      </c>
      <c r="E11" s="147">
        <v>114.6</v>
      </c>
      <c r="F11" s="147">
        <v>3.7</v>
      </c>
      <c r="G11" s="147">
        <v>3</v>
      </c>
      <c r="H11" s="147" t="s">
        <v>43</v>
      </c>
      <c r="I11" s="147">
        <v>1</v>
      </c>
      <c r="J11" s="147" t="s">
        <v>44</v>
      </c>
      <c r="K11" s="147" t="s">
        <v>45</v>
      </c>
      <c r="M11" s="147"/>
    </row>
    <row r="12" spans="2:13">
      <c r="B12" s="149" t="s">
        <v>46</v>
      </c>
      <c r="C12" s="149">
        <v>345</v>
      </c>
      <c r="D12" s="149">
        <v>30.88</v>
      </c>
      <c r="E12" s="149" t="s">
        <v>47</v>
      </c>
      <c r="F12" s="149" t="s">
        <v>48</v>
      </c>
      <c r="G12" s="149">
        <v>15</v>
      </c>
      <c r="H12" s="149" t="s">
        <v>37</v>
      </c>
      <c r="I12" s="149" t="s">
        <v>49</v>
      </c>
      <c r="J12" s="149">
        <v>0.1</v>
      </c>
      <c r="K12" s="149" t="s">
        <v>50</v>
      </c>
      <c r="M12" s="147"/>
    </row>
    <row r="13" spans="2:11">
      <c r="B13" s="150" t="s">
        <v>51</v>
      </c>
      <c r="C13" s="147">
        <v>259.6</v>
      </c>
      <c r="D13" s="147">
        <v>28.54</v>
      </c>
      <c r="E13" s="147">
        <v>111.64</v>
      </c>
      <c r="F13" s="147">
        <v>1.9</v>
      </c>
      <c r="G13" s="147">
        <v>3</v>
      </c>
      <c r="H13" s="147">
        <v>0</v>
      </c>
      <c r="I13" s="147">
        <v>0</v>
      </c>
      <c r="J13" s="147">
        <v>0</v>
      </c>
      <c r="K13" s="147">
        <v>0.05</v>
      </c>
    </row>
    <row r="14" ht="14.75" spans="2:11">
      <c r="B14" s="151" t="s">
        <v>52</v>
      </c>
      <c r="C14" s="152">
        <v>431</v>
      </c>
      <c r="D14" s="152">
        <v>67.9</v>
      </c>
      <c r="E14" s="152">
        <v>219</v>
      </c>
      <c r="F14" s="152">
        <v>4.74</v>
      </c>
      <c r="G14" s="152">
        <v>15</v>
      </c>
      <c r="H14" s="152">
        <v>1</v>
      </c>
      <c r="I14" s="152">
        <v>1</v>
      </c>
      <c r="J14" s="152">
        <v>0.667</v>
      </c>
      <c r="K14" s="152">
        <v>0.5</v>
      </c>
    </row>
    <row r="15" ht="14.25" customHeight="1" spans="2:11">
      <c r="B15" s="153" t="s">
        <v>53</v>
      </c>
      <c r="C15" s="153"/>
      <c r="D15" s="153"/>
      <c r="E15" s="153"/>
      <c r="F15" s="153"/>
      <c r="G15" s="153"/>
      <c r="H15" s="153"/>
      <c r="I15" s="153"/>
      <c r="J15" s="153"/>
      <c r="K15" s="153"/>
    </row>
    <row r="16" spans="2:11">
      <c r="B16" s="154"/>
      <c r="C16" s="154"/>
      <c r="D16" s="154"/>
      <c r="E16" s="154"/>
      <c r="F16" s="154"/>
      <c r="G16" s="154"/>
      <c r="H16" s="154"/>
      <c r="I16" s="154"/>
      <c r="J16" s="154"/>
      <c r="K16" s="154"/>
    </row>
    <row r="17" spans="2:11">
      <c r="B17" s="154"/>
      <c r="C17" s="154"/>
      <c r="D17" s="154"/>
      <c r="E17" s="154"/>
      <c r="F17" s="154"/>
      <c r="G17" s="154"/>
      <c r="H17" s="154"/>
      <c r="I17" s="154"/>
      <c r="J17" s="154"/>
      <c r="K17" s="154"/>
    </row>
    <row r="18" spans="2:11">
      <c r="B18" s="154"/>
      <c r="C18" s="154"/>
      <c r="D18" s="154"/>
      <c r="E18" s="154"/>
      <c r="F18" s="154"/>
      <c r="G18" s="154"/>
      <c r="H18" s="154"/>
      <c r="I18" s="154"/>
      <c r="J18" s="154"/>
      <c r="K18" s="154"/>
    </row>
    <row r="19" spans="2:11">
      <c r="B19" s="154"/>
      <c r="C19" s="154"/>
      <c r="D19" s="154"/>
      <c r="E19" s="154"/>
      <c r="F19" s="154"/>
      <c r="G19" s="154"/>
      <c r="H19" s="154"/>
      <c r="I19" s="154"/>
      <c r="J19" s="154"/>
      <c r="K19" s="154"/>
    </row>
  </sheetData>
  <mergeCells count="1">
    <mergeCell ref="B15:K19"/>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72"/>
  <sheetViews>
    <sheetView tabSelected="1" zoomScale="130" zoomScaleNormal="130" topLeftCell="G1" workbookViewId="0">
      <selection activeCell="K120" sqref="K100:K120"/>
    </sheetView>
  </sheetViews>
  <sheetFormatPr defaultColWidth="9" defaultRowHeight="14"/>
  <cols>
    <col min="1" max="1" width="15.6272727272727" style="2" customWidth="1"/>
    <col min="2" max="2" width="22.2545454545455" style="2" customWidth="1"/>
    <col min="3" max="3" width="9" style="2"/>
    <col min="4" max="4" width="12.1272727272727" style="2" customWidth="1"/>
    <col min="5" max="7" width="9" style="2"/>
    <col min="8" max="8" width="10.1272727272727" style="2" customWidth="1"/>
    <col min="9" max="9" width="14.7545454545455" style="2" customWidth="1"/>
    <col min="10" max="10" width="10" style="2" customWidth="1"/>
    <col min="11" max="11" width="14.3727272727273" style="2" customWidth="1"/>
    <col min="12" max="12" width="14" style="2" customWidth="1"/>
    <col min="13" max="13" width="14"/>
    <col min="14" max="14" width="12.6272727272727" style="7" customWidth="1"/>
    <col min="15" max="15" width="12.6272727272727" style="8" customWidth="1"/>
    <col min="16" max="16" width="10.5" style="6" customWidth="1"/>
    <col min="17" max="17" width="14" style="2"/>
    <col min="18" max="18" width="10.7545454545455" style="2" customWidth="1"/>
    <col min="19" max="19" width="15.2545454545455" style="9" customWidth="1"/>
    <col min="20" max="20" width="11.3727272727273" style="2" customWidth="1"/>
    <col min="21" max="22" width="11.6272727272727" style="10" customWidth="1"/>
    <col min="23" max="23" width="11.5" style="2" customWidth="1"/>
    <col min="24" max="26" width="11.6272727272727" style="10" customWidth="1"/>
    <col min="27" max="27" width="14.5" style="10" customWidth="1"/>
    <col min="28" max="28" width="15.2545454545455"/>
    <col min="29" max="29" width="13.6272727272727" style="6" customWidth="1"/>
    <col min="30" max="30" width="12.7545454545455" style="10" customWidth="1"/>
    <col min="31" max="31" width="12.5" customWidth="1"/>
    <col min="32" max="32" width="10.2545454545455" customWidth="1"/>
    <col min="33" max="33" width="15.2545454545455"/>
    <col min="34" max="34" width="13.8727272727273" customWidth="1"/>
    <col min="35" max="35" width="12" style="6" customWidth="1"/>
    <col min="36" max="36" width="10.7545454545455" style="6" customWidth="1"/>
    <col min="37" max="37" width="12.8727272727273" customWidth="1"/>
    <col min="38" max="38" width="13.5" customWidth="1"/>
    <col min="39" max="39" width="10.5" style="9" customWidth="1"/>
    <col min="40" max="40" width="15.2545454545455"/>
    <col min="41" max="41" width="13.5" customWidth="1"/>
    <col min="42" max="42" width="11.1272727272727" customWidth="1"/>
    <col min="45" max="45" width="15.2545454545455"/>
    <col min="46" max="46" width="14" style="9"/>
    <col min="47" max="47" width="14" style="11"/>
    <col min="48" max="48" width="13.8727272727273" style="5" customWidth="1"/>
    <col min="49" max="51" width="14" style="2"/>
    <col min="52" max="53" width="12.8181818181818" style="2"/>
    <col min="54" max="55" width="14" style="2"/>
    <col min="56" max="16384" width="9" style="2"/>
  </cols>
  <sheetData>
    <row r="1" ht="19.5" spans="1:35">
      <c r="A1" s="12" t="s">
        <v>54</v>
      </c>
      <c r="B1" s="13" t="s">
        <v>55</v>
      </c>
      <c r="D1" s="14" t="s">
        <v>56</v>
      </c>
      <c r="E1" s="13" t="s">
        <v>57</v>
      </c>
      <c r="J1" s="12" t="s">
        <v>58</v>
      </c>
      <c r="K1" s="13" t="s">
        <v>59</v>
      </c>
      <c r="M1" s="2"/>
      <c r="N1" s="2"/>
      <c r="O1" s="4"/>
      <c r="P1" s="38" t="s">
        <v>60</v>
      </c>
      <c r="Q1" s="13" t="s">
        <v>61</v>
      </c>
      <c r="U1" s="12" t="s">
        <v>62</v>
      </c>
      <c r="V1" s="13" t="s">
        <v>63</v>
      </c>
      <c r="X1" s="2"/>
      <c r="Y1" s="12"/>
      <c r="Z1" s="13"/>
      <c r="AI1"/>
    </row>
    <row r="2" ht="19.5" spans="1:35">
      <c r="A2" s="12" t="s">
        <v>64</v>
      </c>
      <c r="B2" s="13" t="s">
        <v>65</v>
      </c>
      <c r="D2" s="15" t="s">
        <v>66</v>
      </c>
      <c r="E2" s="13" t="s">
        <v>67</v>
      </c>
      <c r="J2" s="39" t="s">
        <v>68</v>
      </c>
      <c r="K2" s="13" t="s">
        <v>69</v>
      </c>
      <c r="M2" s="2"/>
      <c r="N2" s="2"/>
      <c r="O2" s="4"/>
      <c r="P2" s="12" t="s">
        <v>70</v>
      </c>
      <c r="Q2" s="13" t="s">
        <v>71</v>
      </c>
      <c r="U2" s="55" t="s">
        <v>72</v>
      </c>
      <c r="V2" s="13" t="s">
        <v>73</v>
      </c>
      <c r="X2" s="2"/>
      <c r="Y2" s="39"/>
      <c r="Z2" s="13"/>
      <c r="AI2"/>
    </row>
    <row r="3" ht="19.5" spans="1:35">
      <c r="A3" s="12" t="s">
        <v>74</v>
      </c>
      <c r="B3" s="13" t="s">
        <v>75</v>
      </c>
      <c r="D3" s="14" t="s">
        <v>76</v>
      </c>
      <c r="E3" s="13" t="s">
        <v>77</v>
      </c>
      <c r="P3" s="12" t="s">
        <v>78</v>
      </c>
      <c r="Q3" s="13" t="s">
        <v>79</v>
      </c>
      <c r="U3" s="12"/>
      <c r="V3" s="13"/>
      <c r="X3" s="2"/>
      <c r="Y3" s="2"/>
      <c r="Z3" s="2"/>
      <c r="AI3"/>
    </row>
    <row r="4" ht="19.5" spans="1:26">
      <c r="A4" s="12" t="s">
        <v>80</v>
      </c>
      <c r="B4" s="13" t="s">
        <v>81</v>
      </c>
      <c r="D4" s="14" t="s">
        <v>82</v>
      </c>
      <c r="E4" s="13" t="s">
        <v>83</v>
      </c>
      <c r="M4" s="2"/>
      <c r="N4" s="2"/>
      <c r="O4" s="2"/>
      <c r="P4" s="15" t="s">
        <v>84</v>
      </c>
      <c r="Q4" s="13" t="s">
        <v>85</v>
      </c>
      <c r="U4" s="14"/>
      <c r="V4" s="13"/>
      <c r="X4" s="2"/>
      <c r="Y4" s="2"/>
      <c r="Z4" s="2"/>
    </row>
    <row r="5" ht="20.25" spans="1:26">
      <c r="A5" s="12" t="s">
        <v>86</v>
      </c>
      <c r="B5" s="13" t="s">
        <v>87</v>
      </c>
      <c r="M5" s="2"/>
      <c r="N5" s="2"/>
      <c r="O5" s="2"/>
      <c r="P5" s="12" t="s">
        <v>88</v>
      </c>
      <c r="Q5" s="13" t="s">
        <v>89</v>
      </c>
      <c r="R5" s="9"/>
      <c r="U5" s="14"/>
      <c r="V5" s="13"/>
      <c r="X5" s="2"/>
      <c r="Y5" s="2"/>
      <c r="Z5" s="2"/>
    </row>
    <row r="6" ht="20.1" customHeight="1" spans="1:51">
      <c r="A6" s="16"/>
      <c r="B6" s="13"/>
      <c r="D6" s="16"/>
      <c r="E6" s="13"/>
      <c r="M6" s="40" t="s">
        <v>90</v>
      </c>
      <c r="N6" s="40">
        <f>STDEVPA(N9:N125)/N7</f>
        <v>0.0892710598589226</v>
      </c>
      <c r="AX6" s="11"/>
      <c r="AY6" s="11"/>
    </row>
    <row r="7" ht="21" spans="13:51">
      <c r="M7" s="40" t="s">
        <v>91</v>
      </c>
      <c r="N7" s="40">
        <f>AVERAGE(N9:N125)</f>
        <v>0.992767717595004</v>
      </c>
      <c r="Q7" s="6"/>
      <c r="R7" s="6"/>
      <c r="T7" s="6"/>
      <c r="W7" s="6"/>
      <c r="AB7" s="9"/>
      <c r="AD7" s="64" t="s">
        <v>92</v>
      </c>
      <c r="AE7" s="65"/>
      <c r="AF7" s="65"/>
      <c r="AG7" s="65"/>
      <c r="AH7" s="65"/>
      <c r="AI7" s="65"/>
      <c r="AJ7" s="65"/>
      <c r="AK7" s="75"/>
      <c r="AL7" s="76" t="s">
        <v>93</v>
      </c>
      <c r="AM7" s="77"/>
      <c r="AN7" s="77"/>
      <c r="AO7" s="77"/>
      <c r="AP7" s="77"/>
      <c r="AQ7" s="77"/>
      <c r="AR7" s="77"/>
      <c r="AS7" s="83"/>
      <c r="AV7" s="11"/>
      <c r="AX7" s="11"/>
      <c r="AY7" s="11"/>
    </row>
    <row r="8" ht="18.75" customHeight="1" spans="1:51">
      <c r="A8" s="17" t="s">
        <v>0</v>
      </c>
      <c r="B8" s="18" t="s">
        <v>94</v>
      </c>
      <c r="C8" s="19" t="s">
        <v>54</v>
      </c>
      <c r="D8" s="19" t="s">
        <v>64</v>
      </c>
      <c r="E8" s="19" t="s">
        <v>74</v>
      </c>
      <c r="F8" s="19" t="s">
        <v>80</v>
      </c>
      <c r="G8" s="19" t="s">
        <v>86</v>
      </c>
      <c r="H8" s="20" t="s">
        <v>56</v>
      </c>
      <c r="I8" s="41" t="s">
        <v>95</v>
      </c>
      <c r="J8" s="20" t="s">
        <v>76</v>
      </c>
      <c r="K8" s="20" t="s">
        <v>82</v>
      </c>
      <c r="L8" s="19" t="s">
        <v>58</v>
      </c>
      <c r="M8" s="42" t="s">
        <v>68</v>
      </c>
      <c r="N8" s="43" t="s">
        <v>96</v>
      </c>
      <c r="O8" s="44"/>
      <c r="P8" s="45" t="s">
        <v>60</v>
      </c>
      <c r="Q8" s="19" t="s">
        <v>70</v>
      </c>
      <c r="R8" s="19" t="s">
        <v>78</v>
      </c>
      <c r="S8" s="56" t="s">
        <v>97</v>
      </c>
      <c r="T8" s="19" t="s">
        <v>88</v>
      </c>
      <c r="U8" s="19" t="s">
        <v>62</v>
      </c>
      <c r="V8" s="19" t="s">
        <v>98</v>
      </c>
      <c r="W8" s="56" t="s">
        <v>72</v>
      </c>
      <c r="X8" s="19" t="s">
        <v>99</v>
      </c>
      <c r="Y8" s="19" t="s">
        <v>100</v>
      </c>
      <c r="Z8" s="66" t="s">
        <v>101</v>
      </c>
      <c r="AA8" s="66" t="s">
        <v>102</v>
      </c>
      <c r="AB8" s="66" t="s">
        <v>103</v>
      </c>
      <c r="AC8" s="66" t="s">
        <v>104</v>
      </c>
      <c r="AD8" s="66" t="s">
        <v>105</v>
      </c>
      <c r="AE8" s="67" t="s">
        <v>106</v>
      </c>
      <c r="AF8" s="68" t="s">
        <v>107</v>
      </c>
      <c r="AG8" s="78" t="s">
        <v>108</v>
      </c>
      <c r="AH8" s="78" t="s">
        <v>109</v>
      </c>
      <c r="AI8" s="67" t="s">
        <v>110</v>
      </c>
      <c r="AJ8" s="79" t="s">
        <v>111</v>
      </c>
      <c r="AK8" s="78" t="s">
        <v>112</v>
      </c>
      <c r="AL8" s="80" t="s">
        <v>113</v>
      </c>
      <c r="AM8" s="67" t="s">
        <v>114</v>
      </c>
      <c r="AN8" s="68" t="s">
        <v>115</v>
      </c>
      <c r="AO8" s="78" t="s">
        <v>116</v>
      </c>
      <c r="AP8" s="78" t="s">
        <v>117</v>
      </c>
      <c r="AQ8" s="67" t="s">
        <v>118</v>
      </c>
      <c r="AR8" s="79" t="s">
        <v>119</v>
      </c>
      <c r="AS8" s="78" t="s">
        <v>120</v>
      </c>
      <c r="AT8" s="84"/>
      <c r="AV8" s="85"/>
      <c r="AX8" s="11"/>
      <c r="AY8" s="11"/>
    </row>
    <row r="9" ht="15.5" spans="1:51">
      <c r="A9" s="21" t="s">
        <v>121</v>
      </c>
      <c r="B9" s="22" t="s">
        <v>122</v>
      </c>
      <c r="C9" s="23">
        <v>350</v>
      </c>
      <c r="D9" s="24">
        <v>42.5314565982981</v>
      </c>
      <c r="E9" s="23">
        <v>219</v>
      </c>
      <c r="F9" s="23">
        <v>4.78</v>
      </c>
      <c r="G9" s="23">
        <v>650</v>
      </c>
      <c r="H9" s="23">
        <v>0</v>
      </c>
      <c r="I9" s="23">
        <v>0</v>
      </c>
      <c r="J9" s="23">
        <v>0</v>
      </c>
      <c r="K9" s="23">
        <v>0</v>
      </c>
      <c r="L9" s="46">
        <v>3400</v>
      </c>
      <c r="M9" s="47">
        <f>(AK9*AB9/AC9+AS9*AA9/AC9)*P9</f>
        <v>3082.05715039569</v>
      </c>
      <c r="N9" s="48">
        <f t="shared" ref="N9:N72" si="0">M9/L9</f>
        <v>0.906487397175202</v>
      </c>
      <c r="O9" s="49"/>
      <c r="P9" s="50">
        <f t="shared" ref="P9:P72" si="1">1+1.5*H9/F9*J9/G9*(0.5-K9/G9)</f>
        <v>1</v>
      </c>
      <c r="Q9" s="27">
        <f t="shared" ref="Q9:Q72" si="2">E9-H9*2</f>
        <v>219</v>
      </c>
      <c r="R9" s="27">
        <f t="shared" ref="R9:R72" si="3">F9-H9</f>
        <v>4.78</v>
      </c>
      <c r="S9" s="57">
        <f t="shared" ref="S9:S72" si="4">I9/180*PI()</f>
        <v>0</v>
      </c>
      <c r="T9" s="58">
        <f t="shared" ref="T9:T72" si="5">E9/2-F9</f>
        <v>104.72</v>
      </c>
      <c r="U9" s="48">
        <f t="shared" ref="U9:U72" si="6">0.84*PI()*((T9+F9)*F9)^0.5</f>
        <v>60.3740300599814</v>
      </c>
      <c r="V9" s="48">
        <f>MIN((PI()-S9/2)*T9,U9)</f>
        <v>60.3740300599814</v>
      </c>
      <c r="W9" s="59">
        <f t="shared" ref="W9:W72" si="7">MIN(S9/2+U9/T9,PI())</f>
        <v>0.576528170931832</v>
      </c>
      <c r="X9" s="48">
        <f t="shared" ref="X9:X72" si="8">IF(J9/4&lt;=2*T9,J9/4,2*T9)</f>
        <v>0</v>
      </c>
      <c r="Y9" s="48">
        <f t="shared" ref="Y9:Y72" si="9">T9*(1-COS(W9)/2)</f>
        <v>60.8234572922031</v>
      </c>
      <c r="Z9" s="48">
        <f>IF(X9&lt;T9,0,U9/X9*(X9-T9))</f>
        <v>0</v>
      </c>
      <c r="AA9" s="48">
        <f>IF(X9&lt;=Y9,X9*V9*(1-X9/3/T9)+S9*X9*(T9-X9/2)+X9^2/U9^2*(PI()-2*Z9/3/T9)*Z9^2,(W9-SIN(W9)*COS(W9)/3)*T9^2)</f>
        <v>0</v>
      </c>
      <c r="AB9" s="69">
        <f>PI()*T9^2-AA9</f>
        <v>34451.5796586604</v>
      </c>
      <c r="AC9" s="70">
        <f>PI()*T9^2</f>
        <v>34451.5796586604</v>
      </c>
      <c r="AD9" s="71">
        <f>PI()*E9^2/4-AC9</f>
        <v>3216.90165604462</v>
      </c>
      <c r="AE9" s="71">
        <f t="shared" ref="AE9:AE72" si="10">C9*AD9/D9/AC9</f>
        <v>0.768398365463668</v>
      </c>
      <c r="AF9" s="71">
        <f t="shared" ref="AF9:AF72" si="11">(1.14+1.02*AE9)*D9</f>
        <v>81.8205842875995</v>
      </c>
      <c r="AG9" s="71">
        <f t="shared" ref="AG9:AG72" si="12">PI()^2*(200000*PI()*(E9^4-(E9-2*F9)^4)/64+0.6*22000*((D9+8)/10)^0.3*PI()*(E9-2*F9)^4/64)/G9^2/1000</f>
        <v>133605.97656328</v>
      </c>
      <c r="AH9" s="71">
        <f t="shared" ref="AH9:AH72" si="13">(C9*AD9+AC9*D9)/1000</f>
        <v>2591.19144461074</v>
      </c>
      <c r="AI9" s="71">
        <f>(AH9/AG9)^0.5</f>
        <v>0.139263340277402</v>
      </c>
      <c r="AJ9" s="81">
        <f>IF(1.2*EXP(-0.7*AI9)&lt;=1,1.2*EXP(-0.7*AI9),1)</f>
        <v>1</v>
      </c>
      <c r="AK9" s="82">
        <f>AJ9*AF9*(AC9+AD9)/1000</f>
        <v>3082.05715039569</v>
      </c>
      <c r="AL9" s="71">
        <f>PI()*Q9^2/4-AC9</f>
        <v>3216.90165604459</v>
      </c>
      <c r="AM9" s="71">
        <f t="shared" ref="AM9:AM72" si="14">C9*AL9/D9/AC9</f>
        <v>0.768398365463661</v>
      </c>
      <c r="AN9" s="71">
        <f>(1.14+1.02*AM9)*D9</f>
        <v>81.8205842875991</v>
      </c>
      <c r="AO9" s="86">
        <f>PI()^2*(200000*PI()*(Q9^4-(Q9-2*R9)^4)/64+0.6*22000*((D9+8)/10)^0.3*PI()*(Q9-2*R9)^4/64)/G9^2/1000</f>
        <v>133605.97656328</v>
      </c>
      <c r="AP9" s="86">
        <f>(C9*AL9+AC9*D9)/1000</f>
        <v>2591.19144461073</v>
      </c>
      <c r="AQ9" s="71">
        <f t="shared" ref="AQ9:AQ72" si="15">(AP9/AO9)^0.5</f>
        <v>0.139263340277402</v>
      </c>
      <c r="AR9" s="81">
        <f t="shared" ref="AR9:AR72" si="16">IF(1.2*EXP(-0.7*AQ9)&lt;=1,1.2*EXP(-0.7*AQ9),1)</f>
        <v>1</v>
      </c>
      <c r="AS9" s="82">
        <f>AR9*AN9*(AC9+AL9)/1000</f>
        <v>3082.05715039567</v>
      </c>
      <c r="AV9" s="11"/>
      <c r="AX9" s="11"/>
      <c r="AY9" s="11"/>
    </row>
    <row r="10" ht="15.5" spans="1:51">
      <c r="A10" s="25"/>
      <c r="B10" s="26" t="s">
        <v>123</v>
      </c>
      <c r="C10" s="27">
        <v>350</v>
      </c>
      <c r="D10" s="28">
        <v>42.5314565982981</v>
      </c>
      <c r="E10" s="27">
        <v>219</v>
      </c>
      <c r="F10" s="27">
        <v>4.72</v>
      </c>
      <c r="G10" s="27">
        <v>650</v>
      </c>
      <c r="H10" s="27">
        <v>0</v>
      </c>
      <c r="I10" s="27">
        <v>0</v>
      </c>
      <c r="J10" s="27">
        <v>0</v>
      </c>
      <c r="K10" s="27">
        <v>0</v>
      </c>
      <c r="L10" s="51">
        <v>3350</v>
      </c>
      <c r="M10" s="51">
        <f>(AK10*AB10/AC10+AS10*AA10/AC10)*P10</f>
        <v>3065.22289979746</v>
      </c>
      <c r="N10" s="48">
        <f t="shared" si="0"/>
        <v>0.914991910387301</v>
      </c>
      <c r="O10" s="49"/>
      <c r="P10" s="48">
        <f t="shared" si="1"/>
        <v>1</v>
      </c>
      <c r="Q10" s="27">
        <f t="shared" si="2"/>
        <v>219</v>
      </c>
      <c r="R10" s="27">
        <f t="shared" si="3"/>
        <v>4.72</v>
      </c>
      <c r="S10" s="57">
        <f t="shared" si="4"/>
        <v>0</v>
      </c>
      <c r="T10" s="58">
        <f t="shared" si="5"/>
        <v>104.78</v>
      </c>
      <c r="U10" s="48">
        <f t="shared" si="6"/>
        <v>59.9939169629539</v>
      </c>
      <c r="V10" s="48">
        <f t="shared" ref="V10:V41" si="17">MIN((PI()-S10/2)*T10,U10)</f>
        <v>59.9939169629539</v>
      </c>
      <c r="W10" s="59">
        <f t="shared" si="7"/>
        <v>0.572570308865756</v>
      </c>
      <c r="X10" s="48">
        <f t="shared" si="8"/>
        <v>0</v>
      </c>
      <c r="Y10" s="48">
        <f t="shared" si="9"/>
        <v>60.7456195602064</v>
      </c>
      <c r="Z10" s="48">
        <f t="shared" ref="Z10:Z72" si="18">IF(X10&lt;T10,0,U10/X10*(X10-T10))</f>
        <v>0</v>
      </c>
      <c r="AA10" s="48">
        <f t="shared" ref="AA10:AA73" si="19">IF(X10&lt;=Y10,X10*V10*(1-X10/3/T10)+S10*X10*(T10-X10/2)+X10^2/U10^2*(PI()-2*Z10/3/T10)*Z10^2,(W10-SIN(W10)*COS(W10)/3)*T10^2)</f>
        <v>0</v>
      </c>
      <c r="AB10" s="69">
        <f t="shared" ref="AB9:AB72" si="20">PI()*T10^2-AA10</f>
        <v>34491.0694783161</v>
      </c>
      <c r="AC10" s="70">
        <f t="shared" ref="AC10:AC72" si="21">PI()*T10^2</f>
        <v>34491.0694783161</v>
      </c>
      <c r="AD10" s="70">
        <f t="shared" ref="AD10:AD72" si="22">PI()*E10^2/4-AC10</f>
        <v>3177.41183638896</v>
      </c>
      <c r="AE10" s="70">
        <f t="shared" si="10"/>
        <v>0.7580967520403</v>
      </c>
      <c r="AF10" s="70">
        <f t="shared" si="11"/>
        <v>81.3736788109069</v>
      </c>
      <c r="AG10" s="70">
        <f t="shared" si="12"/>
        <v>132702.388921393</v>
      </c>
      <c r="AH10" s="70">
        <f t="shared" si="13"/>
        <v>2579.04956728202</v>
      </c>
      <c r="AI10" s="70">
        <f t="shared" ref="AI10:AI72" si="23">(AH10/AG10)^0.5</f>
        <v>0.139408891494504</v>
      </c>
      <c r="AJ10" s="48">
        <f t="shared" ref="AJ10:AJ72" si="24">IF(1.2*EXP(-0.7*AI10)&lt;=1,1.2*EXP(-0.7*AI10),1)</f>
        <v>1</v>
      </c>
      <c r="AK10" s="69">
        <f>AJ10*AF10*(AC10+AD10)/1000</f>
        <v>3065.22289979746</v>
      </c>
      <c r="AL10" s="70">
        <f t="shared" ref="AL10:AL72" si="25">PI()*Q10^2/4-AC10</f>
        <v>3177.41183638896</v>
      </c>
      <c r="AM10" s="70">
        <f t="shared" si="14"/>
        <v>0.758096752040301</v>
      </c>
      <c r="AN10" s="70">
        <f t="shared" ref="AN10:AN72" si="26">(1.14+1.02*AM10)*D10</f>
        <v>81.3736788109069</v>
      </c>
      <c r="AO10" s="87">
        <f t="shared" ref="AO9:AO72" si="27">PI()^2*(200000*PI()*(Q10^4-(Q10-2*R10)^4)/64+0.6*22000*((D10+8)/10)^0.3*PI()*(Q10-2*R10)^4/64)/G10^2/1000</f>
        <v>132702.388921393</v>
      </c>
      <c r="AP10" s="87">
        <f t="shared" ref="AP9:AP72" si="28">(C10*AL10+AC10*D10)/1000</f>
        <v>2579.04956728202</v>
      </c>
      <c r="AQ10" s="70">
        <f t="shared" si="15"/>
        <v>0.139408891494504</v>
      </c>
      <c r="AR10" s="48">
        <f t="shared" si="16"/>
        <v>1</v>
      </c>
      <c r="AS10" s="48">
        <f>AR10*AN10*(AC10+AL10)/1000</f>
        <v>3065.22289979746</v>
      </c>
      <c r="AV10" s="11"/>
      <c r="AX10" s="11"/>
      <c r="AY10" s="11"/>
    </row>
    <row r="11" ht="15.5" spans="1:48">
      <c r="A11" s="25"/>
      <c r="B11" s="26" t="s">
        <v>124</v>
      </c>
      <c r="C11" s="27">
        <v>350</v>
      </c>
      <c r="D11" s="28">
        <v>35.248548056398</v>
      </c>
      <c r="E11" s="27">
        <v>219</v>
      </c>
      <c r="F11" s="27">
        <v>4.75</v>
      </c>
      <c r="G11" s="27">
        <v>650</v>
      </c>
      <c r="H11" s="27">
        <v>0</v>
      </c>
      <c r="I11" s="27">
        <v>0</v>
      </c>
      <c r="J11" s="27">
        <v>0</v>
      </c>
      <c r="K11" s="27">
        <v>0</v>
      </c>
      <c r="L11" s="51">
        <v>3150</v>
      </c>
      <c r="M11" s="51">
        <f t="shared" ref="M11:M24" si="29">(AK11*AB11/AC11+AS11*AA11/AC11)*P11</f>
        <v>2760.89325021476</v>
      </c>
      <c r="N11" s="48">
        <f t="shared" si="0"/>
        <v>0.876474047687226</v>
      </c>
      <c r="O11" s="49"/>
      <c r="P11" s="48">
        <f t="shared" si="1"/>
        <v>1</v>
      </c>
      <c r="Q11" s="27">
        <f t="shared" si="2"/>
        <v>219</v>
      </c>
      <c r="R11" s="27">
        <f t="shared" si="3"/>
        <v>4.75</v>
      </c>
      <c r="S11" s="57">
        <f t="shared" si="4"/>
        <v>0</v>
      </c>
      <c r="T11" s="58">
        <f t="shared" si="5"/>
        <v>104.75</v>
      </c>
      <c r="U11" s="48">
        <f t="shared" si="6"/>
        <v>60.1842736029993</v>
      </c>
      <c r="V11" s="48">
        <f t="shared" si="17"/>
        <v>60.1842736029993</v>
      </c>
      <c r="W11" s="59">
        <f t="shared" si="7"/>
        <v>0.574551537976127</v>
      </c>
      <c r="X11" s="48">
        <f t="shared" si="8"/>
        <v>0</v>
      </c>
      <c r="Y11" s="48">
        <f t="shared" si="9"/>
        <v>60.7845338814747</v>
      </c>
      <c r="Z11" s="48">
        <f t="shared" si="18"/>
        <v>0</v>
      </c>
      <c r="AA11" s="48">
        <f t="shared" si="19"/>
        <v>0</v>
      </c>
      <c r="AB11" s="69">
        <f t="shared" si="20"/>
        <v>34471.3217410549</v>
      </c>
      <c r="AC11" s="70">
        <f t="shared" si="21"/>
        <v>34471.3217410549</v>
      </c>
      <c r="AD11" s="70">
        <f t="shared" si="22"/>
        <v>3197.15957365016</v>
      </c>
      <c r="AE11" s="70">
        <f t="shared" si="10"/>
        <v>0.920943928104474</v>
      </c>
      <c r="AF11" s="70">
        <f t="shared" si="11"/>
        <v>73.294519817473</v>
      </c>
      <c r="AG11" s="70">
        <f t="shared" si="12"/>
        <v>130991.938936296</v>
      </c>
      <c r="AH11" s="70">
        <f t="shared" si="13"/>
        <v>2334.06989173469</v>
      </c>
      <c r="AI11" s="70">
        <f t="shared" si="23"/>
        <v>0.133485669162043</v>
      </c>
      <c r="AJ11" s="48">
        <f t="shared" si="24"/>
        <v>1</v>
      </c>
      <c r="AK11" s="69">
        <f t="shared" ref="AK11:AK42" si="30">AJ11*AF11*(AC11+AD11)/1000</f>
        <v>2760.89325021476</v>
      </c>
      <c r="AL11" s="70">
        <f t="shared" si="25"/>
        <v>3197.15957365016</v>
      </c>
      <c r="AM11" s="70">
        <f t="shared" si="14"/>
        <v>0.920943928104476</v>
      </c>
      <c r="AN11" s="70">
        <f t="shared" si="26"/>
        <v>73.2945198174731</v>
      </c>
      <c r="AO11" s="87">
        <f t="shared" si="27"/>
        <v>130991.938936296</v>
      </c>
      <c r="AP11" s="87">
        <f t="shared" si="28"/>
        <v>2334.06989173469</v>
      </c>
      <c r="AQ11" s="70">
        <f t="shared" si="15"/>
        <v>0.133485669162043</v>
      </c>
      <c r="AR11" s="48">
        <f t="shared" si="16"/>
        <v>1</v>
      </c>
      <c r="AS11" s="48">
        <f t="shared" ref="AS11:AS42" si="31">AR11*AN11*(AC11+AL11)/1000</f>
        <v>2760.89325021477</v>
      </c>
      <c r="AV11" s="11"/>
    </row>
    <row r="12" ht="15.5" spans="1:48">
      <c r="A12" s="25"/>
      <c r="B12" s="26" t="s">
        <v>125</v>
      </c>
      <c r="C12" s="27">
        <v>350</v>
      </c>
      <c r="D12" s="28">
        <v>42.5314565982981</v>
      </c>
      <c r="E12" s="27">
        <v>219</v>
      </c>
      <c r="F12" s="27">
        <v>4.74</v>
      </c>
      <c r="G12" s="27">
        <v>650</v>
      </c>
      <c r="H12" s="27">
        <v>4.74</v>
      </c>
      <c r="I12" s="28">
        <v>5.23249127973353</v>
      </c>
      <c r="J12" s="27">
        <v>20</v>
      </c>
      <c r="K12" s="27">
        <v>325</v>
      </c>
      <c r="L12" s="51">
        <v>3160</v>
      </c>
      <c r="M12" s="51">
        <f t="shared" si="29"/>
        <v>3056.93153290986</v>
      </c>
      <c r="N12" s="48">
        <f t="shared" si="0"/>
        <v>0.967383396490463</v>
      </c>
      <c r="O12" s="49"/>
      <c r="P12" s="48">
        <f t="shared" si="1"/>
        <v>1</v>
      </c>
      <c r="Q12" s="27">
        <f t="shared" si="2"/>
        <v>209.52</v>
      </c>
      <c r="R12" s="27">
        <f t="shared" si="3"/>
        <v>0</v>
      </c>
      <c r="S12" s="28">
        <f t="shared" si="4"/>
        <v>0.0913242009132417</v>
      </c>
      <c r="T12" s="58">
        <f t="shared" si="5"/>
        <v>104.76</v>
      </c>
      <c r="U12" s="48">
        <f t="shared" si="6"/>
        <v>60.1208883578166</v>
      </c>
      <c r="V12" s="48">
        <f t="shared" si="17"/>
        <v>60.1208883578166</v>
      </c>
      <c r="W12" s="59">
        <f t="shared" si="7"/>
        <v>0.619553741901988</v>
      </c>
      <c r="X12" s="48">
        <f t="shared" si="8"/>
        <v>5</v>
      </c>
      <c r="Y12" s="48">
        <f t="shared" si="9"/>
        <v>62.1154689889678</v>
      </c>
      <c r="Z12" s="48">
        <f t="shared" si="18"/>
        <v>0</v>
      </c>
      <c r="AA12" s="48">
        <f t="shared" si="19"/>
        <v>342.516075370646</v>
      </c>
      <c r="AB12" s="69">
        <f t="shared" si="20"/>
        <v>34135.3876164527</v>
      </c>
      <c r="AC12" s="70">
        <f t="shared" si="21"/>
        <v>34477.9036918234</v>
      </c>
      <c r="AD12" s="70">
        <f t="shared" si="22"/>
        <v>3190.57762288162</v>
      </c>
      <c r="AE12" s="70">
        <f t="shared" si="10"/>
        <v>0.76152865653664</v>
      </c>
      <c r="AF12" s="70">
        <f t="shared" si="11"/>
        <v>81.5225619859851</v>
      </c>
      <c r="AG12" s="70">
        <f t="shared" si="12"/>
        <v>133003.75733569</v>
      </c>
      <c r="AH12" s="70">
        <f t="shared" si="13"/>
        <v>2583.09763247766</v>
      </c>
      <c r="AI12" s="70">
        <f t="shared" si="23"/>
        <v>0.139360102066089</v>
      </c>
      <c r="AJ12" s="48">
        <f t="shared" si="24"/>
        <v>1</v>
      </c>
      <c r="AK12" s="69">
        <f t="shared" si="30"/>
        <v>3070.83110289596</v>
      </c>
      <c r="AL12" s="70">
        <f t="shared" si="25"/>
        <v>0</v>
      </c>
      <c r="AM12" s="70">
        <f t="shared" si="14"/>
        <v>0</v>
      </c>
      <c r="AN12" s="70">
        <f t="shared" si="26"/>
        <v>48.4858605220598</v>
      </c>
      <c r="AO12" s="87">
        <f t="shared" si="27"/>
        <v>47422.8170626094</v>
      </c>
      <c r="AP12" s="87">
        <f t="shared" si="28"/>
        <v>1466.39546446909</v>
      </c>
      <c r="AQ12" s="70">
        <f t="shared" si="15"/>
        <v>0.175845751443734</v>
      </c>
      <c r="AR12" s="48">
        <f t="shared" si="16"/>
        <v>1</v>
      </c>
      <c r="AS12" s="48">
        <f t="shared" si="31"/>
        <v>1671.69082949476</v>
      </c>
      <c r="AV12" s="11"/>
    </row>
    <row r="13" ht="15.5" spans="1:48">
      <c r="A13" s="25"/>
      <c r="B13" s="26" t="s">
        <v>126</v>
      </c>
      <c r="C13" s="27">
        <v>350</v>
      </c>
      <c r="D13" s="28">
        <v>35.248548056398</v>
      </c>
      <c r="E13" s="27">
        <v>219</v>
      </c>
      <c r="F13" s="27">
        <v>4.73</v>
      </c>
      <c r="G13" s="27">
        <v>650</v>
      </c>
      <c r="H13" s="27">
        <v>0</v>
      </c>
      <c r="I13" s="27">
        <v>0</v>
      </c>
      <c r="J13" s="27">
        <v>0</v>
      </c>
      <c r="K13" s="27">
        <v>0</v>
      </c>
      <c r="L13" s="51">
        <v>3150</v>
      </c>
      <c r="M13" s="51">
        <f t="shared" si="29"/>
        <v>2755.28344094829</v>
      </c>
      <c r="N13" s="48">
        <f t="shared" si="0"/>
        <v>0.8746931558566</v>
      </c>
      <c r="O13" s="49"/>
      <c r="P13" s="48">
        <f t="shared" si="1"/>
        <v>1</v>
      </c>
      <c r="Q13" s="27">
        <f t="shared" si="2"/>
        <v>219</v>
      </c>
      <c r="R13" s="27">
        <f t="shared" si="3"/>
        <v>4.73</v>
      </c>
      <c r="S13" s="57">
        <f t="shared" si="4"/>
        <v>0</v>
      </c>
      <c r="T13" s="58">
        <f t="shared" si="5"/>
        <v>104.77</v>
      </c>
      <c r="U13" s="48">
        <f t="shared" si="6"/>
        <v>60.0574362152217</v>
      </c>
      <c r="V13" s="48">
        <f t="shared" si="17"/>
        <v>60.0574362152217</v>
      </c>
      <c r="W13" s="59">
        <f t="shared" si="7"/>
        <v>0.573231232368252</v>
      </c>
      <c r="X13" s="48">
        <f t="shared" si="8"/>
        <v>0</v>
      </c>
      <c r="Y13" s="48">
        <f t="shared" si="9"/>
        <v>60.7585899892617</v>
      </c>
      <c r="Z13" s="48">
        <f t="shared" si="18"/>
        <v>0</v>
      </c>
      <c r="AA13" s="48">
        <f t="shared" si="19"/>
        <v>0</v>
      </c>
      <c r="AB13" s="69">
        <f t="shared" si="20"/>
        <v>34484.4862709105</v>
      </c>
      <c r="AC13" s="70">
        <f t="shared" si="21"/>
        <v>34484.4862709105</v>
      </c>
      <c r="AD13" s="70">
        <f t="shared" si="22"/>
        <v>3183.99504379456</v>
      </c>
      <c r="AE13" s="70">
        <f t="shared" si="10"/>
        <v>0.916801751796817</v>
      </c>
      <c r="AF13" s="70">
        <f t="shared" si="11"/>
        <v>73.1455940028217</v>
      </c>
      <c r="AG13" s="70">
        <f t="shared" si="12"/>
        <v>130689.004831123</v>
      </c>
      <c r="AH13" s="70">
        <f t="shared" si="13"/>
        <v>2329.92633684848</v>
      </c>
      <c r="AI13" s="70">
        <f t="shared" si="23"/>
        <v>0.133521612891091</v>
      </c>
      <c r="AJ13" s="48">
        <f t="shared" si="24"/>
        <v>1</v>
      </c>
      <c r="AK13" s="69">
        <f t="shared" si="30"/>
        <v>2755.28344094829</v>
      </c>
      <c r="AL13" s="70">
        <f t="shared" si="25"/>
        <v>3183.99504379456</v>
      </c>
      <c r="AM13" s="70">
        <f t="shared" si="14"/>
        <v>0.916801751796818</v>
      </c>
      <c r="AN13" s="70">
        <f t="shared" si="26"/>
        <v>73.1455940028217</v>
      </c>
      <c r="AO13" s="87">
        <f t="shared" si="27"/>
        <v>130689.004831123</v>
      </c>
      <c r="AP13" s="87">
        <f t="shared" si="28"/>
        <v>2329.92633684848</v>
      </c>
      <c r="AQ13" s="70">
        <f t="shared" si="15"/>
        <v>0.133521612891091</v>
      </c>
      <c r="AR13" s="48">
        <f t="shared" si="16"/>
        <v>1</v>
      </c>
      <c r="AS13" s="48">
        <f t="shared" si="31"/>
        <v>2755.28344094829</v>
      </c>
      <c r="AV13" s="11"/>
    </row>
    <row r="14" ht="15.5" spans="1:48">
      <c r="A14" s="29"/>
      <c r="B14" s="26" t="s">
        <v>127</v>
      </c>
      <c r="C14" s="27">
        <v>350</v>
      </c>
      <c r="D14" s="28">
        <v>42.5314565982981</v>
      </c>
      <c r="E14" s="27">
        <v>219</v>
      </c>
      <c r="F14" s="27">
        <v>4.72</v>
      </c>
      <c r="G14" s="27">
        <v>650</v>
      </c>
      <c r="H14" s="27">
        <v>4.72</v>
      </c>
      <c r="I14" s="27">
        <v>360</v>
      </c>
      <c r="J14" s="27">
        <v>10</v>
      </c>
      <c r="K14" s="27">
        <v>325</v>
      </c>
      <c r="L14" s="51">
        <v>3380</v>
      </c>
      <c r="M14" s="51">
        <f t="shared" si="29"/>
        <v>2999.5483039089</v>
      </c>
      <c r="N14" s="48">
        <f t="shared" si="0"/>
        <v>0.887440326600265</v>
      </c>
      <c r="O14" s="49"/>
      <c r="P14" s="48">
        <f t="shared" si="1"/>
        <v>1</v>
      </c>
      <c r="Q14" s="27">
        <f t="shared" si="2"/>
        <v>209.56</v>
      </c>
      <c r="R14" s="27">
        <f t="shared" si="3"/>
        <v>0</v>
      </c>
      <c r="S14" s="28">
        <f t="shared" si="4"/>
        <v>6.28318530717959</v>
      </c>
      <c r="T14" s="58">
        <f t="shared" si="5"/>
        <v>104.78</v>
      </c>
      <c r="U14" s="48">
        <f t="shared" si="6"/>
        <v>59.9939169629539</v>
      </c>
      <c r="V14" s="48">
        <f t="shared" si="17"/>
        <v>0</v>
      </c>
      <c r="W14" s="59">
        <f t="shared" si="7"/>
        <v>3.14159265358979</v>
      </c>
      <c r="X14" s="48">
        <f t="shared" si="8"/>
        <v>2.5</v>
      </c>
      <c r="Y14" s="48">
        <f t="shared" si="9"/>
        <v>157.17</v>
      </c>
      <c r="Z14" s="48">
        <f t="shared" si="18"/>
        <v>0</v>
      </c>
      <c r="AA14" s="48">
        <f t="shared" si="19"/>
        <v>1626.24543713076</v>
      </c>
      <c r="AB14" s="69">
        <f t="shared" si="20"/>
        <v>32864.8240411853</v>
      </c>
      <c r="AC14" s="70">
        <f t="shared" si="21"/>
        <v>34491.0694783161</v>
      </c>
      <c r="AD14" s="70">
        <f t="shared" si="22"/>
        <v>3177.41183638896</v>
      </c>
      <c r="AE14" s="70">
        <f t="shared" si="10"/>
        <v>0.7580967520403</v>
      </c>
      <c r="AF14" s="70">
        <f t="shared" si="11"/>
        <v>81.3736788109069</v>
      </c>
      <c r="AG14" s="70">
        <f t="shared" si="12"/>
        <v>132702.388921393</v>
      </c>
      <c r="AH14" s="70">
        <f t="shared" si="13"/>
        <v>2579.04956728202</v>
      </c>
      <c r="AI14" s="70">
        <f t="shared" si="23"/>
        <v>0.139408891494504</v>
      </c>
      <c r="AJ14" s="48">
        <f t="shared" si="24"/>
        <v>1</v>
      </c>
      <c r="AK14" s="69">
        <f t="shared" si="30"/>
        <v>3065.22289979746</v>
      </c>
      <c r="AL14" s="70">
        <f t="shared" si="25"/>
        <v>0</v>
      </c>
      <c r="AM14" s="70">
        <f t="shared" si="14"/>
        <v>0</v>
      </c>
      <c r="AN14" s="70">
        <f t="shared" si="26"/>
        <v>48.4858605220598</v>
      </c>
      <c r="AO14" s="87">
        <f t="shared" si="27"/>
        <v>47459.0418806379</v>
      </c>
      <c r="AP14" s="87">
        <f t="shared" si="28"/>
        <v>1466.95542454588</v>
      </c>
      <c r="AQ14" s="70">
        <f t="shared" si="15"/>
        <v>0.175812186688734</v>
      </c>
      <c r="AR14" s="48">
        <f t="shared" si="16"/>
        <v>1</v>
      </c>
      <c r="AS14" s="48">
        <f t="shared" si="31"/>
        <v>1672.32918398231</v>
      </c>
      <c r="AV14" s="11"/>
    </row>
    <row r="15" ht="15.5" spans="1:48">
      <c r="A15" s="30"/>
      <c r="B15" s="26" t="s">
        <v>128</v>
      </c>
      <c r="C15" s="27">
        <v>350</v>
      </c>
      <c r="D15" s="28">
        <v>42.5314565982981</v>
      </c>
      <c r="E15" s="27">
        <v>219</v>
      </c>
      <c r="F15" s="27">
        <v>4.73</v>
      </c>
      <c r="G15" s="27">
        <v>650</v>
      </c>
      <c r="H15" s="27">
        <v>4.73</v>
      </c>
      <c r="I15" s="27">
        <v>360</v>
      </c>
      <c r="J15" s="27">
        <v>50</v>
      </c>
      <c r="K15" s="27">
        <v>325</v>
      </c>
      <c r="L15" s="51">
        <v>3600</v>
      </c>
      <c r="M15" s="51">
        <f t="shared" si="29"/>
        <v>2754.78379139764</v>
      </c>
      <c r="N15" s="48">
        <f t="shared" si="0"/>
        <v>0.765217719832679</v>
      </c>
      <c r="O15" s="49"/>
      <c r="P15" s="48">
        <f t="shared" si="1"/>
        <v>1</v>
      </c>
      <c r="Q15" s="27">
        <f t="shared" si="2"/>
        <v>209.54</v>
      </c>
      <c r="R15" s="27">
        <f t="shared" si="3"/>
        <v>0</v>
      </c>
      <c r="S15" s="28">
        <f t="shared" si="4"/>
        <v>6.28318530717959</v>
      </c>
      <c r="T15" s="58">
        <f t="shared" si="5"/>
        <v>104.77</v>
      </c>
      <c r="U15" s="48">
        <f t="shared" si="6"/>
        <v>60.0574362152217</v>
      </c>
      <c r="V15" s="48">
        <f t="shared" si="17"/>
        <v>0</v>
      </c>
      <c r="W15" s="59">
        <f t="shared" si="7"/>
        <v>3.14159265358979</v>
      </c>
      <c r="X15" s="48">
        <f t="shared" si="8"/>
        <v>12.5</v>
      </c>
      <c r="Y15" s="48">
        <f t="shared" si="9"/>
        <v>157.155</v>
      </c>
      <c r="Z15" s="48">
        <f t="shared" si="18"/>
        <v>0</v>
      </c>
      <c r="AA15" s="48">
        <f t="shared" si="19"/>
        <v>7737.74270579166</v>
      </c>
      <c r="AB15" s="69">
        <f t="shared" si="20"/>
        <v>26746.7435651188</v>
      </c>
      <c r="AC15" s="70">
        <f t="shared" si="21"/>
        <v>34484.4862709105</v>
      </c>
      <c r="AD15" s="70">
        <f t="shared" si="22"/>
        <v>3183.99504379456</v>
      </c>
      <c r="AE15" s="70">
        <f t="shared" si="10"/>
        <v>0.759812458614293</v>
      </c>
      <c r="AF15" s="70">
        <f t="shared" si="11"/>
        <v>81.4481097405878</v>
      </c>
      <c r="AG15" s="70">
        <f t="shared" si="12"/>
        <v>132853.094702113</v>
      </c>
      <c r="AH15" s="70">
        <f t="shared" si="13"/>
        <v>2581.07369647393</v>
      </c>
      <c r="AI15" s="70">
        <f t="shared" si="23"/>
        <v>0.139384462537217</v>
      </c>
      <c r="AJ15" s="48">
        <f t="shared" si="24"/>
        <v>1</v>
      </c>
      <c r="AK15" s="69">
        <f t="shared" si="30"/>
        <v>3068.02659988138</v>
      </c>
      <c r="AL15" s="70">
        <f t="shared" si="25"/>
        <v>0</v>
      </c>
      <c r="AM15" s="70">
        <f t="shared" si="14"/>
        <v>0</v>
      </c>
      <c r="AN15" s="70">
        <f t="shared" si="26"/>
        <v>48.4858605220598</v>
      </c>
      <c r="AO15" s="87">
        <f t="shared" si="27"/>
        <v>47440.9268784564</v>
      </c>
      <c r="AP15" s="87">
        <f t="shared" si="28"/>
        <v>1466.67543114583</v>
      </c>
      <c r="AQ15" s="70">
        <f t="shared" si="15"/>
        <v>0.175828967464403</v>
      </c>
      <c r="AR15" s="48">
        <f t="shared" si="16"/>
        <v>1</v>
      </c>
      <c r="AS15" s="48">
        <f t="shared" si="31"/>
        <v>1672.00999150625</v>
      </c>
      <c r="AV15" s="11"/>
    </row>
    <row r="16" ht="15.5" spans="1:48">
      <c r="A16" s="29"/>
      <c r="B16" s="26" t="s">
        <v>129</v>
      </c>
      <c r="C16" s="27">
        <v>350</v>
      </c>
      <c r="D16" s="28">
        <v>42.5314565982981</v>
      </c>
      <c r="E16" s="27">
        <v>219</v>
      </c>
      <c r="F16" s="27">
        <v>4.73</v>
      </c>
      <c r="G16" s="27">
        <v>650</v>
      </c>
      <c r="H16" s="27">
        <v>4.73</v>
      </c>
      <c r="I16" s="27">
        <v>360</v>
      </c>
      <c r="J16" s="27">
        <v>100</v>
      </c>
      <c r="K16" s="27">
        <v>325</v>
      </c>
      <c r="L16" s="51">
        <v>2900</v>
      </c>
      <c r="M16" s="51">
        <f t="shared" si="29"/>
        <v>2481.28453859851</v>
      </c>
      <c r="N16" s="48">
        <f t="shared" si="0"/>
        <v>0.855615358137417</v>
      </c>
      <c r="O16" s="49"/>
      <c r="P16" s="48">
        <f t="shared" si="1"/>
        <v>1</v>
      </c>
      <c r="Q16" s="27">
        <f t="shared" si="2"/>
        <v>209.54</v>
      </c>
      <c r="R16" s="27">
        <f t="shared" si="3"/>
        <v>0</v>
      </c>
      <c r="S16" s="28">
        <f t="shared" si="4"/>
        <v>6.28318530717959</v>
      </c>
      <c r="T16" s="58">
        <f t="shared" si="5"/>
        <v>104.77</v>
      </c>
      <c r="U16" s="48">
        <f t="shared" si="6"/>
        <v>60.0574362152217</v>
      </c>
      <c r="V16" s="48">
        <f t="shared" si="17"/>
        <v>0</v>
      </c>
      <c r="W16" s="59">
        <f t="shared" si="7"/>
        <v>3.14159265358979</v>
      </c>
      <c r="X16" s="48">
        <f t="shared" si="8"/>
        <v>25</v>
      </c>
      <c r="Y16" s="48">
        <f t="shared" si="9"/>
        <v>157.155</v>
      </c>
      <c r="Z16" s="48">
        <f t="shared" si="18"/>
        <v>0</v>
      </c>
      <c r="AA16" s="48">
        <f t="shared" si="19"/>
        <v>14493.7377073365</v>
      </c>
      <c r="AB16" s="69">
        <f t="shared" si="20"/>
        <v>19990.7485635739</v>
      </c>
      <c r="AC16" s="70">
        <f t="shared" si="21"/>
        <v>34484.4862709105</v>
      </c>
      <c r="AD16" s="70">
        <f t="shared" si="22"/>
        <v>3183.99504379456</v>
      </c>
      <c r="AE16" s="70">
        <f t="shared" si="10"/>
        <v>0.759812458614293</v>
      </c>
      <c r="AF16" s="70">
        <f t="shared" si="11"/>
        <v>81.4481097405878</v>
      </c>
      <c r="AG16" s="70">
        <f t="shared" si="12"/>
        <v>132853.094702113</v>
      </c>
      <c r="AH16" s="70">
        <f t="shared" si="13"/>
        <v>2581.07369647393</v>
      </c>
      <c r="AI16" s="70">
        <f t="shared" si="23"/>
        <v>0.139384462537217</v>
      </c>
      <c r="AJ16" s="48">
        <f t="shared" si="24"/>
        <v>1</v>
      </c>
      <c r="AK16" s="69">
        <f t="shared" si="30"/>
        <v>3068.02659988138</v>
      </c>
      <c r="AL16" s="70">
        <f t="shared" si="25"/>
        <v>0</v>
      </c>
      <c r="AM16" s="70">
        <f t="shared" si="14"/>
        <v>0</v>
      </c>
      <c r="AN16" s="70">
        <f t="shared" si="26"/>
        <v>48.4858605220598</v>
      </c>
      <c r="AO16" s="87">
        <f t="shared" si="27"/>
        <v>47440.9268784564</v>
      </c>
      <c r="AP16" s="87">
        <f t="shared" si="28"/>
        <v>1466.67543114583</v>
      </c>
      <c r="AQ16" s="70">
        <f t="shared" si="15"/>
        <v>0.175828967464403</v>
      </c>
      <c r="AR16" s="48">
        <f t="shared" si="16"/>
        <v>1</v>
      </c>
      <c r="AS16" s="48">
        <f t="shared" si="31"/>
        <v>1672.00999150625</v>
      </c>
      <c r="AV16" s="11"/>
    </row>
    <row r="17" ht="15.5" spans="1:48">
      <c r="A17" s="29"/>
      <c r="B17" s="26" t="s">
        <v>130</v>
      </c>
      <c r="C17" s="27">
        <v>350</v>
      </c>
      <c r="D17" s="28">
        <v>42.5314565982981</v>
      </c>
      <c r="E17" s="27">
        <v>219</v>
      </c>
      <c r="F17" s="27">
        <v>4.74</v>
      </c>
      <c r="G17" s="27">
        <v>650</v>
      </c>
      <c r="H17" s="27">
        <v>4.74</v>
      </c>
      <c r="I17" s="27">
        <v>360</v>
      </c>
      <c r="J17" s="27">
        <v>200</v>
      </c>
      <c r="K17" s="27">
        <v>325</v>
      </c>
      <c r="L17" s="51">
        <v>1680</v>
      </c>
      <c r="M17" s="51">
        <f t="shared" si="29"/>
        <v>2053.98454354198</v>
      </c>
      <c r="N17" s="48">
        <f t="shared" si="0"/>
        <v>1.22260984734642</v>
      </c>
      <c r="O17" s="49"/>
      <c r="P17" s="48">
        <f t="shared" si="1"/>
        <v>1</v>
      </c>
      <c r="Q17" s="27">
        <f t="shared" si="2"/>
        <v>209.52</v>
      </c>
      <c r="R17" s="27">
        <f t="shared" si="3"/>
        <v>0</v>
      </c>
      <c r="S17" s="28">
        <f t="shared" si="4"/>
        <v>6.28318530717959</v>
      </c>
      <c r="T17" s="58">
        <f t="shared" si="5"/>
        <v>104.76</v>
      </c>
      <c r="U17" s="48">
        <f t="shared" si="6"/>
        <v>60.1208883578166</v>
      </c>
      <c r="V17" s="48">
        <f t="shared" si="17"/>
        <v>0</v>
      </c>
      <c r="W17" s="59">
        <f t="shared" si="7"/>
        <v>3.14159265358979</v>
      </c>
      <c r="X17" s="48">
        <f t="shared" si="8"/>
        <v>50</v>
      </c>
      <c r="Y17" s="48">
        <f t="shared" si="9"/>
        <v>157.14</v>
      </c>
      <c r="Z17" s="48">
        <f t="shared" si="18"/>
        <v>0</v>
      </c>
      <c r="AA17" s="48">
        <f t="shared" si="19"/>
        <v>25057.3430050322</v>
      </c>
      <c r="AB17" s="69">
        <f t="shared" si="20"/>
        <v>9420.5606867912</v>
      </c>
      <c r="AC17" s="70">
        <f t="shared" si="21"/>
        <v>34477.9036918234</v>
      </c>
      <c r="AD17" s="70">
        <f t="shared" si="22"/>
        <v>3190.57762288162</v>
      </c>
      <c r="AE17" s="70">
        <f t="shared" si="10"/>
        <v>0.76152865653664</v>
      </c>
      <c r="AF17" s="70">
        <f t="shared" si="11"/>
        <v>81.5225619859851</v>
      </c>
      <c r="AG17" s="70">
        <f t="shared" si="12"/>
        <v>133003.75733569</v>
      </c>
      <c r="AH17" s="70">
        <f t="shared" si="13"/>
        <v>2583.09763247766</v>
      </c>
      <c r="AI17" s="70">
        <f t="shared" si="23"/>
        <v>0.139360102066089</v>
      </c>
      <c r="AJ17" s="48">
        <f t="shared" si="24"/>
        <v>1</v>
      </c>
      <c r="AK17" s="69">
        <f t="shared" si="30"/>
        <v>3070.83110289596</v>
      </c>
      <c r="AL17" s="70">
        <f t="shared" si="25"/>
        <v>0</v>
      </c>
      <c r="AM17" s="70">
        <f t="shared" si="14"/>
        <v>0</v>
      </c>
      <c r="AN17" s="70">
        <f t="shared" si="26"/>
        <v>48.4858605220598</v>
      </c>
      <c r="AO17" s="87">
        <f t="shared" si="27"/>
        <v>47422.8170626094</v>
      </c>
      <c r="AP17" s="87">
        <f t="shared" si="28"/>
        <v>1466.39546446909</v>
      </c>
      <c r="AQ17" s="70">
        <f t="shared" si="15"/>
        <v>0.175845751443734</v>
      </c>
      <c r="AR17" s="48">
        <f t="shared" si="16"/>
        <v>1</v>
      </c>
      <c r="AS17" s="48">
        <f t="shared" si="31"/>
        <v>1671.69082949476</v>
      </c>
      <c r="AV17" s="11"/>
    </row>
    <row r="18" ht="15.5" spans="1:48">
      <c r="A18" s="25"/>
      <c r="B18" s="26" t="s">
        <v>131</v>
      </c>
      <c r="C18" s="27">
        <v>350</v>
      </c>
      <c r="D18" s="28">
        <v>67.8643773754398</v>
      </c>
      <c r="E18" s="27">
        <v>165</v>
      </c>
      <c r="F18" s="27">
        <v>2.73</v>
      </c>
      <c r="G18" s="27">
        <v>510</v>
      </c>
      <c r="H18" s="27">
        <v>0</v>
      </c>
      <c r="I18" s="27">
        <v>0</v>
      </c>
      <c r="J18" s="27">
        <v>0</v>
      </c>
      <c r="K18" s="27">
        <v>0</v>
      </c>
      <c r="L18" s="51">
        <v>2080</v>
      </c>
      <c r="M18" s="51">
        <f t="shared" si="29"/>
        <v>2185.69472771831</v>
      </c>
      <c r="N18" s="48">
        <f t="shared" si="0"/>
        <v>1.0508147729415</v>
      </c>
      <c r="O18" s="49"/>
      <c r="P18" s="48">
        <f t="shared" si="1"/>
        <v>1</v>
      </c>
      <c r="Q18" s="27">
        <f t="shared" si="2"/>
        <v>165</v>
      </c>
      <c r="R18" s="27">
        <f t="shared" si="3"/>
        <v>2.73</v>
      </c>
      <c r="S18" s="57">
        <f t="shared" si="4"/>
        <v>0</v>
      </c>
      <c r="T18" s="58">
        <f t="shared" si="5"/>
        <v>79.77</v>
      </c>
      <c r="U18" s="48">
        <f t="shared" si="6"/>
        <v>39.603854523413</v>
      </c>
      <c r="V18" s="48">
        <f t="shared" si="17"/>
        <v>39.603854523413</v>
      </c>
      <c r="W18" s="59">
        <f t="shared" si="7"/>
        <v>0.496475548745306</v>
      </c>
      <c r="X18" s="48">
        <f t="shared" si="8"/>
        <v>0</v>
      </c>
      <c r="Y18" s="48">
        <f t="shared" si="9"/>
        <v>44.7004428930598</v>
      </c>
      <c r="Z18" s="48">
        <f t="shared" si="18"/>
        <v>0</v>
      </c>
      <c r="AA18" s="48">
        <f t="shared" si="19"/>
        <v>0</v>
      </c>
      <c r="AB18" s="69">
        <f t="shared" si="20"/>
        <v>19990.7485635739</v>
      </c>
      <c r="AC18" s="70">
        <f t="shared" si="21"/>
        <v>19990.7485635739</v>
      </c>
      <c r="AD18" s="70">
        <f t="shared" si="22"/>
        <v>1391.71643492159</v>
      </c>
      <c r="AE18" s="70">
        <f t="shared" si="10"/>
        <v>0.359044166045446</v>
      </c>
      <c r="AF18" s="70">
        <f t="shared" si="11"/>
        <v>102.219025162539</v>
      </c>
      <c r="AG18" s="70">
        <f t="shared" si="12"/>
        <v>64028.1082669699</v>
      </c>
      <c r="AH18" s="70">
        <f t="shared" si="13"/>
        <v>1843.76045675847</v>
      </c>
      <c r="AI18" s="70">
        <f t="shared" si="23"/>
        <v>0.169694166443974</v>
      </c>
      <c r="AJ18" s="48">
        <f t="shared" si="24"/>
        <v>1</v>
      </c>
      <c r="AK18" s="69">
        <f t="shared" si="30"/>
        <v>2185.69472771831</v>
      </c>
      <c r="AL18" s="70">
        <f t="shared" si="25"/>
        <v>1391.71643492159</v>
      </c>
      <c r="AM18" s="70">
        <f t="shared" si="14"/>
        <v>0.359044166045444</v>
      </c>
      <c r="AN18" s="70">
        <f t="shared" si="26"/>
        <v>102.219025162539</v>
      </c>
      <c r="AO18" s="87">
        <f t="shared" si="27"/>
        <v>64028.1082669699</v>
      </c>
      <c r="AP18" s="87">
        <f t="shared" si="28"/>
        <v>1843.76045675847</v>
      </c>
      <c r="AQ18" s="70">
        <f t="shared" si="15"/>
        <v>0.169694166443974</v>
      </c>
      <c r="AR18" s="48">
        <f t="shared" si="16"/>
        <v>1</v>
      </c>
      <c r="AS18" s="48">
        <f t="shared" si="31"/>
        <v>2185.69472771832</v>
      </c>
      <c r="AV18" s="11"/>
    </row>
    <row r="19" ht="15.5" spans="1:48">
      <c r="A19" s="25"/>
      <c r="B19" s="26" t="s">
        <v>132</v>
      </c>
      <c r="C19" s="27">
        <v>350</v>
      </c>
      <c r="D19" s="28">
        <v>67.8643773754398</v>
      </c>
      <c r="E19" s="27">
        <v>165</v>
      </c>
      <c r="F19" s="27">
        <v>2.76</v>
      </c>
      <c r="G19" s="27">
        <v>510</v>
      </c>
      <c r="H19" s="27">
        <v>2.76</v>
      </c>
      <c r="I19" s="28">
        <v>6.94494297128272</v>
      </c>
      <c r="J19" s="27">
        <v>20</v>
      </c>
      <c r="K19" s="27">
        <v>255</v>
      </c>
      <c r="L19" s="51">
        <v>2060</v>
      </c>
      <c r="M19" s="51">
        <f t="shared" si="29"/>
        <v>2184.01643363167</v>
      </c>
      <c r="N19" s="48">
        <f t="shared" si="0"/>
        <v>1.06020215224838</v>
      </c>
      <c r="O19" s="49"/>
      <c r="P19" s="48">
        <f t="shared" si="1"/>
        <v>1</v>
      </c>
      <c r="Q19" s="27">
        <f t="shared" si="2"/>
        <v>159.48</v>
      </c>
      <c r="R19" s="27">
        <f t="shared" si="3"/>
        <v>0</v>
      </c>
      <c r="S19" s="28">
        <f t="shared" si="4"/>
        <v>0.121212121212121</v>
      </c>
      <c r="T19" s="58">
        <f t="shared" si="5"/>
        <v>79.74</v>
      </c>
      <c r="U19" s="48">
        <f t="shared" si="6"/>
        <v>39.8208635699121</v>
      </c>
      <c r="V19" s="48">
        <f t="shared" si="17"/>
        <v>39.8208635699121</v>
      </c>
      <c r="W19" s="59">
        <f t="shared" si="7"/>
        <v>0.559989852553792</v>
      </c>
      <c r="X19" s="48">
        <f t="shared" si="8"/>
        <v>5</v>
      </c>
      <c r="Y19" s="48">
        <f t="shared" si="9"/>
        <v>45.9597238190233</v>
      </c>
      <c r="Z19" s="48">
        <f t="shared" si="18"/>
        <v>0</v>
      </c>
      <c r="AA19" s="48">
        <f t="shared" si="19"/>
        <v>241.754907462117</v>
      </c>
      <c r="AB19" s="69">
        <f t="shared" si="20"/>
        <v>19733.9601927866</v>
      </c>
      <c r="AC19" s="70">
        <f t="shared" si="21"/>
        <v>19975.7151002487</v>
      </c>
      <c r="AD19" s="70">
        <f t="shared" si="22"/>
        <v>1406.74989824681</v>
      </c>
      <c r="AE19" s="70">
        <f t="shared" si="10"/>
        <v>0.363195728689098</v>
      </c>
      <c r="AF19" s="70">
        <f t="shared" si="11"/>
        <v>102.506403240764</v>
      </c>
      <c r="AG19" s="70">
        <f t="shared" si="12"/>
        <v>64346.9807704207</v>
      </c>
      <c r="AH19" s="70">
        <f t="shared" si="13"/>
        <v>1848.00193229393</v>
      </c>
      <c r="AI19" s="70">
        <f t="shared" si="23"/>
        <v>0.169467773409258</v>
      </c>
      <c r="AJ19" s="48">
        <f t="shared" si="24"/>
        <v>1</v>
      </c>
      <c r="AK19" s="69">
        <f t="shared" si="30"/>
        <v>2191.83957941731</v>
      </c>
      <c r="AL19" s="70">
        <f t="shared" si="25"/>
        <v>0</v>
      </c>
      <c r="AM19" s="70">
        <f t="shared" si="14"/>
        <v>0</v>
      </c>
      <c r="AN19" s="70">
        <f t="shared" si="26"/>
        <v>77.3653902080014</v>
      </c>
      <c r="AO19" s="87">
        <f t="shared" si="27"/>
        <v>29210.5342703264</v>
      </c>
      <c r="AP19" s="87">
        <f t="shared" si="28"/>
        <v>1355.63946790755</v>
      </c>
      <c r="AQ19" s="70">
        <f t="shared" si="15"/>
        <v>0.215428100403511</v>
      </c>
      <c r="AR19" s="48">
        <f t="shared" si="16"/>
        <v>1</v>
      </c>
      <c r="AS19" s="48">
        <f t="shared" si="31"/>
        <v>1545.42899341461</v>
      </c>
      <c r="AV19" s="11"/>
    </row>
    <row r="20" ht="15.5" spans="1:48">
      <c r="A20" s="25"/>
      <c r="B20" s="26" t="s">
        <v>133</v>
      </c>
      <c r="C20" s="27">
        <v>350</v>
      </c>
      <c r="D20" s="28">
        <v>67.8643773754398</v>
      </c>
      <c r="E20" s="27">
        <v>165</v>
      </c>
      <c r="F20" s="27">
        <v>2.81</v>
      </c>
      <c r="G20" s="27">
        <v>500</v>
      </c>
      <c r="H20" s="27">
        <v>0</v>
      </c>
      <c r="I20" s="27">
        <v>0</v>
      </c>
      <c r="J20" s="27">
        <v>0</v>
      </c>
      <c r="K20" s="27">
        <v>0</v>
      </c>
      <c r="L20" s="51">
        <v>2160</v>
      </c>
      <c r="M20" s="51">
        <f t="shared" si="29"/>
        <v>2202.09642499753</v>
      </c>
      <c r="N20" s="48">
        <f t="shared" si="0"/>
        <v>1.019489085647</v>
      </c>
      <c r="O20" s="49"/>
      <c r="P20" s="48">
        <f t="shared" si="1"/>
        <v>1</v>
      </c>
      <c r="Q20" s="27">
        <f t="shared" si="2"/>
        <v>165</v>
      </c>
      <c r="R20" s="27">
        <f t="shared" si="3"/>
        <v>2.81</v>
      </c>
      <c r="S20" s="57">
        <f t="shared" si="4"/>
        <v>0</v>
      </c>
      <c r="T20" s="58">
        <f t="shared" si="5"/>
        <v>79.69</v>
      </c>
      <c r="U20" s="48">
        <f t="shared" si="6"/>
        <v>40.1799408414617</v>
      </c>
      <c r="V20" s="48">
        <f t="shared" si="17"/>
        <v>40.1799408414617</v>
      </c>
      <c r="W20" s="59">
        <f t="shared" si="7"/>
        <v>0.504203047326662</v>
      </c>
      <c r="X20" s="48">
        <f t="shared" si="8"/>
        <v>0</v>
      </c>
      <c r="Y20" s="48">
        <f t="shared" si="9"/>
        <v>44.803321040374</v>
      </c>
      <c r="Z20" s="48">
        <f t="shared" si="18"/>
        <v>0</v>
      </c>
      <c r="AA20" s="48">
        <f t="shared" si="19"/>
        <v>0</v>
      </c>
      <c r="AB20" s="69">
        <f t="shared" si="20"/>
        <v>19950.6718944106</v>
      </c>
      <c r="AC20" s="70">
        <f t="shared" si="21"/>
        <v>19950.6718944106</v>
      </c>
      <c r="AD20" s="70">
        <f t="shared" si="22"/>
        <v>1431.7931040849</v>
      </c>
      <c r="AE20" s="70">
        <f t="shared" si="10"/>
        <v>0.370125421875922</v>
      </c>
      <c r="AF20" s="70">
        <f t="shared" si="11"/>
        <v>102.986088140561</v>
      </c>
      <c r="AG20" s="70">
        <f t="shared" si="12"/>
        <v>67498.6922312948</v>
      </c>
      <c r="AH20" s="70">
        <f t="shared" si="13"/>
        <v>1855.06751276558</v>
      </c>
      <c r="AI20" s="70">
        <f t="shared" si="23"/>
        <v>0.165780017300544</v>
      </c>
      <c r="AJ20" s="48">
        <f t="shared" si="24"/>
        <v>1</v>
      </c>
      <c r="AK20" s="69">
        <f t="shared" si="30"/>
        <v>2202.09642499753</v>
      </c>
      <c r="AL20" s="70">
        <f t="shared" si="25"/>
        <v>1431.7931040849</v>
      </c>
      <c r="AM20" s="70">
        <f t="shared" si="14"/>
        <v>0.370125421875921</v>
      </c>
      <c r="AN20" s="70">
        <f t="shared" si="26"/>
        <v>102.986088140561</v>
      </c>
      <c r="AO20" s="87">
        <f t="shared" si="27"/>
        <v>67498.6922312948</v>
      </c>
      <c r="AP20" s="87">
        <f t="shared" si="28"/>
        <v>1855.06751276558</v>
      </c>
      <c r="AQ20" s="70">
        <f t="shared" si="15"/>
        <v>0.165780017300544</v>
      </c>
      <c r="AR20" s="48">
        <f t="shared" si="16"/>
        <v>1</v>
      </c>
      <c r="AS20" s="48">
        <f t="shared" si="31"/>
        <v>2202.09642499752</v>
      </c>
      <c r="AV20" s="11"/>
    </row>
    <row r="21" ht="15.5" spans="1:48">
      <c r="A21" s="25"/>
      <c r="B21" s="26" t="s">
        <v>134</v>
      </c>
      <c r="C21" s="27">
        <v>350</v>
      </c>
      <c r="D21" s="28">
        <v>67.8643773754398</v>
      </c>
      <c r="E21" s="27">
        <v>165</v>
      </c>
      <c r="F21" s="27">
        <v>2.81</v>
      </c>
      <c r="G21" s="27">
        <v>500</v>
      </c>
      <c r="H21" s="27">
        <v>0</v>
      </c>
      <c r="I21" s="27">
        <v>0</v>
      </c>
      <c r="J21" s="27">
        <v>0</v>
      </c>
      <c r="K21" s="27">
        <v>0</v>
      </c>
      <c r="L21" s="51">
        <v>2095</v>
      </c>
      <c r="M21" s="51">
        <f t="shared" si="29"/>
        <v>2202.09642499753</v>
      </c>
      <c r="N21" s="48">
        <f t="shared" si="0"/>
        <v>1.05112001193199</v>
      </c>
      <c r="O21" s="49"/>
      <c r="P21" s="48">
        <f t="shared" si="1"/>
        <v>1</v>
      </c>
      <c r="Q21" s="27">
        <f t="shared" si="2"/>
        <v>165</v>
      </c>
      <c r="R21" s="27">
        <f t="shared" si="3"/>
        <v>2.81</v>
      </c>
      <c r="S21" s="57">
        <f t="shared" si="4"/>
        <v>0</v>
      </c>
      <c r="T21" s="58">
        <f t="shared" si="5"/>
        <v>79.69</v>
      </c>
      <c r="U21" s="48">
        <f t="shared" si="6"/>
        <v>40.1799408414617</v>
      </c>
      <c r="V21" s="48">
        <f t="shared" si="17"/>
        <v>40.1799408414617</v>
      </c>
      <c r="W21" s="59">
        <f t="shared" si="7"/>
        <v>0.504203047326662</v>
      </c>
      <c r="X21" s="48">
        <f t="shared" si="8"/>
        <v>0</v>
      </c>
      <c r="Y21" s="48">
        <f t="shared" si="9"/>
        <v>44.803321040374</v>
      </c>
      <c r="Z21" s="48">
        <f t="shared" si="18"/>
        <v>0</v>
      </c>
      <c r="AA21" s="48">
        <f t="shared" si="19"/>
        <v>0</v>
      </c>
      <c r="AB21" s="69">
        <f t="shared" si="20"/>
        <v>19950.6718944106</v>
      </c>
      <c r="AC21" s="70">
        <f t="shared" si="21"/>
        <v>19950.6718944106</v>
      </c>
      <c r="AD21" s="70">
        <f t="shared" si="22"/>
        <v>1431.7931040849</v>
      </c>
      <c r="AE21" s="70">
        <f t="shared" si="10"/>
        <v>0.370125421875922</v>
      </c>
      <c r="AF21" s="70">
        <f t="shared" si="11"/>
        <v>102.986088140561</v>
      </c>
      <c r="AG21" s="70">
        <f t="shared" si="12"/>
        <v>67498.6922312948</v>
      </c>
      <c r="AH21" s="70">
        <f t="shared" si="13"/>
        <v>1855.06751276558</v>
      </c>
      <c r="AI21" s="70">
        <f t="shared" si="23"/>
        <v>0.165780017300544</v>
      </c>
      <c r="AJ21" s="48">
        <f t="shared" si="24"/>
        <v>1</v>
      </c>
      <c r="AK21" s="69">
        <f t="shared" si="30"/>
        <v>2202.09642499753</v>
      </c>
      <c r="AL21" s="70">
        <f t="shared" si="25"/>
        <v>1431.7931040849</v>
      </c>
      <c r="AM21" s="70">
        <f t="shared" si="14"/>
        <v>0.370125421875921</v>
      </c>
      <c r="AN21" s="70">
        <f t="shared" si="26"/>
        <v>102.986088140561</v>
      </c>
      <c r="AO21" s="87">
        <f t="shared" si="27"/>
        <v>67498.6922312948</v>
      </c>
      <c r="AP21" s="87">
        <f t="shared" si="28"/>
        <v>1855.06751276558</v>
      </c>
      <c r="AQ21" s="70">
        <f t="shared" si="15"/>
        <v>0.165780017300544</v>
      </c>
      <c r="AR21" s="48">
        <f t="shared" si="16"/>
        <v>1</v>
      </c>
      <c r="AS21" s="48">
        <f t="shared" si="31"/>
        <v>2202.09642499752</v>
      </c>
      <c r="AV21" s="11"/>
    </row>
    <row r="22" ht="15.5" spans="1:48">
      <c r="A22" s="25"/>
      <c r="B22" s="26" t="s">
        <v>135</v>
      </c>
      <c r="C22" s="27">
        <v>350</v>
      </c>
      <c r="D22" s="28">
        <v>67.8643773754398</v>
      </c>
      <c r="E22" s="27">
        <v>165</v>
      </c>
      <c r="F22" s="27">
        <v>2.76</v>
      </c>
      <c r="G22" s="27">
        <v>500</v>
      </c>
      <c r="H22" s="27">
        <v>0</v>
      </c>
      <c r="I22" s="27">
        <v>0</v>
      </c>
      <c r="J22" s="27">
        <v>0</v>
      </c>
      <c r="K22" s="27">
        <v>0</v>
      </c>
      <c r="L22" s="51">
        <v>2250</v>
      </c>
      <c r="M22" s="51">
        <f t="shared" si="29"/>
        <v>2191.83957941731</v>
      </c>
      <c r="N22" s="48">
        <f t="shared" si="0"/>
        <v>0.97415092418547</v>
      </c>
      <c r="O22" s="49"/>
      <c r="P22" s="48">
        <f t="shared" si="1"/>
        <v>1</v>
      </c>
      <c r="Q22" s="27">
        <f t="shared" si="2"/>
        <v>165</v>
      </c>
      <c r="R22" s="27">
        <f t="shared" si="3"/>
        <v>2.76</v>
      </c>
      <c r="S22" s="57">
        <f t="shared" si="4"/>
        <v>0</v>
      </c>
      <c r="T22" s="58">
        <f t="shared" si="5"/>
        <v>79.74</v>
      </c>
      <c r="U22" s="48">
        <f t="shared" si="6"/>
        <v>39.8208635699121</v>
      </c>
      <c r="V22" s="48">
        <f t="shared" si="17"/>
        <v>39.8208635699121</v>
      </c>
      <c r="W22" s="59">
        <f t="shared" si="7"/>
        <v>0.499383791947731</v>
      </c>
      <c r="X22" s="48">
        <f t="shared" si="8"/>
        <v>0</v>
      </c>
      <c r="Y22" s="48">
        <f t="shared" si="9"/>
        <v>44.7390112713651</v>
      </c>
      <c r="Z22" s="48">
        <f t="shared" si="18"/>
        <v>0</v>
      </c>
      <c r="AA22" s="48">
        <f t="shared" si="19"/>
        <v>0</v>
      </c>
      <c r="AB22" s="69">
        <f t="shared" si="20"/>
        <v>19975.7151002487</v>
      </c>
      <c r="AC22" s="70">
        <f t="shared" si="21"/>
        <v>19975.7151002487</v>
      </c>
      <c r="AD22" s="70">
        <f t="shared" si="22"/>
        <v>1406.74989824681</v>
      </c>
      <c r="AE22" s="70">
        <f t="shared" si="10"/>
        <v>0.363195728689098</v>
      </c>
      <c r="AF22" s="70">
        <f t="shared" si="11"/>
        <v>102.506403240764</v>
      </c>
      <c r="AG22" s="70">
        <f t="shared" si="12"/>
        <v>66946.5987935457</v>
      </c>
      <c r="AH22" s="70">
        <f t="shared" si="13"/>
        <v>1848.00193229393</v>
      </c>
      <c r="AI22" s="70">
        <f t="shared" si="23"/>
        <v>0.166144875891429</v>
      </c>
      <c r="AJ22" s="48">
        <f t="shared" si="24"/>
        <v>1</v>
      </c>
      <c r="AK22" s="69">
        <f t="shared" si="30"/>
        <v>2191.83957941731</v>
      </c>
      <c r="AL22" s="70">
        <f t="shared" si="25"/>
        <v>1406.74989824681</v>
      </c>
      <c r="AM22" s="70">
        <f t="shared" si="14"/>
        <v>0.363195728689098</v>
      </c>
      <c r="AN22" s="70">
        <f t="shared" si="26"/>
        <v>102.506403240764</v>
      </c>
      <c r="AO22" s="87">
        <f t="shared" si="27"/>
        <v>66946.5987935457</v>
      </c>
      <c r="AP22" s="87">
        <f t="shared" si="28"/>
        <v>1848.00193229393</v>
      </c>
      <c r="AQ22" s="70">
        <f t="shared" si="15"/>
        <v>0.166144875891429</v>
      </c>
      <c r="AR22" s="48">
        <f t="shared" si="16"/>
        <v>1</v>
      </c>
      <c r="AS22" s="48">
        <f t="shared" si="31"/>
        <v>2191.8395794173</v>
      </c>
      <c r="AV22" s="11"/>
    </row>
    <row r="23" ht="15.5" spans="1:48">
      <c r="A23" s="25"/>
      <c r="B23" s="26" t="s">
        <v>136</v>
      </c>
      <c r="C23" s="27">
        <v>350</v>
      </c>
      <c r="D23" s="28">
        <v>48.6052541412026</v>
      </c>
      <c r="E23" s="27">
        <v>165</v>
      </c>
      <c r="F23" s="27">
        <v>2.72</v>
      </c>
      <c r="G23" s="27">
        <v>510</v>
      </c>
      <c r="H23" s="27">
        <v>0</v>
      </c>
      <c r="I23" s="27">
        <v>0</v>
      </c>
      <c r="J23" s="27">
        <v>0</v>
      </c>
      <c r="K23" s="27">
        <v>0</v>
      </c>
      <c r="L23" s="51">
        <v>1750</v>
      </c>
      <c r="M23" s="51">
        <f t="shared" si="29"/>
        <v>1714.187401665</v>
      </c>
      <c r="N23" s="48">
        <f t="shared" si="0"/>
        <v>0.979535658094287</v>
      </c>
      <c r="O23" s="49"/>
      <c r="P23" s="48">
        <f t="shared" si="1"/>
        <v>1</v>
      </c>
      <c r="Q23" s="27">
        <f t="shared" si="2"/>
        <v>165</v>
      </c>
      <c r="R23" s="27">
        <f t="shared" si="3"/>
        <v>2.72</v>
      </c>
      <c r="S23" s="57">
        <f t="shared" si="4"/>
        <v>0</v>
      </c>
      <c r="T23" s="58">
        <f t="shared" si="5"/>
        <v>79.78</v>
      </c>
      <c r="U23" s="48">
        <f t="shared" si="6"/>
        <v>39.5312534458206</v>
      </c>
      <c r="V23" s="48">
        <f t="shared" si="17"/>
        <v>39.5312534458206</v>
      </c>
      <c r="W23" s="59">
        <f t="shared" si="7"/>
        <v>0.49550330215368</v>
      </c>
      <c r="X23" s="48">
        <f t="shared" si="8"/>
        <v>0</v>
      </c>
      <c r="Y23" s="48">
        <f t="shared" si="9"/>
        <v>44.6875896889586</v>
      </c>
      <c r="Z23" s="48">
        <f t="shared" si="18"/>
        <v>0</v>
      </c>
      <c r="AA23" s="48">
        <f t="shared" si="19"/>
        <v>0</v>
      </c>
      <c r="AB23" s="69">
        <f t="shared" si="20"/>
        <v>19995.7609746527</v>
      </c>
      <c r="AC23" s="70">
        <f t="shared" si="21"/>
        <v>19995.7609746527</v>
      </c>
      <c r="AD23" s="70">
        <f t="shared" si="22"/>
        <v>1386.70402384278</v>
      </c>
      <c r="AE23" s="70">
        <f t="shared" si="10"/>
        <v>0.499379448288721</v>
      </c>
      <c r="AF23" s="70">
        <f t="shared" si="11"/>
        <v>80.1679040178771</v>
      </c>
      <c r="AG23" s="70">
        <f t="shared" si="12"/>
        <v>61460.0501253494</v>
      </c>
      <c r="AH23" s="70">
        <f t="shared" si="13"/>
        <v>1457.24545226471</v>
      </c>
      <c r="AI23" s="70">
        <f t="shared" si="23"/>
        <v>0.153981979822818</v>
      </c>
      <c r="AJ23" s="48">
        <f t="shared" si="24"/>
        <v>1</v>
      </c>
      <c r="AK23" s="69">
        <f t="shared" si="30"/>
        <v>1714.187401665</v>
      </c>
      <c r="AL23" s="70">
        <f t="shared" si="25"/>
        <v>1386.70402384278</v>
      </c>
      <c r="AM23" s="70">
        <f t="shared" si="14"/>
        <v>0.49937944828872</v>
      </c>
      <c r="AN23" s="70">
        <f t="shared" si="26"/>
        <v>80.1679040178771</v>
      </c>
      <c r="AO23" s="87">
        <f t="shared" si="27"/>
        <v>61460.0501253494</v>
      </c>
      <c r="AP23" s="87">
        <f t="shared" si="28"/>
        <v>1457.24545226471</v>
      </c>
      <c r="AQ23" s="70">
        <f t="shared" si="15"/>
        <v>0.153981979822818</v>
      </c>
      <c r="AR23" s="48">
        <f t="shared" si="16"/>
        <v>1</v>
      </c>
      <c r="AS23" s="48">
        <f t="shared" si="31"/>
        <v>1714.187401665</v>
      </c>
      <c r="AV23" s="11"/>
    </row>
    <row r="24" ht="15.5" spans="1:48">
      <c r="A24" s="25"/>
      <c r="B24" s="26" t="s">
        <v>137</v>
      </c>
      <c r="C24" s="27">
        <v>350</v>
      </c>
      <c r="D24" s="28">
        <v>48.6052541412026</v>
      </c>
      <c r="E24" s="27">
        <v>165</v>
      </c>
      <c r="F24" s="27">
        <v>2.74</v>
      </c>
      <c r="G24" s="27">
        <v>510</v>
      </c>
      <c r="H24" s="27">
        <v>2.74</v>
      </c>
      <c r="I24" s="28">
        <v>6.94494297128272</v>
      </c>
      <c r="J24" s="27">
        <v>20</v>
      </c>
      <c r="K24" s="27">
        <v>255</v>
      </c>
      <c r="L24" s="51">
        <v>1785</v>
      </c>
      <c r="M24" s="51">
        <f t="shared" si="29"/>
        <v>1710.9135472811</v>
      </c>
      <c r="N24" s="48">
        <f t="shared" si="0"/>
        <v>0.958494984471206</v>
      </c>
      <c r="O24" s="49"/>
      <c r="P24" s="48">
        <f t="shared" si="1"/>
        <v>1</v>
      </c>
      <c r="Q24" s="27">
        <f t="shared" si="2"/>
        <v>159.52</v>
      </c>
      <c r="R24" s="27">
        <f t="shared" si="3"/>
        <v>0</v>
      </c>
      <c r="S24" s="28">
        <f t="shared" si="4"/>
        <v>0.121212121212121</v>
      </c>
      <c r="T24" s="58">
        <f t="shared" si="5"/>
        <v>79.76</v>
      </c>
      <c r="U24" s="48">
        <f t="shared" si="6"/>
        <v>39.6763227533201</v>
      </c>
      <c r="V24" s="48">
        <f t="shared" si="17"/>
        <v>39.6763227533201</v>
      </c>
      <c r="W24" s="59">
        <f t="shared" si="7"/>
        <v>0.558052434143173</v>
      </c>
      <c r="X24" s="48">
        <f t="shared" si="8"/>
        <v>5</v>
      </c>
      <c r="Y24" s="48">
        <f t="shared" si="9"/>
        <v>45.9302736173208</v>
      </c>
      <c r="Z24" s="48">
        <f t="shared" si="18"/>
        <v>0</v>
      </c>
      <c r="AA24" s="48">
        <f t="shared" si="19"/>
        <v>241.0604697447</v>
      </c>
      <c r="AB24" s="69">
        <f t="shared" si="20"/>
        <v>19744.676311069</v>
      </c>
      <c r="AC24" s="70">
        <f t="shared" si="21"/>
        <v>19985.7367808137</v>
      </c>
      <c r="AD24" s="70">
        <f t="shared" si="22"/>
        <v>1396.72821768185</v>
      </c>
      <c r="AE24" s="70">
        <f t="shared" si="10"/>
        <v>0.503241641107625</v>
      </c>
      <c r="AF24" s="70">
        <f t="shared" si="11"/>
        <v>80.3593813386524</v>
      </c>
      <c r="AG24" s="70">
        <f t="shared" si="12"/>
        <v>61675.2193047739</v>
      </c>
      <c r="AH24" s="70">
        <f t="shared" si="13"/>
        <v>1460.26669161928</v>
      </c>
      <c r="AI24" s="70">
        <f t="shared" si="23"/>
        <v>0.153872403786308</v>
      </c>
      <c r="AJ24" s="48">
        <f t="shared" si="24"/>
        <v>1</v>
      </c>
      <c r="AK24" s="69">
        <f t="shared" si="30"/>
        <v>1718.28165877449</v>
      </c>
      <c r="AL24" s="70">
        <f t="shared" si="25"/>
        <v>0</v>
      </c>
      <c r="AM24" s="70">
        <f t="shared" si="14"/>
        <v>0</v>
      </c>
      <c r="AN24" s="70">
        <f t="shared" si="26"/>
        <v>55.409989720971</v>
      </c>
      <c r="AO24" s="87">
        <f t="shared" si="27"/>
        <v>26780.6312958631</v>
      </c>
      <c r="AP24" s="87">
        <f t="shared" si="28"/>
        <v>971.411815430629</v>
      </c>
      <c r="AQ24" s="70">
        <f t="shared" si="15"/>
        <v>0.190454520658513</v>
      </c>
      <c r="AR24" s="48">
        <f t="shared" si="16"/>
        <v>1</v>
      </c>
      <c r="AS24" s="48">
        <f t="shared" si="31"/>
        <v>1107.40946959092</v>
      </c>
      <c r="AV24" s="11"/>
    </row>
    <row r="25" ht="15.5" spans="1:48">
      <c r="A25" s="31"/>
      <c r="B25" s="32" t="s">
        <v>138</v>
      </c>
      <c r="C25" s="33">
        <v>350</v>
      </c>
      <c r="D25" s="34">
        <v>38.6449887560653</v>
      </c>
      <c r="E25" s="33">
        <v>165</v>
      </c>
      <c r="F25" s="33">
        <v>2.75</v>
      </c>
      <c r="G25" s="33">
        <v>510</v>
      </c>
      <c r="H25" s="33">
        <v>0</v>
      </c>
      <c r="I25" s="33">
        <v>0</v>
      </c>
      <c r="J25" s="33">
        <v>0</v>
      </c>
      <c r="K25" s="33">
        <v>255</v>
      </c>
      <c r="L25" s="52">
        <v>1560</v>
      </c>
      <c r="M25" s="52">
        <f t="shared" ref="M25:M56" si="32">(AK25*AB25/AC25+AS25*AA25/AC25)*P25</f>
        <v>1477.53841293565</v>
      </c>
      <c r="N25" s="48">
        <f t="shared" si="0"/>
        <v>0.947140008292081</v>
      </c>
      <c r="O25" s="49"/>
      <c r="P25" s="48">
        <f t="shared" si="1"/>
        <v>1</v>
      </c>
      <c r="Q25" s="27">
        <f t="shared" si="2"/>
        <v>165</v>
      </c>
      <c r="R25" s="27">
        <f t="shared" si="3"/>
        <v>2.75</v>
      </c>
      <c r="S25" s="57">
        <f t="shared" si="4"/>
        <v>0</v>
      </c>
      <c r="T25" s="58">
        <f t="shared" si="5"/>
        <v>79.75</v>
      </c>
      <c r="U25" s="48">
        <f t="shared" si="6"/>
        <v>39.7486588621502</v>
      </c>
      <c r="V25" s="48">
        <f t="shared" si="17"/>
        <v>39.7486588621502</v>
      </c>
      <c r="W25" s="59">
        <f t="shared" si="7"/>
        <v>0.498415785105331</v>
      </c>
      <c r="X25" s="48">
        <f t="shared" si="8"/>
        <v>0</v>
      </c>
      <c r="Y25" s="48">
        <f t="shared" si="9"/>
        <v>44.7261536856188</v>
      </c>
      <c r="Z25" s="48">
        <f t="shared" si="18"/>
        <v>0</v>
      </c>
      <c r="AA25" s="48">
        <f t="shared" si="19"/>
        <v>0</v>
      </c>
      <c r="AB25" s="69">
        <f t="shared" si="20"/>
        <v>19980.7256263719</v>
      </c>
      <c r="AC25" s="70">
        <f t="shared" si="21"/>
        <v>19980.7256263719</v>
      </c>
      <c r="AD25" s="70">
        <f t="shared" si="22"/>
        <v>1401.7393721236</v>
      </c>
      <c r="AE25" s="70">
        <f t="shared" si="10"/>
        <v>0.635376100487585</v>
      </c>
      <c r="AF25" s="70">
        <f t="shared" si="11"/>
        <v>69.1004714863141</v>
      </c>
      <c r="AG25" s="70">
        <f t="shared" si="12"/>
        <v>60272.8718574454</v>
      </c>
      <c r="AH25" s="70">
        <f t="shared" si="13"/>
        <v>1262.76369741243</v>
      </c>
      <c r="AI25" s="70">
        <f t="shared" si="23"/>
        <v>0.144743843799553</v>
      </c>
      <c r="AJ25" s="48">
        <f t="shared" si="24"/>
        <v>1</v>
      </c>
      <c r="AK25" s="48">
        <f t="shared" si="30"/>
        <v>1477.53841293565</v>
      </c>
      <c r="AL25" s="70">
        <f t="shared" si="25"/>
        <v>1401.7393721236</v>
      </c>
      <c r="AM25" s="70">
        <f t="shared" si="14"/>
        <v>0.635376100487582</v>
      </c>
      <c r="AN25" s="70">
        <f t="shared" si="26"/>
        <v>69.100471486314</v>
      </c>
      <c r="AO25" s="87">
        <f t="shared" si="27"/>
        <v>60272.8718574454</v>
      </c>
      <c r="AP25" s="87">
        <f t="shared" si="28"/>
        <v>1262.76369741243</v>
      </c>
      <c r="AQ25" s="70">
        <f t="shared" si="15"/>
        <v>0.144743843799553</v>
      </c>
      <c r="AR25" s="48">
        <f t="shared" si="16"/>
        <v>1</v>
      </c>
      <c r="AS25" s="48">
        <f t="shared" si="31"/>
        <v>1477.53841293565</v>
      </c>
      <c r="AV25" s="11"/>
    </row>
    <row r="26" ht="15.5" spans="1:48">
      <c r="A26" s="21" t="s">
        <v>139</v>
      </c>
      <c r="B26" s="26" t="s">
        <v>140</v>
      </c>
      <c r="C26" s="27">
        <v>261.3</v>
      </c>
      <c r="D26" s="28">
        <v>48.3234480386631</v>
      </c>
      <c r="E26" s="27">
        <v>111.64</v>
      </c>
      <c r="F26" s="27">
        <v>1.9</v>
      </c>
      <c r="G26" s="27">
        <v>400</v>
      </c>
      <c r="H26" s="27">
        <v>1.9</v>
      </c>
      <c r="I26" s="28">
        <v>49.2690329026863</v>
      </c>
      <c r="J26" s="27">
        <v>6</v>
      </c>
      <c r="K26" s="27">
        <v>200</v>
      </c>
      <c r="L26" s="51">
        <v>576.83</v>
      </c>
      <c r="M26" s="51">
        <f t="shared" si="32"/>
        <v>723.695992449306</v>
      </c>
      <c r="N26" s="53">
        <f t="shared" si="0"/>
        <v>1.2546087971314</v>
      </c>
      <c r="O26" s="49"/>
      <c r="P26" s="53">
        <f t="shared" si="1"/>
        <v>1</v>
      </c>
      <c r="Q26" s="23">
        <f t="shared" si="2"/>
        <v>107.84</v>
      </c>
      <c r="R26" s="23">
        <f t="shared" si="3"/>
        <v>0</v>
      </c>
      <c r="S26" s="24">
        <f t="shared" si="4"/>
        <v>0.859906843425295</v>
      </c>
      <c r="T26" s="46">
        <f t="shared" si="5"/>
        <v>53.92</v>
      </c>
      <c r="U26" s="53">
        <f t="shared" si="6"/>
        <v>27.1769600087926</v>
      </c>
      <c r="V26" s="53">
        <f t="shared" si="17"/>
        <v>27.1769600087926</v>
      </c>
      <c r="W26" s="60">
        <f t="shared" si="7"/>
        <v>0.933977160748118</v>
      </c>
      <c r="X26" s="53">
        <f t="shared" si="8"/>
        <v>1.5</v>
      </c>
      <c r="Y26" s="53">
        <f t="shared" si="9"/>
        <v>37.8884761833171</v>
      </c>
      <c r="Z26" s="53">
        <f t="shared" si="18"/>
        <v>0</v>
      </c>
      <c r="AA26" s="53">
        <f t="shared" si="19"/>
        <v>108.969292506297</v>
      </c>
      <c r="AB26" s="47">
        <f t="shared" si="20"/>
        <v>9024.79163102751</v>
      </c>
      <c r="AC26" s="72">
        <f t="shared" si="21"/>
        <v>9133.7609235338</v>
      </c>
      <c r="AD26" s="72">
        <f t="shared" si="22"/>
        <v>655.040917829394</v>
      </c>
      <c r="AE26" s="72">
        <f t="shared" si="10"/>
        <v>0.387793284835224</v>
      </c>
      <c r="AF26" s="72">
        <f t="shared" si="11"/>
        <v>74.2030295865429</v>
      </c>
      <c r="AG26" s="72">
        <f t="shared" si="12"/>
        <v>21248.0627211809</v>
      </c>
      <c r="AH26" s="72">
        <f t="shared" si="13"/>
        <v>612.537013214778</v>
      </c>
      <c r="AI26" s="72">
        <f t="shared" si="23"/>
        <v>0.169787806794739</v>
      </c>
      <c r="AJ26" s="53">
        <f t="shared" si="24"/>
        <v>1</v>
      </c>
      <c r="AK26" s="53">
        <f t="shared" si="30"/>
        <v>726.358752651479</v>
      </c>
      <c r="AL26" s="72">
        <f t="shared" si="25"/>
        <v>0</v>
      </c>
      <c r="AM26" s="72">
        <f t="shared" si="14"/>
        <v>0</v>
      </c>
      <c r="AN26" s="72">
        <f t="shared" si="26"/>
        <v>55.0887307640759</v>
      </c>
      <c r="AO26" s="88">
        <f t="shared" si="27"/>
        <v>9079.24801104266</v>
      </c>
      <c r="AP26" s="88">
        <f t="shared" si="28"/>
        <v>441.374821385957</v>
      </c>
      <c r="AQ26" s="72">
        <f t="shared" si="15"/>
        <v>0.220484892713526</v>
      </c>
      <c r="AR26" s="53">
        <f t="shared" si="16"/>
        <v>1</v>
      </c>
      <c r="AS26" s="53">
        <f t="shared" si="31"/>
        <v>503.167296379991</v>
      </c>
      <c r="AV26" s="11"/>
    </row>
    <row r="27" ht="15.75" customHeight="1" spans="1:48">
      <c r="A27" s="25"/>
      <c r="B27" s="26" t="s">
        <v>141</v>
      </c>
      <c r="C27" s="27">
        <v>261.3</v>
      </c>
      <c r="D27" s="28">
        <v>48.3234480386631</v>
      </c>
      <c r="E27" s="27">
        <v>111.64</v>
      </c>
      <c r="F27" s="27">
        <v>1.9</v>
      </c>
      <c r="G27" s="27">
        <v>400</v>
      </c>
      <c r="H27" s="27">
        <v>1.9</v>
      </c>
      <c r="I27" s="28">
        <v>36.9517746770148</v>
      </c>
      <c r="J27" s="27">
        <v>6</v>
      </c>
      <c r="K27" s="27">
        <v>200</v>
      </c>
      <c r="L27" s="51">
        <v>654.1</v>
      </c>
      <c r="M27" s="51">
        <f t="shared" si="32"/>
        <v>724.114956981923</v>
      </c>
      <c r="N27" s="48">
        <f t="shared" si="0"/>
        <v>1.10704014215246</v>
      </c>
      <c r="O27" s="49"/>
      <c r="P27" s="48">
        <f t="shared" si="1"/>
        <v>1</v>
      </c>
      <c r="Q27" s="27">
        <f t="shared" si="2"/>
        <v>107.84</v>
      </c>
      <c r="R27" s="27">
        <f t="shared" si="3"/>
        <v>0</v>
      </c>
      <c r="S27" s="28">
        <f t="shared" si="4"/>
        <v>0.644930132568972</v>
      </c>
      <c r="T27" s="58">
        <f t="shared" si="5"/>
        <v>53.92</v>
      </c>
      <c r="U27" s="48">
        <f t="shared" si="6"/>
        <v>27.1769600087926</v>
      </c>
      <c r="V27" s="48">
        <f t="shared" si="17"/>
        <v>27.1769600087926</v>
      </c>
      <c r="W27" s="59">
        <f t="shared" si="7"/>
        <v>0.826488805319957</v>
      </c>
      <c r="X27" s="48">
        <f t="shared" si="8"/>
        <v>1.5</v>
      </c>
      <c r="Y27" s="48">
        <f t="shared" si="9"/>
        <v>35.6556078899687</v>
      </c>
      <c r="Z27" s="48">
        <f t="shared" si="18"/>
        <v>0</v>
      </c>
      <c r="AA27" s="48">
        <f t="shared" si="19"/>
        <v>91.8238249319506</v>
      </c>
      <c r="AB27" s="69">
        <f t="shared" si="20"/>
        <v>9041.93709860185</v>
      </c>
      <c r="AC27" s="70">
        <f t="shared" si="21"/>
        <v>9133.7609235338</v>
      </c>
      <c r="AD27" s="70">
        <f t="shared" si="22"/>
        <v>655.040917829394</v>
      </c>
      <c r="AE27" s="70">
        <f t="shared" si="10"/>
        <v>0.387793284835224</v>
      </c>
      <c r="AF27" s="70">
        <f t="shared" si="11"/>
        <v>74.2030295865429</v>
      </c>
      <c r="AG27" s="70">
        <f t="shared" si="12"/>
        <v>21248.0627211809</v>
      </c>
      <c r="AH27" s="70">
        <f t="shared" si="13"/>
        <v>612.537013214778</v>
      </c>
      <c r="AI27" s="70">
        <f t="shared" si="23"/>
        <v>0.169787806794739</v>
      </c>
      <c r="AJ27" s="48">
        <f t="shared" si="24"/>
        <v>1</v>
      </c>
      <c r="AK27" s="69">
        <f t="shared" si="30"/>
        <v>726.358752651479</v>
      </c>
      <c r="AL27" s="70">
        <f t="shared" si="25"/>
        <v>0</v>
      </c>
      <c r="AM27" s="70">
        <f t="shared" si="14"/>
        <v>0</v>
      </c>
      <c r="AN27" s="70">
        <f t="shared" si="26"/>
        <v>55.0887307640759</v>
      </c>
      <c r="AO27" s="87">
        <f t="shared" si="27"/>
        <v>9079.24801104266</v>
      </c>
      <c r="AP27" s="87">
        <f t="shared" si="28"/>
        <v>441.374821385957</v>
      </c>
      <c r="AQ27" s="70">
        <f t="shared" si="15"/>
        <v>0.220484892713526</v>
      </c>
      <c r="AR27" s="48">
        <f t="shared" si="16"/>
        <v>1</v>
      </c>
      <c r="AS27" s="48">
        <f t="shared" si="31"/>
        <v>503.167296379991</v>
      </c>
      <c r="AV27" s="11"/>
    </row>
    <row r="28" ht="16.5" spans="1:48">
      <c r="A28" s="25"/>
      <c r="B28" s="35" t="s">
        <v>142</v>
      </c>
      <c r="C28" s="27">
        <v>261.3</v>
      </c>
      <c r="D28" s="28">
        <v>48.3234480386631</v>
      </c>
      <c r="E28" s="27">
        <v>111.64</v>
      </c>
      <c r="F28" s="27">
        <v>1.9</v>
      </c>
      <c r="G28" s="27">
        <v>400</v>
      </c>
      <c r="H28" s="27">
        <v>1.9</v>
      </c>
      <c r="I28" s="28">
        <v>31.5248039654964</v>
      </c>
      <c r="J28" s="28">
        <v>21.1961524227066</v>
      </c>
      <c r="K28" s="27">
        <v>200</v>
      </c>
      <c r="L28" s="51">
        <v>647.8</v>
      </c>
      <c r="M28" s="51">
        <f t="shared" si="32"/>
        <v>719.302210493015</v>
      </c>
      <c r="N28" s="48">
        <f t="shared" si="0"/>
        <v>1.11037698439799</v>
      </c>
      <c r="O28" s="49"/>
      <c r="P28" s="48">
        <f t="shared" si="1"/>
        <v>1</v>
      </c>
      <c r="Q28" s="27">
        <f t="shared" si="2"/>
        <v>107.84</v>
      </c>
      <c r="R28" s="27">
        <f t="shared" si="3"/>
        <v>0</v>
      </c>
      <c r="S28" s="28">
        <f t="shared" si="4"/>
        <v>0.550211625243677</v>
      </c>
      <c r="T28" s="58">
        <f t="shared" si="5"/>
        <v>53.92</v>
      </c>
      <c r="U28" s="48">
        <f t="shared" si="6"/>
        <v>27.1769600087926</v>
      </c>
      <c r="V28" s="48">
        <f t="shared" si="17"/>
        <v>27.1769600087926</v>
      </c>
      <c r="W28" s="59">
        <f t="shared" si="7"/>
        <v>0.779129551657309</v>
      </c>
      <c r="X28" s="48">
        <f t="shared" si="8"/>
        <v>5.29903810567665</v>
      </c>
      <c r="Y28" s="48">
        <f t="shared" si="9"/>
        <v>34.737274218014</v>
      </c>
      <c r="Z28" s="48">
        <f t="shared" si="18"/>
        <v>0</v>
      </c>
      <c r="AA28" s="48">
        <f t="shared" si="19"/>
        <v>288.777940244493</v>
      </c>
      <c r="AB28" s="69">
        <f t="shared" si="20"/>
        <v>8844.98298328931</v>
      </c>
      <c r="AC28" s="70">
        <f t="shared" si="21"/>
        <v>9133.7609235338</v>
      </c>
      <c r="AD28" s="70">
        <f t="shared" si="22"/>
        <v>655.040917829394</v>
      </c>
      <c r="AE28" s="70">
        <f t="shared" si="10"/>
        <v>0.387793284835224</v>
      </c>
      <c r="AF28" s="70">
        <f t="shared" si="11"/>
        <v>74.2030295865429</v>
      </c>
      <c r="AG28" s="70">
        <f t="shared" si="12"/>
        <v>21248.0627211809</v>
      </c>
      <c r="AH28" s="70">
        <f t="shared" si="13"/>
        <v>612.537013214778</v>
      </c>
      <c r="AI28" s="70">
        <f t="shared" si="23"/>
        <v>0.169787806794739</v>
      </c>
      <c r="AJ28" s="48">
        <f t="shared" si="24"/>
        <v>1</v>
      </c>
      <c r="AK28" s="69">
        <f t="shared" si="30"/>
        <v>726.358752651479</v>
      </c>
      <c r="AL28" s="70">
        <f t="shared" si="25"/>
        <v>0</v>
      </c>
      <c r="AM28" s="70">
        <f t="shared" si="14"/>
        <v>0</v>
      </c>
      <c r="AN28" s="70">
        <f t="shared" si="26"/>
        <v>55.0887307640759</v>
      </c>
      <c r="AO28" s="87">
        <f t="shared" si="27"/>
        <v>9079.24801104266</v>
      </c>
      <c r="AP28" s="87">
        <f t="shared" si="28"/>
        <v>441.374821385957</v>
      </c>
      <c r="AQ28" s="70">
        <f t="shared" si="15"/>
        <v>0.220484892713526</v>
      </c>
      <c r="AR28" s="48">
        <f t="shared" si="16"/>
        <v>1</v>
      </c>
      <c r="AS28" s="48">
        <f t="shared" si="31"/>
        <v>503.167296379991</v>
      </c>
      <c r="AV28" s="11"/>
    </row>
    <row r="29" ht="16.5" spans="1:48">
      <c r="A29" s="25"/>
      <c r="B29" s="35" t="s">
        <v>143</v>
      </c>
      <c r="C29" s="27">
        <v>261.3</v>
      </c>
      <c r="D29" s="28">
        <v>48.3234480386631</v>
      </c>
      <c r="E29" s="27">
        <v>111.64</v>
      </c>
      <c r="F29" s="27">
        <v>1.9</v>
      </c>
      <c r="G29" s="27">
        <v>400</v>
      </c>
      <c r="H29" s="27">
        <v>1.9</v>
      </c>
      <c r="I29" s="28">
        <v>21.7565402317643</v>
      </c>
      <c r="J29" s="28">
        <v>30.712812921102</v>
      </c>
      <c r="K29" s="27">
        <v>200</v>
      </c>
      <c r="L29" s="51">
        <v>649.5</v>
      </c>
      <c r="M29" s="51">
        <f t="shared" si="32"/>
        <v>717.933730694419</v>
      </c>
      <c r="N29" s="48">
        <f t="shared" si="0"/>
        <v>1.10536371161573</v>
      </c>
      <c r="O29" s="49"/>
      <c r="P29" s="48">
        <f t="shared" si="1"/>
        <v>1</v>
      </c>
      <c r="Q29" s="27">
        <f t="shared" si="2"/>
        <v>107.84</v>
      </c>
      <c r="R29" s="27">
        <f t="shared" si="3"/>
        <v>0</v>
      </c>
      <c r="S29" s="28">
        <f t="shared" si="4"/>
        <v>0.379723260886897</v>
      </c>
      <c r="T29" s="58">
        <f t="shared" si="5"/>
        <v>53.92</v>
      </c>
      <c r="U29" s="48">
        <f t="shared" si="6"/>
        <v>27.1769600087926</v>
      </c>
      <c r="V29" s="48">
        <f t="shared" si="17"/>
        <v>27.1769600087926</v>
      </c>
      <c r="W29" s="59">
        <f t="shared" si="7"/>
        <v>0.693885369478919</v>
      </c>
      <c r="X29" s="48">
        <f t="shared" si="8"/>
        <v>7.6782032302755</v>
      </c>
      <c r="Y29" s="48">
        <f t="shared" si="9"/>
        <v>33.194041203211</v>
      </c>
      <c r="Z29" s="48">
        <f t="shared" si="18"/>
        <v>0</v>
      </c>
      <c r="AA29" s="48">
        <f t="shared" si="19"/>
        <v>344.780833535624</v>
      </c>
      <c r="AB29" s="69">
        <f t="shared" si="20"/>
        <v>8788.98008999818</v>
      </c>
      <c r="AC29" s="70">
        <f t="shared" si="21"/>
        <v>9133.7609235338</v>
      </c>
      <c r="AD29" s="70">
        <f t="shared" si="22"/>
        <v>655.040917829394</v>
      </c>
      <c r="AE29" s="70">
        <f t="shared" si="10"/>
        <v>0.387793284835224</v>
      </c>
      <c r="AF29" s="70">
        <f t="shared" si="11"/>
        <v>74.2030295865429</v>
      </c>
      <c r="AG29" s="70">
        <f t="shared" si="12"/>
        <v>21248.0627211809</v>
      </c>
      <c r="AH29" s="70">
        <f t="shared" si="13"/>
        <v>612.537013214778</v>
      </c>
      <c r="AI29" s="70">
        <f t="shared" si="23"/>
        <v>0.169787806794739</v>
      </c>
      <c r="AJ29" s="48">
        <f t="shared" si="24"/>
        <v>1</v>
      </c>
      <c r="AK29" s="69">
        <f t="shared" si="30"/>
        <v>726.358752651479</v>
      </c>
      <c r="AL29" s="70">
        <f t="shared" si="25"/>
        <v>0</v>
      </c>
      <c r="AM29" s="70">
        <f t="shared" si="14"/>
        <v>0</v>
      </c>
      <c r="AN29" s="70">
        <f t="shared" si="26"/>
        <v>55.0887307640759</v>
      </c>
      <c r="AO29" s="87">
        <f t="shared" si="27"/>
        <v>9079.24801104266</v>
      </c>
      <c r="AP29" s="87">
        <f t="shared" si="28"/>
        <v>441.374821385957</v>
      </c>
      <c r="AQ29" s="70">
        <f t="shared" si="15"/>
        <v>0.220484892713526</v>
      </c>
      <c r="AR29" s="48">
        <f t="shared" si="16"/>
        <v>1</v>
      </c>
      <c r="AS29" s="48">
        <f t="shared" si="31"/>
        <v>503.167296379991</v>
      </c>
      <c r="AV29" s="11"/>
    </row>
    <row r="30" ht="15.5" spans="1:48">
      <c r="A30" s="25"/>
      <c r="B30" s="26" t="s">
        <v>144</v>
      </c>
      <c r="C30" s="27">
        <v>261.3</v>
      </c>
      <c r="D30" s="28">
        <v>48.3234480386631</v>
      </c>
      <c r="E30" s="27">
        <v>111.64</v>
      </c>
      <c r="F30" s="27">
        <v>1.9</v>
      </c>
      <c r="G30" s="27">
        <v>400</v>
      </c>
      <c r="H30" s="27">
        <v>1.9</v>
      </c>
      <c r="I30" s="28">
        <v>6.15862911283578</v>
      </c>
      <c r="J30" s="27">
        <v>13</v>
      </c>
      <c r="K30" s="27">
        <v>200</v>
      </c>
      <c r="L30" s="51">
        <v>672.2</v>
      </c>
      <c r="M30" s="51">
        <f t="shared" si="32"/>
        <v>723.797405480488</v>
      </c>
      <c r="N30" s="48">
        <f t="shared" si="0"/>
        <v>1.07675900845059</v>
      </c>
      <c r="O30" s="49"/>
      <c r="P30" s="48">
        <f t="shared" si="1"/>
        <v>1</v>
      </c>
      <c r="Q30" s="27">
        <f t="shared" si="2"/>
        <v>107.84</v>
      </c>
      <c r="R30" s="27">
        <f t="shared" si="3"/>
        <v>0</v>
      </c>
      <c r="S30" s="28">
        <f t="shared" si="4"/>
        <v>0.107488355428162</v>
      </c>
      <c r="T30" s="58">
        <f t="shared" si="5"/>
        <v>53.92</v>
      </c>
      <c r="U30" s="48">
        <f t="shared" si="6"/>
        <v>27.1769600087926</v>
      </c>
      <c r="V30" s="48">
        <f t="shared" si="17"/>
        <v>27.1769600087926</v>
      </c>
      <c r="W30" s="59">
        <f t="shared" si="7"/>
        <v>0.557767916749551</v>
      </c>
      <c r="X30" s="48">
        <f t="shared" si="8"/>
        <v>3.25</v>
      </c>
      <c r="Y30" s="48">
        <f t="shared" si="9"/>
        <v>31.0460939623092</v>
      </c>
      <c r="Z30" s="48">
        <f t="shared" si="18"/>
        <v>0</v>
      </c>
      <c r="AA30" s="48">
        <f t="shared" si="19"/>
        <v>104.819122975515</v>
      </c>
      <c r="AB30" s="69">
        <f t="shared" si="20"/>
        <v>9028.94180055829</v>
      </c>
      <c r="AC30" s="70">
        <f t="shared" si="21"/>
        <v>9133.7609235338</v>
      </c>
      <c r="AD30" s="70">
        <f t="shared" si="22"/>
        <v>655.040917829394</v>
      </c>
      <c r="AE30" s="70">
        <f t="shared" si="10"/>
        <v>0.387793284835224</v>
      </c>
      <c r="AF30" s="70">
        <f t="shared" si="11"/>
        <v>74.2030295865429</v>
      </c>
      <c r="AG30" s="70">
        <f t="shared" si="12"/>
        <v>21248.0627211809</v>
      </c>
      <c r="AH30" s="70">
        <f t="shared" si="13"/>
        <v>612.537013214778</v>
      </c>
      <c r="AI30" s="70">
        <f t="shared" si="23"/>
        <v>0.169787806794739</v>
      </c>
      <c r="AJ30" s="48">
        <f t="shared" si="24"/>
        <v>1</v>
      </c>
      <c r="AK30" s="69">
        <f t="shared" si="30"/>
        <v>726.358752651479</v>
      </c>
      <c r="AL30" s="70">
        <f t="shared" si="25"/>
        <v>0</v>
      </c>
      <c r="AM30" s="70">
        <f t="shared" si="14"/>
        <v>0</v>
      </c>
      <c r="AN30" s="70">
        <f t="shared" si="26"/>
        <v>55.0887307640759</v>
      </c>
      <c r="AO30" s="87">
        <f t="shared" si="27"/>
        <v>9079.24801104266</v>
      </c>
      <c r="AP30" s="87">
        <f t="shared" si="28"/>
        <v>441.374821385957</v>
      </c>
      <c r="AQ30" s="70">
        <f t="shared" si="15"/>
        <v>0.220484892713526</v>
      </c>
      <c r="AR30" s="48">
        <f t="shared" si="16"/>
        <v>1</v>
      </c>
      <c r="AS30" s="48">
        <f t="shared" si="31"/>
        <v>503.167296379991</v>
      </c>
      <c r="AV30" s="11"/>
    </row>
    <row r="31" ht="15.5" spans="1:48">
      <c r="A31" s="25"/>
      <c r="B31" s="26" t="s">
        <v>145</v>
      </c>
      <c r="C31" s="27">
        <v>259.6</v>
      </c>
      <c r="D31" s="28">
        <v>48.3234480386631</v>
      </c>
      <c r="E31" s="27">
        <v>113.64</v>
      </c>
      <c r="F31" s="27">
        <v>3.64</v>
      </c>
      <c r="G31" s="27">
        <v>400</v>
      </c>
      <c r="H31" s="27">
        <v>3.64</v>
      </c>
      <c r="I31" s="28">
        <v>6.0502407088788</v>
      </c>
      <c r="J31" s="27">
        <v>15</v>
      </c>
      <c r="K31" s="27">
        <v>200</v>
      </c>
      <c r="L31" s="51">
        <v>994.6</v>
      </c>
      <c r="M31" s="51">
        <f t="shared" si="32"/>
        <v>930.924663345678</v>
      </c>
      <c r="N31" s="48">
        <f t="shared" si="0"/>
        <v>0.935978949673918</v>
      </c>
      <c r="O31" s="49"/>
      <c r="P31" s="48">
        <f t="shared" si="1"/>
        <v>1</v>
      </c>
      <c r="Q31" s="27">
        <f t="shared" si="2"/>
        <v>106.36</v>
      </c>
      <c r="R31" s="27">
        <f t="shared" si="3"/>
        <v>0</v>
      </c>
      <c r="S31" s="28">
        <f t="shared" si="4"/>
        <v>0.105596620908131</v>
      </c>
      <c r="T31" s="58">
        <f t="shared" si="5"/>
        <v>53.18</v>
      </c>
      <c r="U31" s="48">
        <f t="shared" si="6"/>
        <v>37.9516327921418</v>
      </c>
      <c r="V31" s="48">
        <f t="shared" si="17"/>
        <v>37.9516327921418</v>
      </c>
      <c r="W31" s="59">
        <f t="shared" si="7"/>
        <v>0.766443154232587</v>
      </c>
      <c r="X31" s="48">
        <f t="shared" si="8"/>
        <v>3.75</v>
      </c>
      <c r="Y31" s="48">
        <f t="shared" si="9"/>
        <v>34.0250381296522</v>
      </c>
      <c r="Z31" s="48">
        <f t="shared" si="18"/>
        <v>0</v>
      </c>
      <c r="AA31" s="48">
        <f t="shared" si="19"/>
        <v>159.289542649164</v>
      </c>
      <c r="AB31" s="69">
        <f t="shared" si="20"/>
        <v>8725.48759671704</v>
      </c>
      <c r="AC31" s="70">
        <f t="shared" si="21"/>
        <v>8884.7771393662</v>
      </c>
      <c r="AD31" s="70">
        <f t="shared" si="22"/>
        <v>1257.89369849735</v>
      </c>
      <c r="AE31" s="70">
        <f t="shared" si="10"/>
        <v>0.760578729838909</v>
      </c>
      <c r="AF31" s="70">
        <f t="shared" si="11"/>
        <v>92.5775932293725</v>
      </c>
      <c r="AG31" s="70">
        <f t="shared" si="12"/>
        <v>32088.6463872482</v>
      </c>
      <c r="AH31" s="70">
        <f t="shared" si="13"/>
        <v>755.892270559176</v>
      </c>
      <c r="AI31" s="70">
        <f t="shared" si="23"/>
        <v>0.153480870427455</v>
      </c>
      <c r="AJ31" s="48">
        <f t="shared" si="24"/>
        <v>1</v>
      </c>
      <c r="AK31" s="69">
        <f t="shared" si="30"/>
        <v>938.98405508715</v>
      </c>
      <c r="AL31" s="70">
        <f t="shared" si="25"/>
        <v>0</v>
      </c>
      <c r="AM31" s="70">
        <f t="shared" si="14"/>
        <v>0</v>
      </c>
      <c r="AN31" s="70">
        <f t="shared" si="26"/>
        <v>55.0887307640759</v>
      </c>
      <c r="AO31" s="87">
        <f t="shared" si="27"/>
        <v>8590.99917701531</v>
      </c>
      <c r="AP31" s="87">
        <f t="shared" si="28"/>
        <v>429.343066429264</v>
      </c>
      <c r="AQ31" s="70">
        <f t="shared" si="15"/>
        <v>0.223552941239438</v>
      </c>
      <c r="AR31" s="48">
        <f t="shared" si="16"/>
        <v>1</v>
      </c>
      <c r="AS31" s="48">
        <f t="shared" si="31"/>
        <v>489.451095729361</v>
      </c>
      <c r="AV31" s="11"/>
    </row>
    <row r="32" s="1" customFormat="1" ht="15.5" spans="1:55">
      <c r="A32" s="25"/>
      <c r="B32" s="26" t="s">
        <v>146</v>
      </c>
      <c r="C32" s="27">
        <v>261.3</v>
      </c>
      <c r="D32" s="28">
        <v>48.3234480386631</v>
      </c>
      <c r="E32" s="27">
        <v>111.64</v>
      </c>
      <c r="F32" s="27">
        <v>1.9</v>
      </c>
      <c r="G32" s="27">
        <v>400</v>
      </c>
      <c r="H32" s="27">
        <v>1.9</v>
      </c>
      <c r="I32" s="28">
        <v>6.15862911283578</v>
      </c>
      <c r="J32" s="27">
        <v>26</v>
      </c>
      <c r="K32" s="27">
        <v>200</v>
      </c>
      <c r="L32" s="51">
        <v>659.8</v>
      </c>
      <c r="M32" s="51">
        <f t="shared" si="32"/>
        <v>721.350528489801</v>
      </c>
      <c r="N32" s="48">
        <f t="shared" si="0"/>
        <v>1.09328664518006</v>
      </c>
      <c r="O32" s="49"/>
      <c r="P32" s="48">
        <f t="shared" si="1"/>
        <v>1</v>
      </c>
      <c r="Q32" s="27">
        <f t="shared" si="2"/>
        <v>107.84</v>
      </c>
      <c r="R32" s="27">
        <f t="shared" si="3"/>
        <v>0</v>
      </c>
      <c r="S32" s="28">
        <f t="shared" si="4"/>
        <v>0.107488355428162</v>
      </c>
      <c r="T32" s="58">
        <f t="shared" si="5"/>
        <v>53.92</v>
      </c>
      <c r="U32" s="48">
        <f t="shared" si="6"/>
        <v>27.1769600087926</v>
      </c>
      <c r="V32" s="48">
        <f t="shared" si="17"/>
        <v>27.1769600087926</v>
      </c>
      <c r="W32" s="59">
        <f t="shared" si="7"/>
        <v>0.557767916749551</v>
      </c>
      <c r="X32" s="48">
        <f t="shared" si="8"/>
        <v>6.5</v>
      </c>
      <c r="Y32" s="48">
        <f t="shared" si="9"/>
        <v>31.0460939623092</v>
      </c>
      <c r="Z32" s="48">
        <f t="shared" si="18"/>
        <v>0</v>
      </c>
      <c r="AA32" s="48">
        <f t="shared" si="19"/>
        <v>204.953733034444</v>
      </c>
      <c r="AB32" s="69">
        <f t="shared" si="20"/>
        <v>8928.80719049936</v>
      </c>
      <c r="AC32" s="70">
        <f t="shared" si="21"/>
        <v>9133.7609235338</v>
      </c>
      <c r="AD32" s="70">
        <f t="shared" si="22"/>
        <v>655.040917829394</v>
      </c>
      <c r="AE32" s="70">
        <f t="shared" si="10"/>
        <v>0.387793284835224</v>
      </c>
      <c r="AF32" s="70">
        <f t="shared" si="11"/>
        <v>74.2030295865429</v>
      </c>
      <c r="AG32" s="70">
        <f t="shared" si="12"/>
        <v>21248.0627211809</v>
      </c>
      <c r="AH32" s="70">
        <f t="shared" si="13"/>
        <v>612.537013214778</v>
      </c>
      <c r="AI32" s="70">
        <f t="shared" si="23"/>
        <v>0.169787806794739</v>
      </c>
      <c r="AJ32" s="48">
        <f t="shared" si="24"/>
        <v>1</v>
      </c>
      <c r="AK32" s="69">
        <f t="shared" si="30"/>
        <v>726.358752651479</v>
      </c>
      <c r="AL32" s="70">
        <f t="shared" si="25"/>
        <v>0</v>
      </c>
      <c r="AM32" s="70">
        <f t="shared" si="14"/>
        <v>0</v>
      </c>
      <c r="AN32" s="70">
        <f t="shared" si="26"/>
        <v>55.0887307640759</v>
      </c>
      <c r="AO32" s="87">
        <f t="shared" si="27"/>
        <v>9079.24801104266</v>
      </c>
      <c r="AP32" s="87">
        <f t="shared" si="28"/>
        <v>441.374821385957</v>
      </c>
      <c r="AQ32" s="70">
        <f t="shared" si="15"/>
        <v>0.220484892713526</v>
      </c>
      <c r="AR32" s="48">
        <f t="shared" si="16"/>
        <v>1</v>
      </c>
      <c r="AS32" s="48">
        <f t="shared" si="31"/>
        <v>503.167296379991</v>
      </c>
      <c r="AT32" s="9"/>
      <c r="AU32" s="11"/>
      <c r="AV32" s="11"/>
      <c r="AW32" s="2"/>
      <c r="AX32" s="2"/>
      <c r="AY32" s="2"/>
      <c r="AZ32" s="2"/>
      <c r="BA32" s="2"/>
      <c r="BB32" s="2"/>
      <c r="BC32" s="2"/>
    </row>
    <row r="33" s="1" customFormat="1" ht="15.5" spans="1:55">
      <c r="A33" s="25"/>
      <c r="B33" s="26" t="s">
        <v>147</v>
      </c>
      <c r="C33" s="27">
        <v>259.6</v>
      </c>
      <c r="D33" s="28">
        <v>48.3234480386631</v>
      </c>
      <c r="E33" s="27">
        <v>113.64</v>
      </c>
      <c r="F33" s="27">
        <v>3.64</v>
      </c>
      <c r="G33" s="27">
        <v>400</v>
      </c>
      <c r="H33" s="27">
        <v>3.64</v>
      </c>
      <c r="I33" s="28">
        <v>6.0502407088788</v>
      </c>
      <c r="J33" s="27">
        <v>21</v>
      </c>
      <c r="K33" s="27">
        <v>200</v>
      </c>
      <c r="L33" s="51">
        <v>937</v>
      </c>
      <c r="M33" s="51">
        <f t="shared" si="32"/>
        <v>927.816725860246</v>
      </c>
      <c r="N33" s="48">
        <f t="shared" si="0"/>
        <v>0.990199280533881</v>
      </c>
      <c r="O33" s="49"/>
      <c r="P33" s="48">
        <f t="shared" si="1"/>
        <v>1</v>
      </c>
      <c r="Q33" s="27">
        <f t="shared" si="2"/>
        <v>106.36</v>
      </c>
      <c r="R33" s="27">
        <f t="shared" si="3"/>
        <v>0</v>
      </c>
      <c r="S33" s="28">
        <f t="shared" si="4"/>
        <v>0.105596620908131</v>
      </c>
      <c r="T33" s="58">
        <f t="shared" si="5"/>
        <v>53.18</v>
      </c>
      <c r="U33" s="48">
        <f t="shared" si="6"/>
        <v>37.9516327921418</v>
      </c>
      <c r="V33" s="48">
        <f t="shared" si="17"/>
        <v>37.9516327921418</v>
      </c>
      <c r="W33" s="59">
        <f t="shared" si="7"/>
        <v>0.766443154232587</v>
      </c>
      <c r="X33" s="48">
        <f t="shared" si="8"/>
        <v>5.25</v>
      </c>
      <c r="Y33" s="48">
        <f t="shared" si="9"/>
        <v>34.0250381296522</v>
      </c>
      <c r="Z33" s="48">
        <f t="shared" si="18"/>
        <v>0</v>
      </c>
      <c r="AA33" s="48">
        <f t="shared" si="19"/>
        <v>220.716255299085</v>
      </c>
      <c r="AB33" s="69">
        <f t="shared" si="20"/>
        <v>8664.06088406711</v>
      </c>
      <c r="AC33" s="70">
        <f t="shared" si="21"/>
        <v>8884.7771393662</v>
      </c>
      <c r="AD33" s="70">
        <f t="shared" si="22"/>
        <v>1257.89369849735</v>
      </c>
      <c r="AE33" s="70">
        <f t="shared" si="10"/>
        <v>0.760578729838909</v>
      </c>
      <c r="AF33" s="70">
        <f t="shared" si="11"/>
        <v>92.5775932293725</v>
      </c>
      <c r="AG33" s="70">
        <f t="shared" si="12"/>
        <v>32088.6463872482</v>
      </c>
      <c r="AH33" s="70">
        <f t="shared" si="13"/>
        <v>755.892270559176</v>
      </c>
      <c r="AI33" s="70">
        <f t="shared" si="23"/>
        <v>0.153480870427455</v>
      </c>
      <c r="AJ33" s="48">
        <f t="shared" si="24"/>
        <v>1</v>
      </c>
      <c r="AK33" s="69">
        <f t="shared" si="30"/>
        <v>938.98405508715</v>
      </c>
      <c r="AL33" s="70">
        <f t="shared" si="25"/>
        <v>0</v>
      </c>
      <c r="AM33" s="70">
        <f t="shared" si="14"/>
        <v>0</v>
      </c>
      <c r="AN33" s="70">
        <f t="shared" si="26"/>
        <v>55.0887307640759</v>
      </c>
      <c r="AO33" s="87">
        <f t="shared" si="27"/>
        <v>8590.99917701531</v>
      </c>
      <c r="AP33" s="87">
        <f t="shared" si="28"/>
        <v>429.343066429264</v>
      </c>
      <c r="AQ33" s="70">
        <f t="shared" si="15"/>
        <v>0.223552941239438</v>
      </c>
      <c r="AR33" s="48">
        <f t="shared" si="16"/>
        <v>1</v>
      </c>
      <c r="AS33" s="48">
        <f t="shared" si="31"/>
        <v>489.451095729361</v>
      </c>
      <c r="AT33" s="9"/>
      <c r="AU33" s="11"/>
      <c r="AV33" s="11"/>
      <c r="AW33" s="2"/>
      <c r="AX33" s="2"/>
      <c r="AY33" s="2"/>
      <c r="AZ33" s="2"/>
      <c r="BA33" s="2"/>
      <c r="BB33" s="2"/>
      <c r="BC33" s="2"/>
    </row>
    <row r="34" s="1" customFormat="1" ht="15.5" spans="1:55">
      <c r="A34" s="25"/>
      <c r="B34" s="26" t="s">
        <v>148</v>
      </c>
      <c r="C34" s="27">
        <v>261.3</v>
      </c>
      <c r="D34" s="28">
        <v>40.0293626494439</v>
      </c>
      <c r="E34" s="27">
        <v>111.64</v>
      </c>
      <c r="F34" s="27">
        <v>1.9</v>
      </c>
      <c r="G34" s="27">
        <v>400</v>
      </c>
      <c r="H34" s="27">
        <v>1.9</v>
      </c>
      <c r="I34" s="28">
        <v>6.15862911283578</v>
      </c>
      <c r="J34" s="27">
        <v>33</v>
      </c>
      <c r="K34" s="27">
        <v>200</v>
      </c>
      <c r="L34" s="51">
        <v>622.9</v>
      </c>
      <c r="M34" s="51">
        <f t="shared" si="32"/>
        <v>627.6989775014</v>
      </c>
      <c r="N34" s="48">
        <f t="shared" si="0"/>
        <v>1.00770425028319</v>
      </c>
      <c r="O34" s="49"/>
      <c r="P34" s="48">
        <f t="shared" si="1"/>
        <v>1</v>
      </c>
      <c r="Q34" s="27">
        <f t="shared" si="2"/>
        <v>107.84</v>
      </c>
      <c r="R34" s="27">
        <f t="shared" si="3"/>
        <v>0</v>
      </c>
      <c r="S34" s="28">
        <f t="shared" si="4"/>
        <v>0.107488355428162</v>
      </c>
      <c r="T34" s="58">
        <f t="shared" si="5"/>
        <v>53.92</v>
      </c>
      <c r="U34" s="48">
        <f t="shared" si="6"/>
        <v>27.1769600087926</v>
      </c>
      <c r="V34" s="48">
        <f t="shared" si="17"/>
        <v>27.1769600087926</v>
      </c>
      <c r="W34" s="59">
        <f t="shared" si="7"/>
        <v>0.557767916749551</v>
      </c>
      <c r="X34" s="48">
        <f t="shared" si="8"/>
        <v>8.25</v>
      </c>
      <c r="Y34" s="48">
        <f t="shared" si="9"/>
        <v>31.0460939623092</v>
      </c>
      <c r="Z34" s="48">
        <f t="shared" si="18"/>
        <v>0</v>
      </c>
      <c r="AA34" s="48">
        <f t="shared" si="19"/>
        <v>256.93203842617</v>
      </c>
      <c r="AB34" s="69">
        <f t="shared" si="20"/>
        <v>8876.82888510763</v>
      </c>
      <c r="AC34" s="70">
        <f t="shared" si="21"/>
        <v>9133.7609235338</v>
      </c>
      <c r="AD34" s="70">
        <f t="shared" si="22"/>
        <v>655.040917829394</v>
      </c>
      <c r="AE34" s="70">
        <f t="shared" si="10"/>
        <v>0.468144067483367</v>
      </c>
      <c r="AF34" s="70">
        <f t="shared" si="11"/>
        <v>64.747772242833</v>
      </c>
      <c r="AG34" s="70">
        <f t="shared" si="12"/>
        <v>20824.3744162395</v>
      </c>
      <c r="AH34" s="70">
        <f t="shared" si="13"/>
        <v>536.780820190275</v>
      </c>
      <c r="AI34" s="70">
        <f t="shared" si="23"/>
        <v>0.160550814429362</v>
      </c>
      <c r="AJ34" s="48">
        <f t="shared" si="24"/>
        <v>1</v>
      </c>
      <c r="AK34" s="69">
        <f t="shared" si="30"/>
        <v>633.803112154809</v>
      </c>
      <c r="AL34" s="70">
        <f t="shared" si="25"/>
        <v>0</v>
      </c>
      <c r="AM34" s="70">
        <f t="shared" si="14"/>
        <v>0</v>
      </c>
      <c r="AN34" s="70">
        <f t="shared" si="26"/>
        <v>45.633473420366</v>
      </c>
      <c r="AO34" s="87">
        <f t="shared" si="27"/>
        <v>8655.55970610118</v>
      </c>
      <c r="AP34" s="87">
        <f t="shared" si="28"/>
        <v>365.618628361454</v>
      </c>
      <c r="AQ34" s="70">
        <f t="shared" si="15"/>
        <v>0.205525909755554</v>
      </c>
      <c r="AR34" s="48">
        <f t="shared" si="16"/>
        <v>1</v>
      </c>
      <c r="AS34" s="48">
        <f t="shared" si="31"/>
        <v>416.805236332057</v>
      </c>
      <c r="AT34" s="9"/>
      <c r="AU34" s="11"/>
      <c r="AV34" s="11"/>
      <c r="AW34" s="2"/>
      <c r="AX34" s="2"/>
      <c r="AY34" s="2"/>
      <c r="AZ34" s="2"/>
      <c r="BA34" s="2"/>
      <c r="BB34" s="2"/>
      <c r="BC34" s="2"/>
    </row>
    <row r="35" s="1" customFormat="1" ht="15.5" spans="1:55">
      <c r="A35" s="25"/>
      <c r="B35" s="26" t="s">
        <v>149</v>
      </c>
      <c r="C35" s="27">
        <v>261.3</v>
      </c>
      <c r="D35" s="28">
        <v>40.0293626494439</v>
      </c>
      <c r="E35" s="27">
        <v>111.64</v>
      </c>
      <c r="F35" s="27">
        <v>1.9</v>
      </c>
      <c r="G35" s="27">
        <v>400</v>
      </c>
      <c r="H35" s="27">
        <v>1.9</v>
      </c>
      <c r="I35" s="28">
        <v>6.15862911283578</v>
      </c>
      <c r="J35" s="27">
        <v>42</v>
      </c>
      <c r="K35" s="27">
        <v>200</v>
      </c>
      <c r="L35" s="51">
        <v>579.2</v>
      </c>
      <c r="M35" s="51">
        <f t="shared" si="32"/>
        <v>626.158677971877</v>
      </c>
      <c r="N35" s="48">
        <f t="shared" si="0"/>
        <v>1.08107506555918</v>
      </c>
      <c r="O35" s="49"/>
      <c r="P35" s="48">
        <f t="shared" si="1"/>
        <v>1</v>
      </c>
      <c r="Q35" s="27">
        <f t="shared" si="2"/>
        <v>107.84</v>
      </c>
      <c r="R35" s="27">
        <f t="shared" si="3"/>
        <v>0</v>
      </c>
      <c r="S35" s="28">
        <f t="shared" si="4"/>
        <v>0.107488355428162</v>
      </c>
      <c r="T35" s="58">
        <f t="shared" si="5"/>
        <v>53.92</v>
      </c>
      <c r="U35" s="48">
        <f t="shared" si="6"/>
        <v>27.1769600087926</v>
      </c>
      <c r="V35" s="48">
        <f t="shared" si="17"/>
        <v>27.1769600087926</v>
      </c>
      <c r="W35" s="59">
        <f t="shared" si="7"/>
        <v>0.557767916749551</v>
      </c>
      <c r="X35" s="48">
        <f t="shared" si="8"/>
        <v>10.5</v>
      </c>
      <c r="Y35" s="48">
        <f t="shared" si="9"/>
        <v>31.0460939623092</v>
      </c>
      <c r="Z35" s="48">
        <f t="shared" si="18"/>
        <v>0</v>
      </c>
      <c r="AA35" s="48">
        <f t="shared" si="19"/>
        <v>321.765519398999</v>
      </c>
      <c r="AB35" s="69">
        <f t="shared" si="20"/>
        <v>8811.9954041348</v>
      </c>
      <c r="AC35" s="70">
        <f t="shared" si="21"/>
        <v>9133.7609235338</v>
      </c>
      <c r="AD35" s="70">
        <f t="shared" si="22"/>
        <v>655.040917829394</v>
      </c>
      <c r="AE35" s="70">
        <f t="shared" si="10"/>
        <v>0.468144067483367</v>
      </c>
      <c r="AF35" s="70">
        <f t="shared" si="11"/>
        <v>64.747772242833</v>
      </c>
      <c r="AG35" s="70">
        <f t="shared" si="12"/>
        <v>20824.3744162395</v>
      </c>
      <c r="AH35" s="70">
        <f t="shared" si="13"/>
        <v>536.780820190275</v>
      </c>
      <c r="AI35" s="70">
        <f t="shared" si="23"/>
        <v>0.160550814429362</v>
      </c>
      <c r="AJ35" s="48">
        <f t="shared" si="24"/>
        <v>1</v>
      </c>
      <c r="AK35" s="69">
        <f t="shared" si="30"/>
        <v>633.803112154809</v>
      </c>
      <c r="AL35" s="70">
        <f t="shared" si="25"/>
        <v>0</v>
      </c>
      <c r="AM35" s="70">
        <f t="shared" si="14"/>
        <v>0</v>
      </c>
      <c r="AN35" s="70">
        <f t="shared" si="26"/>
        <v>45.633473420366</v>
      </c>
      <c r="AO35" s="87">
        <f t="shared" si="27"/>
        <v>8655.55970610118</v>
      </c>
      <c r="AP35" s="87">
        <f t="shared" si="28"/>
        <v>365.618628361454</v>
      </c>
      <c r="AQ35" s="70">
        <f t="shared" si="15"/>
        <v>0.205525909755554</v>
      </c>
      <c r="AR35" s="48">
        <f t="shared" si="16"/>
        <v>1</v>
      </c>
      <c r="AS35" s="48">
        <f t="shared" si="31"/>
        <v>416.805236332057</v>
      </c>
      <c r="AT35" s="9"/>
      <c r="AU35" s="11"/>
      <c r="AV35" s="11"/>
      <c r="AW35" s="2"/>
      <c r="AX35" s="2"/>
      <c r="AY35" s="2"/>
      <c r="AZ35" s="2"/>
      <c r="BA35" s="2"/>
      <c r="BB35" s="2"/>
      <c r="BC35" s="2"/>
    </row>
    <row r="36" s="1" customFormat="1" ht="15.5" spans="1:55">
      <c r="A36" s="25"/>
      <c r="B36" s="26" t="s">
        <v>150</v>
      </c>
      <c r="C36" s="27">
        <v>261.3</v>
      </c>
      <c r="D36" s="28">
        <v>48.3234480386631</v>
      </c>
      <c r="E36" s="27">
        <v>111.64</v>
      </c>
      <c r="F36" s="27">
        <v>1.9</v>
      </c>
      <c r="G36" s="27">
        <v>400</v>
      </c>
      <c r="H36" s="27">
        <v>1.9</v>
      </c>
      <c r="I36" s="28">
        <v>6.15862911283578</v>
      </c>
      <c r="J36" s="27">
        <v>44</v>
      </c>
      <c r="K36" s="27">
        <v>200</v>
      </c>
      <c r="L36" s="51">
        <v>634.9</v>
      </c>
      <c r="M36" s="51">
        <f t="shared" si="32"/>
        <v>718.151522362489</v>
      </c>
      <c r="N36" s="48">
        <f t="shared" si="0"/>
        <v>1.13112540929672</v>
      </c>
      <c r="O36" s="49"/>
      <c r="P36" s="48">
        <f t="shared" si="1"/>
        <v>1</v>
      </c>
      <c r="Q36" s="27">
        <f t="shared" si="2"/>
        <v>107.84</v>
      </c>
      <c r="R36" s="27">
        <f t="shared" si="3"/>
        <v>0</v>
      </c>
      <c r="S36" s="28">
        <f t="shared" si="4"/>
        <v>0.107488355428162</v>
      </c>
      <c r="T36" s="58">
        <f t="shared" si="5"/>
        <v>53.92</v>
      </c>
      <c r="U36" s="48">
        <f t="shared" si="6"/>
        <v>27.1769600087926</v>
      </c>
      <c r="V36" s="48">
        <f t="shared" si="17"/>
        <v>27.1769600087926</v>
      </c>
      <c r="W36" s="59">
        <f t="shared" si="7"/>
        <v>0.557767916749551</v>
      </c>
      <c r="X36" s="48">
        <f t="shared" si="8"/>
        <v>11</v>
      </c>
      <c r="Y36" s="48">
        <f t="shared" si="9"/>
        <v>31.0460939623092</v>
      </c>
      <c r="Z36" s="48">
        <f t="shared" si="18"/>
        <v>0</v>
      </c>
      <c r="AA36" s="48">
        <f t="shared" si="19"/>
        <v>335.868050490435</v>
      </c>
      <c r="AB36" s="69">
        <f t="shared" si="20"/>
        <v>8797.89287304337</v>
      </c>
      <c r="AC36" s="70">
        <f t="shared" si="21"/>
        <v>9133.7609235338</v>
      </c>
      <c r="AD36" s="70">
        <f t="shared" si="22"/>
        <v>655.040917829394</v>
      </c>
      <c r="AE36" s="70">
        <f t="shared" si="10"/>
        <v>0.387793284835224</v>
      </c>
      <c r="AF36" s="70">
        <f t="shared" si="11"/>
        <v>74.2030295865429</v>
      </c>
      <c r="AG36" s="70">
        <f t="shared" si="12"/>
        <v>21248.0627211809</v>
      </c>
      <c r="AH36" s="70">
        <f t="shared" si="13"/>
        <v>612.537013214778</v>
      </c>
      <c r="AI36" s="70">
        <f t="shared" si="23"/>
        <v>0.169787806794739</v>
      </c>
      <c r="AJ36" s="48">
        <f t="shared" si="24"/>
        <v>1</v>
      </c>
      <c r="AK36" s="69">
        <f t="shared" si="30"/>
        <v>726.358752651479</v>
      </c>
      <c r="AL36" s="70">
        <f t="shared" si="25"/>
        <v>0</v>
      </c>
      <c r="AM36" s="70">
        <f t="shared" si="14"/>
        <v>0</v>
      </c>
      <c r="AN36" s="70">
        <f t="shared" si="26"/>
        <v>55.0887307640759</v>
      </c>
      <c r="AO36" s="87">
        <f t="shared" si="27"/>
        <v>9079.24801104266</v>
      </c>
      <c r="AP36" s="87">
        <f t="shared" si="28"/>
        <v>441.374821385957</v>
      </c>
      <c r="AQ36" s="70">
        <f t="shared" si="15"/>
        <v>0.220484892713526</v>
      </c>
      <c r="AR36" s="48">
        <f t="shared" si="16"/>
        <v>1</v>
      </c>
      <c r="AS36" s="48">
        <f t="shared" si="31"/>
        <v>503.167296379991</v>
      </c>
      <c r="AT36" s="9"/>
      <c r="AU36" s="11"/>
      <c r="AV36" s="11"/>
      <c r="AW36" s="2"/>
      <c r="AX36" s="2"/>
      <c r="AY36" s="2"/>
      <c r="AZ36" s="2"/>
      <c r="BA36" s="2"/>
      <c r="BB36" s="2"/>
      <c r="BC36" s="2"/>
    </row>
    <row r="37" ht="15.5" spans="1:48">
      <c r="A37" s="25"/>
      <c r="B37" s="26" t="s">
        <v>151</v>
      </c>
      <c r="C37" s="27">
        <v>261.3</v>
      </c>
      <c r="D37" s="28">
        <v>48.3234480386631</v>
      </c>
      <c r="E37" s="27">
        <v>111.64</v>
      </c>
      <c r="F37" s="27">
        <v>1.9</v>
      </c>
      <c r="G37" s="27">
        <v>400</v>
      </c>
      <c r="H37" s="27">
        <v>1.9</v>
      </c>
      <c r="I37" s="28">
        <v>6.15862911283578</v>
      </c>
      <c r="J37" s="27">
        <v>84</v>
      </c>
      <c r="K37" s="27">
        <v>200</v>
      </c>
      <c r="L37" s="51">
        <v>579</v>
      </c>
      <c r="M37" s="51">
        <f t="shared" si="32"/>
        <v>711.828332337547</v>
      </c>
      <c r="N37" s="48">
        <f t="shared" si="0"/>
        <v>1.22940990041027</v>
      </c>
      <c r="O37" s="49"/>
      <c r="P37" s="48">
        <f t="shared" si="1"/>
        <v>1</v>
      </c>
      <c r="Q37" s="27">
        <f t="shared" si="2"/>
        <v>107.84</v>
      </c>
      <c r="R37" s="27">
        <f t="shared" si="3"/>
        <v>0</v>
      </c>
      <c r="S37" s="28">
        <f t="shared" si="4"/>
        <v>0.107488355428162</v>
      </c>
      <c r="T37" s="58">
        <f t="shared" si="5"/>
        <v>53.92</v>
      </c>
      <c r="U37" s="48">
        <f t="shared" si="6"/>
        <v>27.1769600087926</v>
      </c>
      <c r="V37" s="48">
        <f t="shared" si="17"/>
        <v>27.1769600087926</v>
      </c>
      <c r="W37" s="59">
        <f t="shared" si="7"/>
        <v>0.557767916749551</v>
      </c>
      <c r="X37" s="48">
        <f t="shared" si="8"/>
        <v>21</v>
      </c>
      <c r="Y37" s="48">
        <f t="shared" si="9"/>
        <v>31.0460939623092</v>
      </c>
      <c r="Z37" s="48">
        <f t="shared" si="18"/>
        <v>0</v>
      </c>
      <c r="AA37" s="48">
        <f t="shared" si="19"/>
        <v>594.634702792936</v>
      </c>
      <c r="AB37" s="69">
        <f t="shared" si="20"/>
        <v>8539.12622074087</v>
      </c>
      <c r="AC37" s="70">
        <f t="shared" si="21"/>
        <v>9133.7609235338</v>
      </c>
      <c r="AD37" s="70">
        <f t="shared" si="22"/>
        <v>655.040917829394</v>
      </c>
      <c r="AE37" s="70">
        <f t="shared" si="10"/>
        <v>0.387793284835224</v>
      </c>
      <c r="AF37" s="70">
        <f t="shared" si="11"/>
        <v>74.2030295865429</v>
      </c>
      <c r="AG37" s="70">
        <f t="shared" si="12"/>
        <v>21248.0627211809</v>
      </c>
      <c r="AH37" s="70">
        <f t="shared" si="13"/>
        <v>612.537013214778</v>
      </c>
      <c r="AI37" s="70">
        <f t="shared" si="23"/>
        <v>0.169787806794739</v>
      </c>
      <c r="AJ37" s="48">
        <f t="shared" si="24"/>
        <v>1</v>
      </c>
      <c r="AK37" s="69">
        <f t="shared" si="30"/>
        <v>726.358752651479</v>
      </c>
      <c r="AL37" s="70">
        <f t="shared" si="25"/>
        <v>0</v>
      </c>
      <c r="AM37" s="70">
        <f t="shared" si="14"/>
        <v>0</v>
      </c>
      <c r="AN37" s="70">
        <f t="shared" si="26"/>
        <v>55.0887307640759</v>
      </c>
      <c r="AO37" s="87">
        <f t="shared" si="27"/>
        <v>9079.24801104266</v>
      </c>
      <c r="AP37" s="87">
        <f t="shared" si="28"/>
        <v>441.374821385957</v>
      </c>
      <c r="AQ37" s="70">
        <f t="shared" si="15"/>
        <v>0.220484892713526</v>
      </c>
      <c r="AR37" s="48">
        <f t="shared" si="16"/>
        <v>1</v>
      </c>
      <c r="AS37" s="48">
        <f t="shared" si="31"/>
        <v>503.167296379991</v>
      </c>
      <c r="AV37" s="11"/>
    </row>
    <row r="38" ht="15.5" spans="1:48">
      <c r="A38" s="25"/>
      <c r="B38" s="26" t="s">
        <v>152</v>
      </c>
      <c r="C38" s="27">
        <v>259.6</v>
      </c>
      <c r="D38" s="28">
        <v>48.3234480386631</v>
      </c>
      <c r="E38" s="27">
        <v>113.64</v>
      </c>
      <c r="F38" s="27">
        <v>3.64</v>
      </c>
      <c r="G38" s="27">
        <v>400</v>
      </c>
      <c r="H38" s="27">
        <v>3.64</v>
      </c>
      <c r="I38" s="28">
        <v>6.0502407088788</v>
      </c>
      <c r="J38" s="27">
        <v>84</v>
      </c>
      <c r="K38" s="27">
        <v>200</v>
      </c>
      <c r="L38" s="51">
        <v>898.6</v>
      </c>
      <c r="M38" s="51">
        <f t="shared" si="32"/>
        <v>899.17914504815</v>
      </c>
      <c r="N38" s="48">
        <f t="shared" si="0"/>
        <v>1.00064449704891</v>
      </c>
      <c r="O38" s="49"/>
      <c r="P38" s="48">
        <f t="shared" si="1"/>
        <v>1</v>
      </c>
      <c r="Q38" s="27">
        <f t="shared" si="2"/>
        <v>106.36</v>
      </c>
      <c r="R38" s="27">
        <f t="shared" si="3"/>
        <v>0</v>
      </c>
      <c r="S38" s="28">
        <f t="shared" si="4"/>
        <v>0.105596620908131</v>
      </c>
      <c r="T38" s="58">
        <f t="shared" si="5"/>
        <v>53.18</v>
      </c>
      <c r="U38" s="48">
        <f t="shared" si="6"/>
        <v>37.9516327921418</v>
      </c>
      <c r="V38" s="48">
        <f t="shared" si="17"/>
        <v>37.9516327921418</v>
      </c>
      <c r="W38" s="59">
        <f t="shared" si="7"/>
        <v>0.766443154232587</v>
      </c>
      <c r="X38" s="48">
        <f t="shared" si="8"/>
        <v>21</v>
      </c>
      <c r="Y38" s="48">
        <f t="shared" si="9"/>
        <v>34.0250381296522</v>
      </c>
      <c r="Z38" s="48">
        <f t="shared" si="18"/>
        <v>0</v>
      </c>
      <c r="AA38" s="48">
        <f t="shared" si="19"/>
        <v>786.722635987074</v>
      </c>
      <c r="AB38" s="69">
        <f t="shared" si="20"/>
        <v>8098.05450337912</v>
      </c>
      <c r="AC38" s="70">
        <f t="shared" si="21"/>
        <v>8884.7771393662</v>
      </c>
      <c r="AD38" s="70">
        <f t="shared" si="22"/>
        <v>1257.89369849735</v>
      </c>
      <c r="AE38" s="70">
        <f t="shared" si="10"/>
        <v>0.760578729838909</v>
      </c>
      <c r="AF38" s="70">
        <f t="shared" si="11"/>
        <v>92.5775932293725</v>
      </c>
      <c r="AG38" s="70">
        <f t="shared" si="12"/>
        <v>32088.6463872482</v>
      </c>
      <c r="AH38" s="70">
        <f t="shared" si="13"/>
        <v>755.892270559176</v>
      </c>
      <c r="AI38" s="70">
        <f t="shared" si="23"/>
        <v>0.153480870427455</v>
      </c>
      <c r="AJ38" s="48">
        <f t="shared" si="24"/>
        <v>1</v>
      </c>
      <c r="AK38" s="69">
        <f t="shared" si="30"/>
        <v>938.98405508715</v>
      </c>
      <c r="AL38" s="70">
        <f t="shared" si="25"/>
        <v>0</v>
      </c>
      <c r="AM38" s="70">
        <f t="shared" si="14"/>
        <v>0</v>
      </c>
      <c r="AN38" s="70">
        <f t="shared" si="26"/>
        <v>55.0887307640759</v>
      </c>
      <c r="AO38" s="87">
        <f t="shared" si="27"/>
        <v>8590.99917701531</v>
      </c>
      <c r="AP38" s="87">
        <f t="shared" si="28"/>
        <v>429.343066429264</v>
      </c>
      <c r="AQ38" s="70">
        <f t="shared" si="15"/>
        <v>0.223552941239438</v>
      </c>
      <c r="AR38" s="48">
        <f t="shared" si="16"/>
        <v>1</v>
      </c>
      <c r="AS38" s="48">
        <f t="shared" si="31"/>
        <v>489.451095729361</v>
      </c>
      <c r="AV38" s="11"/>
    </row>
    <row r="39" ht="15.5" spans="1:48">
      <c r="A39" s="36"/>
      <c r="B39" s="26" t="s">
        <v>153</v>
      </c>
      <c r="C39" s="27">
        <v>261.3</v>
      </c>
      <c r="D39" s="28">
        <v>40.0293626494439</v>
      </c>
      <c r="E39" s="27">
        <v>111.64</v>
      </c>
      <c r="F39" s="27">
        <v>1.9</v>
      </c>
      <c r="G39" s="27">
        <v>400</v>
      </c>
      <c r="H39" s="27">
        <v>0</v>
      </c>
      <c r="I39" s="27">
        <v>0</v>
      </c>
      <c r="J39" s="27">
        <v>0</v>
      </c>
      <c r="K39" s="27">
        <v>0</v>
      </c>
      <c r="L39" s="51">
        <v>666.6</v>
      </c>
      <c r="M39" s="51">
        <f t="shared" si="32"/>
        <v>633.803112154809</v>
      </c>
      <c r="N39" s="48">
        <f t="shared" si="0"/>
        <v>0.950799748207034</v>
      </c>
      <c r="O39" s="49"/>
      <c r="P39" s="48">
        <f t="shared" si="1"/>
        <v>1</v>
      </c>
      <c r="Q39" s="27">
        <f t="shared" si="2"/>
        <v>111.64</v>
      </c>
      <c r="R39" s="27">
        <f t="shared" si="3"/>
        <v>1.9</v>
      </c>
      <c r="S39" s="57">
        <f t="shared" si="4"/>
        <v>0</v>
      </c>
      <c r="T39" s="58">
        <f t="shared" si="5"/>
        <v>53.92</v>
      </c>
      <c r="U39" s="48">
        <f t="shared" si="6"/>
        <v>27.1769600087926</v>
      </c>
      <c r="V39" s="48">
        <f t="shared" si="17"/>
        <v>27.1769600087926</v>
      </c>
      <c r="W39" s="59">
        <f t="shared" si="7"/>
        <v>0.50402373903547</v>
      </c>
      <c r="X39" s="48">
        <f t="shared" si="8"/>
        <v>0</v>
      </c>
      <c r="Y39" s="48">
        <f t="shared" si="9"/>
        <v>30.3125736056738</v>
      </c>
      <c r="Z39" s="48">
        <f t="shared" si="18"/>
        <v>0</v>
      </c>
      <c r="AA39" s="48">
        <f t="shared" si="19"/>
        <v>0</v>
      </c>
      <c r="AB39" s="69">
        <f t="shared" si="20"/>
        <v>9133.7609235338</v>
      </c>
      <c r="AC39" s="70">
        <f t="shared" si="21"/>
        <v>9133.7609235338</v>
      </c>
      <c r="AD39" s="70">
        <f t="shared" si="22"/>
        <v>655.040917829394</v>
      </c>
      <c r="AE39" s="70">
        <f t="shared" si="10"/>
        <v>0.468144067483367</v>
      </c>
      <c r="AF39" s="70">
        <f t="shared" si="11"/>
        <v>64.747772242833</v>
      </c>
      <c r="AG39" s="70">
        <f t="shared" si="12"/>
        <v>20824.3744162395</v>
      </c>
      <c r="AH39" s="70">
        <f t="shared" si="13"/>
        <v>536.780820190275</v>
      </c>
      <c r="AI39" s="70">
        <f t="shared" si="23"/>
        <v>0.160550814429362</v>
      </c>
      <c r="AJ39" s="48">
        <f t="shared" si="24"/>
        <v>1</v>
      </c>
      <c r="AK39" s="69">
        <f t="shared" si="30"/>
        <v>633.803112154809</v>
      </c>
      <c r="AL39" s="70">
        <f t="shared" si="25"/>
        <v>655.040917829394</v>
      </c>
      <c r="AM39" s="70">
        <f t="shared" si="14"/>
        <v>0.468144067483367</v>
      </c>
      <c r="AN39" s="70">
        <f t="shared" si="26"/>
        <v>64.747772242833</v>
      </c>
      <c r="AO39" s="87">
        <f t="shared" si="27"/>
        <v>20824.3744162395</v>
      </c>
      <c r="AP39" s="87">
        <f t="shared" si="28"/>
        <v>536.780820190275</v>
      </c>
      <c r="AQ39" s="70">
        <f t="shared" si="15"/>
        <v>0.160550814429362</v>
      </c>
      <c r="AR39" s="48">
        <f t="shared" si="16"/>
        <v>1</v>
      </c>
      <c r="AS39" s="48">
        <f t="shared" si="31"/>
        <v>633.803112154808</v>
      </c>
      <c r="AV39" s="11"/>
    </row>
    <row r="40" ht="15.5" spans="1:48">
      <c r="A40" s="36"/>
      <c r="B40" s="26" t="s">
        <v>154</v>
      </c>
      <c r="C40" s="27">
        <v>261.3</v>
      </c>
      <c r="D40" s="28">
        <v>48.3234480386631</v>
      </c>
      <c r="E40" s="27">
        <v>111.64</v>
      </c>
      <c r="F40" s="27">
        <v>1.9</v>
      </c>
      <c r="G40" s="27">
        <v>400</v>
      </c>
      <c r="H40" s="27">
        <v>0</v>
      </c>
      <c r="I40" s="27">
        <v>0</v>
      </c>
      <c r="J40" s="27">
        <v>0</v>
      </c>
      <c r="K40" s="27">
        <v>0</v>
      </c>
      <c r="L40" s="51">
        <v>701.9</v>
      </c>
      <c r="M40" s="51">
        <f t="shared" si="32"/>
        <v>726.358752651479</v>
      </c>
      <c r="N40" s="48">
        <f t="shared" si="0"/>
        <v>1.03484649188129</v>
      </c>
      <c r="O40" s="49"/>
      <c r="P40" s="48">
        <f t="shared" si="1"/>
        <v>1</v>
      </c>
      <c r="Q40" s="27">
        <f t="shared" si="2"/>
        <v>111.64</v>
      </c>
      <c r="R40" s="27">
        <f t="shared" si="3"/>
        <v>1.9</v>
      </c>
      <c r="S40" s="57">
        <f t="shared" si="4"/>
        <v>0</v>
      </c>
      <c r="T40" s="58">
        <f t="shared" si="5"/>
        <v>53.92</v>
      </c>
      <c r="U40" s="48">
        <f t="shared" si="6"/>
        <v>27.1769600087926</v>
      </c>
      <c r="V40" s="48">
        <f t="shared" si="17"/>
        <v>27.1769600087926</v>
      </c>
      <c r="W40" s="59">
        <f t="shared" si="7"/>
        <v>0.50402373903547</v>
      </c>
      <c r="X40" s="48">
        <f t="shared" si="8"/>
        <v>0</v>
      </c>
      <c r="Y40" s="48">
        <f t="shared" si="9"/>
        <v>30.3125736056738</v>
      </c>
      <c r="Z40" s="48">
        <f t="shared" si="18"/>
        <v>0</v>
      </c>
      <c r="AA40" s="48">
        <f t="shared" si="19"/>
        <v>0</v>
      </c>
      <c r="AB40" s="69">
        <f t="shared" si="20"/>
        <v>9133.7609235338</v>
      </c>
      <c r="AC40" s="70">
        <f t="shared" si="21"/>
        <v>9133.7609235338</v>
      </c>
      <c r="AD40" s="70">
        <f t="shared" si="22"/>
        <v>655.040917829394</v>
      </c>
      <c r="AE40" s="70">
        <f t="shared" si="10"/>
        <v>0.387793284835224</v>
      </c>
      <c r="AF40" s="70">
        <f t="shared" si="11"/>
        <v>74.2030295865429</v>
      </c>
      <c r="AG40" s="70">
        <f t="shared" si="12"/>
        <v>21248.0627211809</v>
      </c>
      <c r="AH40" s="70">
        <f t="shared" si="13"/>
        <v>612.537013214778</v>
      </c>
      <c r="AI40" s="70">
        <f t="shared" si="23"/>
        <v>0.169787806794739</v>
      </c>
      <c r="AJ40" s="48">
        <f t="shared" si="24"/>
        <v>1</v>
      </c>
      <c r="AK40" s="69">
        <f t="shared" si="30"/>
        <v>726.358752651479</v>
      </c>
      <c r="AL40" s="70">
        <f t="shared" si="25"/>
        <v>655.040917829394</v>
      </c>
      <c r="AM40" s="70">
        <f t="shared" si="14"/>
        <v>0.387793284835224</v>
      </c>
      <c r="AN40" s="70">
        <f t="shared" si="26"/>
        <v>74.2030295865429</v>
      </c>
      <c r="AO40" s="87">
        <f t="shared" si="27"/>
        <v>21248.0627211809</v>
      </c>
      <c r="AP40" s="87">
        <f t="shared" si="28"/>
        <v>612.537013214778</v>
      </c>
      <c r="AQ40" s="70">
        <f t="shared" si="15"/>
        <v>0.169787806794739</v>
      </c>
      <c r="AR40" s="48">
        <f t="shared" si="16"/>
        <v>1</v>
      </c>
      <c r="AS40" s="48">
        <f t="shared" si="31"/>
        <v>726.358752651479</v>
      </c>
      <c r="AV40" s="11"/>
    </row>
    <row r="41" ht="15.5" spans="1:48">
      <c r="A41" s="36"/>
      <c r="B41" s="26" t="s">
        <v>155</v>
      </c>
      <c r="C41" s="27">
        <v>259.6</v>
      </c>
      <c r="D41" s="28">
        <v>48.3234480386631</v>
      </c>
      <c r="E41" s="27">
        <v>113.64</v>
      </c>
      <c r="F41" s="27">
        <v>3.64</v>
      </c>
      <c r="G41" s="27">
        <v>400</v>
      </c>
      <c r="H41" s="27">
        <v>0</v>
      </c>
      <c r="I41" s="27">
        <v>0</v>
      </c>
      <c r="J41" s="27">
        <v>0</v>
      </c>
      <c r="K41" s="27">
        <v>0</v>
      </c>
      <c r="L41" s="51">
        <v>1011</v>
      </c>
      <c r="M41" s="52">
        <f t="shared" si="32"/>
        <v>938.98405508715</v>
      </c>
      <c r="N41" s="48">
        <f t="shared" si="0"/>
        <v>0.928767611362166</v>
      </c>
      <c r="O41" s="49"/>
      <c r="P41" s="54">
        <f t="shared" si="1"/>
        <v>1</v>
      </c>
      <c r="Q41" s="33">
        <f t="shared" si="2"/>
        <v>113.64</v>
      </c>
      <c r="R41" s="33">
        <f t="shared" si="3"/>
        <v>3.64</v>
      </c>
      <c r="S41" s="61">
        <f t="shared" si="4"/>
        <v>0</v>
      </c>
      <c r="T41" s="52">
        <f t="shared" si="5"/>
        <v>53.18</v>
      </c>
      <c r="U41" s="54">
        <f t="shared" si="6"/>
        <v>37.9516327921418</v>
      </c>
      <c r="V41" s="48">
        <f t="shared" si="17"/>
        <v>37.9516327921418</v>
      </c>
      <c r="W41" s="62">
        <f t="shared" si="7"/>
        <v>0.713644843778522</v>
      </c>
      <c r="X41" s="54">
        <f t="shared" si="8"/>
        <v>0</v>
      </c>
      <c r="Y41" s="54">
        <f t="shared" si="9"/>
        <v>33.0784649011309</v>
      </c>
      <c r="Z41" s="54">
        <f t="shared" si="18"/>
        <v>0</v>
      </c>
      <c r="AA41" s="48">
        <f t="shared" si="19"/>
        <v>0</v>
      </c>
      <c r="AB41" s="73">
        <f t="shared" si="20"/>
        <v>8884.7771393662</v>
      </c>
      <c r="AC41" s="74">
        <f t="shared" si="21"/>
        <v>8884.7771393662</v>
      </c>
      <c r="AD41" s="74">
        <f t="shared" si="22"/>
        <v>1257.89369849735</v>
      </c>
      <c r="AE41" s="74">
        <f t="shared" si="10"/>
        <v>0.760578729838909</v>
      </c>
      <c r="AF41" s="74">
        <f t="shared" si="11"/>
        <v>92.5775932293725</v>
      </c>
      <c r="AG41" s="74">
        <f t="shared" si="12"/>
        <v>32088.6463872482</v>
      </c>
      <c r="AH41" s="74">
        <f t="shared" si="13"/>
        <v>755.892270559176</v>
      </c>
      <c r="AI41" s="74">
        <f t="shared" si="23"/>
        <v>0.153480870427455</v>
      </c>
      <c r="AJ41" s="54">
        <f t="shared" si="24"/>
        <v>1</v>
      </c>
      <c r="AK41" s="48">
        <f t="shared" si="30"/>
        <v>938.98405508715</v>
      </c>
      <c r="AL41" s="74">
        <f t="shared" si="25"/>
        <v>1257.89369849735</v>
      </c>
      <c r="AM41" s="74">
        <f t="shared" si="14"/>
        <v>0.760578729838911</v>
      </c>
      <c r="AN41" s="74">
        <f t="shared" si="26"/>
        <v>92.5775932293726</v>
      </c>
      <c r="AO41" s="89">
        <f t="shared" si="27"/>
        <v>32088.6463872482</v>
      </c>
      <c r="AP41" s="89">
        <f t="shared" si="28"/>
        <v>755.892270559177</v>
      </c>
      <c r="AQ41" s="74">
        <f t="shared" si="15"/>
        <v>0.153480870427455</v>
      </c>
      <c r="AR41" s="54">
        <f t="shared" si="16"/>
        <v>1</v>
      </c>
      <c r="AS41" s="48">
        <f t="shared" si="31"/>
        <v>938.984055087151</v>
      </c>
      <c r="AV41" s="11"/>
    </row>
    <row r="42" ht="15.5" spans="1:48">
      <c r="A42" s="21" t="s">
        <v>156</v>
      </c>
      <c r="B42" s="22" t="s">
        <v>157</v>
      </c>
      <c r="C42" s="23">
        <v>431</v>
      </c>
      <c r="D42" s="24">
        <v>42.6243717882912</v>
      </c>
      <c r="E42" s="23">
        <v>133</v>
      </c>
      <c r="F42" s="23">
        <v>4.5</v>
      </c>
      <c r="G42" s="23">
        <v>399</v>
      </c>
      <c r="H42" s="23">
        <v>0</v>
      </c>
      <c r="I42" s="23">
        <v>0</v>
      </c>
      <c r="J42" s="23">
        <v>0</v>
      </c>
      <c r="K42" s="23">
        <v>0</v>
      </c>
      <c r="L42" s="21">
        <v>1638</v>
      </c>
      <c r="M42" s="51">
        <f t="shared" si="32"/>
        <v>1593.84285616226</v>
      </c>
      <c r="N42" s="53">
        <f t="shared" si="0"/>
        <v>0.973042036729098</v>
      </c>
      <c r="O42" s="49"/>
      <c r="P42" s="53">
        <f t="shared" si="1"/>
        <v>1</v>
      </c>
      <c r="Q42" s="23">
        <f t="shared" si="2"/>
        <v>133</v>
      </c>
      <c r="R42" s="23">
        <f t="shared" si="3"/>
        <v>4.5</v>
      </c>
      <c r="S42" s="63">
        <f t="shared" si="4"/>
        <v>0</v>
      </c>
      <c r="T42" s="46">
        <f t="shared" si="5"/>
        <v>62</v>
      </c>
      <c r="U42" s="53">
        <f t="shared" si="6"/>
        <v>45.6505735448476</v>
      </c>
      <c r="V42" s="53">
        <f t="shared" ref="V42:V73" si="33">MIN((PI()-S42/2)*T42,U42)</f>
        <v>45.6505735448476</v>
      </c>
      <c r="W42" s="60">
        <f t="shared" si="7"/>
        <v>0.736299573303993</v>
      </c>
      <c r="X42" s="53">
        <f t="shared" si="8"/>
        <v>0</v>
      </c>
      <c r="Y42" s="53">
        <f t="shared" si="9"/>
        <v>39.0302818485524</v>
      </c>
      <c r="Z42" s="53">
        <f t="shared" si="18"/>
        <v>0</v>
      </c>
      <c r="AA42" s="53">
        <f t="shared" si="19"/>
        <v>0</v>
      </c>
      <c r="AB42" s="47">
        <f t="shared" si="20"/>
        <v>12076.2821603992</v>
      </c>
      <c r="AC42" s="72">
        <f t="shared" si="21"/>
        <v>12076.2821603992</v>
      </c>
      <c r="AD42" s="72">
        <f t="shared" si="22"/>
        <v>1816.6259519383</v>
      </c>
      <c r="AE42" s="72">
        <f t="shared" si="10"/>
        <v>1.5210781973159</v>
      </c>
      <c r="AF42" s="72">
        <f t="shared" si="11"/>
        <v>114.723486492138</v>
      </c>
      <c r="AG42" s="72">
        <f t="shared" si="12"/>
        <v>61996.393628776</v>
      </c>
      <c r="AH42" s="72">
        <f t="shared" si="13"/>
        <v>1297.70972591057</v>
      </c>
      <c r="AI42" s="72">
        <f t="shared" si="23"/>
        <v>0.144679022630837</v>
      </c>
      <c r="AJ42" s="53">
        <f t="shared" si="24"/>
        <v>1</v>
      </c>
      <c r="AK42" s="53">
        <f t="shared" si="30"/>
        <v>1593.84285616226</v>
      </c>
      <c r="AL42" s="72">
        <f t="shared" si="25"/>
        <v>1816.6259519383</v>
      </c>
      <c r="AM42" s="72">
        <f t="shared" si="14"/>
        <v>1.5210781973159</v>
      </c>
      <c r="AN42" s="72">
        <f t="shared" si="26"/>
        <v>114.723486492138</v>
      </c>
      <c r="AO42" s="88">
        <f t="shared" si="27"/>
        <v>61996.393628776</v>
      </c>
      <c r="AP42" s="88">
        <f t="shared" si="28"/>
        <v>1297.70972591057</v>
      </c>
      <c r="AQ42" s="72">
        <f t="shared" si="15"/>
        <v>0.144679022630837</v>
      </c>
      <c r="AR42" s="53">
        <f t="shared" si="16"/>
        <v>1</v>
      </c>
      <c r="AS42" s="53">
        <f t="shared" si="31"/>
        <v>1593.84285616227</v>
      </c>
      <c r="AV42" s="11"/>
    </row>
    <row r="43" ht="15.5" spans="1:48">
      <c r="A43" s="25"/>
      <c r="B43" s="26" t="s">
        <v>158</v>
      </c>
      <c r="C43" s="27">
        <v>431</v>
      </c>
      <c r="D43" s="28">
        <v>42.6243717882912</v>
      </c>
      <c r="E43" s="27">
        <v>133</v>
      </c>
      <c r="F43" s="27">
        <v>4.5</v>
      </c>
      <c r="G43" s="27">
        <v>399</v>
      </c>
      <c r="H43" s="27">
        <v>2</v>
      </c>
      <c r="I43" s="27">
        <v>150</v>
      </c>
      <c r="J43" s="27">
        <v>140</v>
      </c>
      <c r="K43" s="27">
        <v>199.5</v>
      </c>
      <c r="L43" s="51">
        <v>1554</v>
      </c>
      <c r="M43" s="51">
        <f t="shared" si="32"/>
        <v>1377.52337194705</v>
      </c>
      <c r="N43" s="48">
        <f t="shared" si="0"/>
        <v>0.8864371762851</v>
      </c>
      <c r="O43" s="49"/>
      <c r="P43" s="48">
        <f t="shared" si="1"/>
        <v>1</v>
      </c>
      <c r="Q43" s="27">
        <f t="shared" si="2"/>
        <v>129</v>
      </c>
      <c r="R43" s="27">
        <f t="shared" si="3"/>
        <v>2.5</v>
      </c>
      <c r="S43" s="28">
        <f t="shared" si="4"/>
        <v>2.61799387799149</v>
      </c>
      <c r="T43" s="58">
        <f t="shared" si="5"/>
        <v>62</v>
      </c>
      <c r="U43" s="48">
        <f t="shared" si="6"/>
        <v>45.6505735448476</v>
      </c>
      <c r="V43" s="48">
        <f t="shared" si="33"/>
        <v>45.6505735448476</v>
      </c>
      <c r="W43" s="59">
        <f t="shared" si="7"/>
        <v>2.04529651229974</v>
      </c>
      <c r="X43" s="48">
        <f t="shared" si="8"/>
        <v>35</v>
      </c>
      <c r="Y43" s="48">
        <f t="shared" si="9"/>
        <v>76.1637111690758</v>
      </c>
      <c r="Z43" s="48">
        <f t="shared" si="18"/>
        <v>0</v>
      </c>
      <c r="AA43" s="48">
        <f t="shared" si="19"/>
        <v>5374.63987994229</v>
      </c>
      <c r="AB43" s="69">
        <f t="shared" si="20"/>
        <v>6701.64228045688</v>
      </c>
      <c r="AC43" s="70">
        <f t="shared" si="21"/>
        <v>12076.2821603992</v>
      </c>
      <c r="AD43" s="70">
        <f t="shared" si="22"/>
        <v>1816.6259519383</v>
      </c>
      <c r="AE43" s="70">
        <f t="shared" si="10"/>
        <v>1.5210781973159</v>
      </c>
      <c r="AF43" s="70">
        <f t="shared" si="11"/>
        <v>114.723486492138</v>
      </c>
      <c r="AG43" s="70">
        <f t="shared" si="12"/>
        <v>61996.393628776</v>
      </c>
      <c r="AH43" s="70">
        <f t="shared" si="13"/>
        <v>1297.70972591057</v>
      </c>
      <c r="AI43" s="70">
        <f t="shared" si="23"/>
        <v>0.144679022630837</v>
      </c>
      <c r="AJ43" s="48">
        <f t="shared" si="24"/>
        <v>1</v>
      </c>
      <c r="AK43" s="69">
        <f t="shared" ref="AK43:AK74" si="34">AJ43*AF43*(AC43+AD43)/1000</f>
        <v>1593.84285616226</v>
      </c>
      <c r="AL43" s="70">
        <f t="shared" si="25"/>
        <v>993.528676697772</v>
      </c>
      <c r="AM43" s="70">
        <f t="shared" si="14"/>
        <v>0.831891015825601</v>
      </c>
      <c r="AN43" s="70">
        <f t="shared" si="26"/>
        <v>84.7597924234594</v>
      </c>
      <c r="AO43" s="87">
        <f t="shared" si="27"/>
        <v>40099.1760115901</v>
      </c>
      <c r="AP43" s="87">
        <f t="shared" si="28"/>
        <v>942.954800281902</v>
      </c>
      <c r="AQ43" s="70">
        <f t="shared" si="15"/>
        <v>0.153347857849777</v>
      </c>
      <c r="AR43" s="48">
        <f t="shared" si="16"/>
        <v>1</v>
      </c>
      <c r="AS43" s="48">
        <f t="shared" ref="AS43:AS74" si="35">AR43*AN43*(AC43+AL43)/1000</f>
        <v>1107.79445356622</v>
      </c>
      <c r="AV43" s="11"/>
    </row>
    <row r="44" ht="15.5" spans="1:48">
      <c r="A44" s="25"/>
      <c r="B44" s="26" t="s">
        <v>159</v>
      </c>
      <c r="C44" s="27">
        <v>431</v>
      </c>
      <c r="D44" s="28">
        <v>42.6243717882912</v>
      </c>
      <c r="E44" s="27">
        <v>133</v>
      </c>
      <c r="F44" s="27">
        <v>4.5</v>
      </c>
      <c r="G44" s="27">
        <v>399</v>
      </c>
      <c r="H44" s="27">
        <v>0.999999999999999</v>
      </c>
      <c r="I44" s="27">
        <v>150</v>
      </c>
      <c r="J44" s="27">
        <v>160</v>
      </c>
      <c r="K44" s="27">
        <v>199.5</v>
      </c>
      <c r="L44" s="25">
        <v>1589</v>
      </c>
      <c r="M44" s="51">
        <f t="shared" si="32"/>
        <v>1472.61495054273</v>
      </c>
      <c r="N44" s="48">
        <f t="shared" si="0"/>
        <v>0.92675579014646</v>
      </c>
      <c r="O44" s="49"/>
      <c r="P44" s="48">
        <f t="shared" si="1"/>
        <v>1</v>
      </c>
      <c r="Q44" s="27">
        <f t="shared" si="2"/>
        <v>131</v>
      </c>
      <c r="R44" s="27">
        <f t="shared" si="3"/>
        <v>3.5</v>
      </c>
      <c r="S44" s="28">
        <f t="shared" si="4"/>
        <v>2.61799387799149</v>
      </c>
      <c r="T44" s="58">
        <f t="shared" si="5"/>
        <v>62</v>
      </c>
      <c r="U44" s="48">
        <f t="shared" si="6"/>
        <v>45.6505735448476</v>
      </c>
      <c r="V44" s="48">
        <f t="shared" si="33"/>
        <v>45.6505735448476</v>
      </c>
      <c r="W44" s="59">
        <f t="shared" si="7"/>
        <v>2.04529651229974</v>
      </c>
      <c r="X44" s="48">
        <f t="shared" si="8"/>
        <v>40</v>
      </c>
      <c r="Y44" s="48">
        <f t="shared" si="9"/>
        <v>76.1637111690758</v>
      </c>
      <c r="Z44" s="48">
        <f t="shared" si="18"/>
        <v>0</v>
      </c>
      <c r="AA44" s="48">
        <f t="shared" si="19"/>
        <v>5831.55955105748</v>
      </c>
      <c r="AB44" s="69">
        <f t="shared" si="20"/>
        <v>6244.72260934168</v>
      </c>
      <c r="AC44" s="70">
        <f t="shared" si="21"/>
        <v>12076.2821603992</v>
      </c>
      <c r="AD44" s="70">
        <f t="shared" si="22"/>
        <v>1816.6259519383</v>
      </c>
      <c r="AE44" s="70">
        <f t="shared" si="10"/>
        <v>1.5210781973159</v>
      </c>
      <c r="AF44" s="70">
        <f t="shared" si="11"/>
        <v>114.723486492138</v>
      </c>
      <c r="AG44" s="70">
        <f t="shared" si="12"/>
        <v>61996.393628776</v>
      </c>
      <c r="AH44" s="70">
        <f t="shared" si="13"/>
        <v>1297.70972591057</v>
      </c>
      <c r="AI44" s="70">
        <f t="shared" si="23"/>
        <v>0.144679022630837</v>
      </c>
      <c r="AJ44" s="48">
        <f t="shared" si="24"/>
        <v>1</v>
      </c>
      <c r="AK44" s="69">
        <f t="shared" si="34"/>
        <v>1593.84285616226</v>
      </c>
      <c r="AL44" s="70">
        <f t="shared" si="25"/>
        <v>1401.93572166444</v>
      </c>
      <c r="AM44" s="70">
        <f t="shared" si="14"/>
        <v>1.17385412114522</v>
      </c>
      <c r="AN44" s="70">
        <f t="shared" si="26"/>
        <v>99.6272742132617</v>
      </c>
      <c r="AO44" s="87">
        <f t="shared" si="27"/>
        <v>50797.1020112049</v>
      </c>
      <c r="AP44" s="87">
        <f t="shared" si="28"/>
        <v>1118.97823666254</v>
      </c>
      <c r="AQ44" s="70">
        <f t="shared" si="15"/>
        <v>0.148419632451006</v>
      </c>
      <c r="AR44" s="48">
        <f t="shared" si="16"/>
        <v>1</v>
      </c>
      <c r="AS44" s="48">
        <f t="shared" si="35"/>
        <v>1342.79810884244</v>
      </c>
      <c r="AV44" s="11"/>
    </row>
    <row r="45" ht="15.5" spans="1:48">
      <c r="A45" s="25"/>
      <c r="B45" s="26" t="s">
        <v>160</v>
      </c>
      <c r="C45" s="27">
        <v>431</v>
      </c>
      <c r="D45" s="28">
        <v>42.6243717882912</v>
      </c>
      <c r="E45" s="27">
        <v>133</v>
      </c>
      <c r="F45" s="27">
        <v>4.5</v>
      </c>
      <c r="G45" s="27">
        <v>399</v>
      </c>
      <c r="H45" s="27">
        <v>2</v>
      </c>
      <c r="I45" s="27">
        <v>90</v>
      </c>
      <c r="J45" s="27">
        <v>160</v>
      </c>
      <c r="K45" s="27">
        <v>199.5</v>
      </c>
      <c r="L45" s="25">
        <v>1547</v>
      </c>
      <c r="M45" s="51">
        <f t="shared" si="32"/>
        <v>1429.9414859185</v>
      </c>
      <c r="N45" s="48">
        <f t="shared" si="0"/>
        <v>0.924331923670651</v>
      </c>
      <c r="O45" s="49"/>
      <c r="P45" s="48">
        <f t="shared" si="1"/>
        <v>1</v>
      </c>
      <c r="Q45" s="27">
        <f t="shared" si="2"/>
        <v>129</v>
      </c>
      <c r="R45" s="27">
        <f t="shared" si="3"/>
        <v>2.5</v>
      </c>
      <c r="S45" s="28">
        <f t="shared" si="4"/>
        <v>1.5707963267949</v>
      </c>
      <c r="T45" s="58">
        <f t="shared" si="5"/>
        <v>62</v>
      </c>
      <c r="U45" s="48">
        <f t="shared" si="6"/>
        <v>45.6505735448476</v>
      </c>
      <c r="V45" s="48">
        <f t="shared" si="33"/>
        <v>45.6505735448476</v>
      </c>
      <c r="W45" s="59">
        <f t="shared" si="7"/>
        <v>1.52169773670144</v>
      </c>
      <c r="X45" s="48">
        <f t="shared" si="8"/>
        <v>40</v>
      </c>
      <c r="Y45" s="48">
        <f t="shared" si="9"/>
        <v>60.4785551630308</v>
      </c>
      <c r="Z45" s="48">
        <f t="shared" si="18"/>
        <v>0</v>
      </c>
      <c r="AA45" s="48">
        <f t="shared" si="19"/>
        <v>4072.2676650472</v>
      </c>
      <c r="AB45" s="69">
        <f t="shared" si="20"/>
        <v>8004.01449535196</v>
      </c>
      <c r="AC45" s="70">
        <f t="shared" si="21"/>
        <v>12076.2821603992</v>
      </c>
      <c r="AD45" s="70">
        <f t="shared" si="22"/>
        <v>1816.6259519383</v>
      </c>
      <c r="AE45" s="70">
        <f t="shared" si="10"/>
        <v>1.5210781973159</v>
      </c>
      <c r="AF45" s="70">
        <f t="shared" si="11"/>
        <v>114.723486492138</v>
      </c>
      <c r="AG45" s="70">
        <f t="shared" si="12"/>
        <v>61996.393628776</v>
      </c>
      <c r="AH45" s="70">
        <f t="shared" si="13"/>
        <v>1297.70972591057</v>
      </c>
      <c r="AI45" s="70">
        <f t="shared" si="23"/>
        <v>0.144679022630837</v>
      </c>
      <c r="AJ45" s="48">
        <f t="shared" si="24"/>
        <v>1</v>
      </c>
      <c r="AK45" s="69">
        <f t="shared" si="34"/>
        <v>1593.84285616226</v>
      </c>
      <c r="AL45" s="70">
        <f t="shared" si="25"/>
        <v>993.528676697772</v>
      </c>
      <c r="AM45" s="70">
        <f t="shared" si="14"/>
        <v>0.831891015825601</v>
      </c>
      <c r="AN45" s="70">
        <f t="shared" si="26"/>
        <v>84.7597924234594</v>
      </c>
      <c r="AO45" s="87">
        <f t="shared" si="27"/>
        <v>40099.1760115901</v>
      </c>
      <c r="AP45" s="87">
        <f t="shared" si="28"/>
        <v>942.954800281902</v>
      </c>
      <c r="AQ45" s="70">
        <f t="shared" si="15"/>
        <v>0.153347857849777</v>
      </c>
      <c r="AR45" s="48">
        <f t="shared" si="16"/>
        <v>1</v>
      </c>
      <c r="AS45" s="48">
        <f t="shared" si="35"/>
        <v>1107.79445356622</v>
      </c>
      <c r="AV45" s="11"/>
    </row>
    <row r="46" ht="15.5" spans="1:48">
      <c r="A46" s="25"/>
      <c r="B46" s="26" t="s">
        <v>161</v>
      </c>
      <c r="C46" s="27">
        <v>431</v>
      </c>
      <c r="D46" s="28">
        <v>42.6243717882912</v>
      </c>
      <c r="E46" s="27">
        <v>133</v>
      </c>
      <c r="F46" s="27">
        <v>4.5</v>
      </c>
      <c r="G46" s="27">
        <v>399</v>
      </c>
      <c r="H46" s="27">
        <v>2</v>
      </c>
      <c r="I46" s="27">
        <v>150</v>
      </c>
      <c r="J46" s="27">
        <v>160</v>
      </c>
      <c r="K46" s="27">
        <v>199.5</v>
      </c>
      <c r="L46" s="51">
        <v>1440</v>
      </c>
      <c r="M46" s="51">
        <f t="shared" si="32"/>
        <v>1359.13318585248</v>
      </c>
      <c r="N46" s="48">
        <f t="shared" si="0"/>
        <v>0.943842490175331</v>
      </c>
      <c r="O46" s="49"/>
      <c r="P46" s="48">
        <f t="shared" si="1"/>
        <v>1</v>
      </c>
      <c r="Q46" s="27">
        <f t="shared" si="2"/>
        <v>129</v>
      </c>
      <c r="R46" s="27">
        <f t="shared" si="3"/>
        <v>2.5</v>
      </c>
      <c r="S46" s="28">
        <f t="shared" si="4"/>
        <v>2.61799387799149</v>
      </c>
      <c r="T46" s="58">
        <f t="shared" si="5"/>
        <v>62</v>
      </c>
      <c r="U46" s="48">
        <f t="shared" si="6"/>
        <v>45.6505735448476</v>
      </c>
      <c r="V46" s="48">
        <f t="shared" si="33"/>
        <v>45.6505735448476</v>
      </c>
      <c r="W46" s="59">
        <f t="shared" si="7"/>
        <v>2.04529651229974</v>
      </c>
      <c r="X46" s="48">
        <f t="shared" si="8"/>
        <v>40</v>
      </c>
      <c r="Y46" s="48">
        <f t="shared" si="9"/>
        <v>76.1637111690758</v>
      </c>
      <c r="Z46" s="48">
        <f t="shared" si="18"/>
        <v>0</v>
      </c>
      <c r="AA46" s="48">
        <f t="shared" si="19"/>
        <v>5831.55955105748</v>
      </c>
      <c r="AB46" s="69">
        <f t="shared" si="20"/>
        <v>6244.72260934168</v>
      </c>
      <c r="AC46" s="70">
        <f t="shared" si="21"/>
        <v>12076.2821603992</v>
      </c>
      <c r="AD46" s="70">
        <f t="shared" si="22"/>
        <v>1816.6259519383</v>
      </c>
      <c r="AE46" s="70">
        <f t="shared" si="10"/>
        <v>1.5210781973159</v>
      </c>
      <c r="AF46" s="70">
        <f t="shared" si="11"/>
        <v>114.723486492138</v>
      </c>
      <c r="AG46" s="70">
        <f t="shared" si="12"/>
        <v>61996.393628776</v>
      </c>
      <c r="AH46" s="70">
        <f t="shared" si="13"/>
        <v>1297.70972591057</v>
      </c>
      <c r="AI46" s="70">
        <f t="shared" si="23"/>
        <v>0.144679022630837</v>
      </c>
      <c r="AJ46" s="48">
        <f t="shared" si="24"/>
        <v>1</v>
      </c>
      <c r="AK46" s="69">
        <f t="shared" si="34"/>
        <v>1593.84285616226</v>
      </c>
      <c r="AL46" s="70">
        <f t="shared" si="25"/>
        <v>993.528676697772</v>
      </c>
      <c r="AM46" s="70">
        <f t="shared" si="14"/>
        <v>0.831891015825601</v>
      </c>
      <c r="AN46" s="70">
        <f t="shared" si="26"/>
        <v>84.7597924234594</v>
      </c>
      <c r="AO46" s="87">
        <f t="shared" si="27"/>
        <v>40099.1760115901</v>
      </c>
      <c r="AP46" s="87">
        <f t="shared" si="28"/>
        <v>942.954800281902</v>
      </c>
      <c r="AQ46" s="70">
        <f t="shared" si="15"/>
        <v>0.153347857849777</v>
      </c>
      <c r="AR46" s="48">
        <f t="shared" si="16"/>
        <v>1</v>
      </c>
      <c r="AS46" s="48">
        <f t="shared" si="35"/>
        <v>1107.79445356622</v>
      </c>
      <c r="AV46" s="11"/>
    </row>
    <row r="47" ht="15.5" spans="1:48">
      <c r="A47" s="25"/>
      <c r="B47" s="26" t="s">
        <v>162</v>
      </c>
      <c r="C47" s="27">
        <v>431</v>
      </c>
      <c r="D47" s="28">
        <v>42.6243717882912</v>
      </c>
      <c r="E47" s="27">
        <v>133</v>
      </c>
      <c r="F47" s="27">
        <v>4.5</v>
      </c>
      <c r="G47" s="27">
        <v>399</v>
      </c>
      <c r="H47" s="27">
        <v>2</v>
      </c>
      <c r="I47" s="27">
        <v>210</v>
      </c>
      <c r="J47" s="27">
        <v>160</v>
      </c>
      <c r="K47" s="27">
        <v>199.5</v>
      </c>
      <c r="L47" s="51">
        <v>1508</v>
      </c>
      <c r="M47" s="51">
        <f t="shared" si="32"/>
        <v>1288.32488578646</v>
      </c>
      <c r="N47" s="48">
        <f t="shared" si="0"/>
        <v>0.854326847338499</v>
      </c>
      <c r="O47" s="49"/>
      <c r="P47" s="48">
        <f t="shared" si="1"/>
        <v>1</v>
      </c>
      <c r="Q47" s="27">
        <f t="shared" si="2"/>
        <v>129</v>
      </c>
      <c r="R47" s="27">
        <f t="shared" si="3"/>
        <v>2.5</v>
      </c>
      <c r="S47" s="28">
        <f t="shared" si="4"/>
        <v>3.66519142918809</v>
      </c>
      <c r="T47" s="58">
        <f t="shared" si="5"/>
        <v>62</v>
      </c>
      <c r="U47" s="48">
        <f t="shared" si="6"/>
        <v>45.6505735448476</v>
      </c>
      <c r="V47" s="48">
        <f t="shared" si="33"/>
        <v>45.6505735448476</v>
      </c>
      <c r="W47" s="59">
        <f t="shared" si="7"/>
        <v>2.56889528789804</v>
      </c>
      <c r="X47" s="48">
        <f t="shared" si="8"/>
        <v>40</v>
      </c>
      <c r="Y47" s="48">
        <f t="shared" si="9"/>
        <v>88.0537122055392</v>
      </c>
      <c r="Z47" s="48">
        <f t="shared" si="18"/>
        <v>0</v>
      </c>
      <c r="AA47" s="48">
        <f t="shared" si="19"/>
        <v>7590.85143706777</v>
      </c>
      <c r="AB47" s="69">
        <f t="shared" si="20"/>
        <v>4485.4307233314</v>
      </c>
      <c r="AC47" s="70">
        <f t="shared" si="21"/>
        <v>12076.2821603992</v>
      </c>
      <c r="AD47" s="70">
        <f t="shared" si="22"/>
        <v>1816.6259519383</v>
      </c>
      <c r="AE47" s="70">
        <f t="shared" si="10"/>
        <v>1.5210781973159</v>
      </c>
      <c r="AF47" s="70">
        <f t="shared" si="11"/>
        <v>114.723486492138</v>
      </c>
      <c r="AG47" s="70">
        <f t="shared" si="12"/>
        <v>61996.393628776</v>
      </c>
      <c r="AH47" s="70">
        <f t="shared" si="13"/>
        <v>1297.70972591057</v>
      </c>
      <c r="AI47" s="70">
        <f t="shared" si="23"/>
        <v>0.144679022630837</v>
      </c>
      <c r="AJ47" s="48">
        <f t="shared" si="24"/>
        <v>1</v>
      </c>
      <c r="AK47" s="69">
        <f t="shared" si="34"/>
        <v>1593.84285616226</v>
      </c>
      <c r="AL47" s="70">
        <f t="shared" si="25"/>
        <v>993.528676697772</v>
      </c>
      <c r="AM47" s="70">
        <f t="shared" si="14"/>
        <v>0.831891015825601</v>
      </c>
      <c r="AN47" s="70">
        <f t="shared" si="26"/>
        <v>84.7597924234594</v>
      </c>
      <c r="AO47" s="87">
        <f t="shared" si="27"/>
        <v>40099.1760115901</v>
      </c>
      <c r="AP47" s="87">
        <f t="shared" si="28"/>
        <v>942.954800281902</v>
      </c>
      <c r="AQ47" s="70">
        <f t="shared" si="15"/>
        <v>0.153347857849777</v>
      </c>
      <c r="AR47" s="48">
        <f t="shared" si="16"/>
        <v>1</v>
      </c>
      <c r="AS47" s="48">
        <f t="shared" si="35"/>
        <v>1107.79445356622</v>
      </c>
      <c r="AV47" s="11"/>
    </row>
    <row r="48" ht="15.5" spans="1:48">
      <c r="A48" s="25"/>
      <c r="B48" s="26" t="s">
        <v>163</v>
      </c>
      <c r="C48" s="27">
        <v>431</v>
      </c>
      <c r="D48" s="28">
        <v>42.6243717882912</v>
      </c>
      <c r="E48" s="27">
        <v>133</v>
      </c>
      <c r="F48" s="27">
        <v>4.5</v>
      </c>
      <c r="G48" s="27">
        <v>399</v>
      </c>
      <c r="H48" s="27">
        <v>2</v>
      </c>
      <c r="I48" s="27">
        <v>360</v>
      </c>
      <c r="J48" s="27">
        <v>160</v>
      </c>
      <c r="K48" s="27">
        <v>199.5</v>
      </c>
      <c r="L48" s="25">
        <v>1263</v>
      </c>
      <c r="M48" s="51">
        <f t="shared" si="32"/>
        <v>1168.99305576613</v>
      </c>
      <c r="N48" s="48">
        <f t="shared" si="0"/>
        <v>0.925568531881341</v>
      </c>
      <c r="O48" s="49"/>
      <c r="P48" s="48">
        <f t="shared" si="1"/>
        <v>1</v>
      </c>
      <c r="Q48" s="27">
        <f t="shared" si="2"/>
        <v>129</v>
      </c>
      <c r="R48" s="27">
        <f t="shared" si="3"/>
        <v>2.5</v>
      </c>
      <c r="S48" s="28">
        <f t="shared" si="4"/>
        <v>6.28318530717959</v>
      </c>
      <c r="T48" s="58">
        <f t="shared" si="5"/>
        <v>62</v>
      </c>
      <c r="U48" s="48">
        <f t="shared" si="6"/>
        <v>45.6505735448476</v>
      </c>
      <c r="V48" s="48">
        <f t="shared" si="33"/>
        <v>0</v>
      </c>
      <c r="W48" s="59">
        <f t="shared" si="7"/>
        <v>3.14159265358979</v>
      </c>
      <c r="X48" s="48">
        <f t="shared" si="8"/>
        <v>40</v>
      </c>
      <c r="Y48" s="48">
        <f t="shared" si="9"/>
        <v>93</v>
      </c>
      <c r="Z48" s="48">
        <f t="shared" si="18"/>
        <v>0</v>
      </c>
      <c r="AA48" s="48">
        <f t="shared" si="19"/>
        <v>10555.7513160617</v>
      </c>
      <c r="AB48" s="69">
        <f t="shared" si="20"/>
        <v>1520.53084433746</v>
      </c>
      <c r="AC48" s="70">
        <f t="shared" si="21"/>
        <v>12076.2821603992</v>
      </c>
      <c r="AD48" s="70">
        <f t="shared" si="22"/>
        <v>1816.6259519383</v>
      </c>
      <c r="AE48" s="70">
        <f t="shared" si="10"/>
        <v>1.5210781973159</v>
      </c>
      <c r="AF48" s="70">
        <f t="shared" si="11"/>
        <v>114.723486492138</v>
      </c>
      <c r="AG48" s="70">
        <f t="shared" si="12"/>
        <v>61996.393628776</v>
      </c>
      <c r="AH48" s="70">
        <f t="shared" si="13"/>
        <v>1297.70972591057</v>
      </c>
      <c r="AI48" s="70">
        <f t="shared" si="23"/>
        <v>0.144679022630837</v>
      </c>
      <c r="AJ48" s="48">
        <f t="shared" si="24"/>
        <v>1</v>
      </c>
      <c r="AK48" s="69">
        <f t="shared" si="34"/>
        <v>1593.84285616226</v>
      </c>
      <c r="AL48" s="70">
        <f t="shared" si="25"/>
        <v>993.528676697772</v>
      </c>
      <c r="AM48" s="70">
        <f t="shared" si="14"/>
        <v>0.831891015825601</v>
      </c>
      <c r="AN48" s="70">
        <f t="shared" si="26"/>
        <v>84.7597924234594</v>
      </c>
      <c r="AO48" s="87">
        <f t="shared" si="27"/>
        <v>40099.1760115901</v>
      </c>
      <c r="AP48" s="87">
        <f t="shared" si="28"/>
        <v>942.954800281902</v>
      </c>
      <c r="AQ48" s="70">
        <f t="shared" si="15"/>
        <v>0.153347857849777</v>
      </c>
      <c r="AR48" s="48">
        <f t="shared" si="16"/>
        <v>1</v>
      </c>
      <c r="AS48" s="48">
        <f t="shared" si="35"/>
        <v>1107.79445356622</v>
      </c>
      <c r="AV48" s="11"/>
    </row>
    <row r="49" ht="15.5" spans="1:48">
      <c r="A49" s="25"/>
      <c r="B49" s="26" t="s">
        <v>164</v>
      </c>
      <c r="C49" s="27">
        <v>431</v>
      </c>
      <c r="D49" s="28">
        <v>42.6243717882912</v>
      </c>
      <c r="E49" s="27">
        <v>133</v>
      </c>
      <c r="F49" s="27">
        <v>4.5</v>
      </c>
      <c r="G49" s="27">
        <v>399</v>
      </c>
      <c r="H49" s="27">
        <v>3</v>
      </c>
      <c r="I49" s="27">
        <v>150</v>
      </c>
      <c r="J49" s="27">
        <v>160</v>
      </c>
      <c r="K49" s="27">
        <v>199.5</v>
      </c>
      <c r="L49" s="25">
        <v>1307</v>
      </c>
      <c r="M49" s="51">
        <f t="shared" si="32"/>
        <v>1253.12690463439</v>
      </c>
      <c r="N49" s="48">
        <f t="shared" si="0"/>
        <v>0.958781105305576</v>
      </c>
      <c r="O49" s="49"/>
      <c r="P49" s="48">
        <f t="shared" si="1"/>
        <v>1</v>
      </c>
      <c r="Q49" s="27">
        <f t="shared" si="2"/>
        <v>127</v>
      </c>
      <c r="R49" s="27">
        <f t="shared" si="3"/>
        <v>1.5</v>
      </c>
      <c r="S49" s="28">
        <f t="shared" si="4"/>
        <v>2.61799387799149</v>
      </c>
      <c r="T49" s="58">
        <f t="shared" si="5"/>
        <v>62</v>
      </c>
      <c r="U49" s="48">
        <f t="shared" si="6"/>
        <v>45.6505735448476</v>
      </c>
      <c r="V49" s="48">
        <f t="shared" si="33"/>
        <v>45.6505735448476</v>
      </c>
      <c r="W49" s="59">
        <f t="shared" si="7"/>
        <v>2.04529651229974</v>
      </c>
      <c r="X49" s="48">
        <f t="shared" si="8"/>
        <v>40</v>
      </c>
      <c r="Y49" s="48">
        <f t="shared" si="9"/>
        <v>76.1637111690758</v>
      </c>
      <c r="Z49" s="48">
        <f t="shared" si="18"/>
        <v>0</v>
      </c>
      <c r="AA49" s="48">
        <f t="shared" si="19"/>
        <v>5831.55955105748</v>
      </c>
      <c r="AB49" s="69">
        <f t="shared" si="20"/>
        <v>6244.72260934168</v>
      </c>
      <c r="AC49" s="70">
        <f t="shared" si="21"/>
        <v>12076.2821603992</v>
      </c>
      <c r="AD49" s="70">
        <f t="shared" si="22"/>
        <v>1816.6259519383</v>
      </c>
      <c r="AE49" s="70">
        <f t="shared" si="10"/>
        <v>1.5210781973159</v>
      </c>
      <c r="AF49" s="70">
        <f t="shared" si="11"/>
        <v>114.723486492138</v>
      </c>
      <c r="AG49" s="70">
        <f t="shared" si="12"/>
        <v>61996.393628776</v>
      </c>
      <c r="AH49" s="70">
        <f t="shared" si="13"/>
        <v>1297.70972591057</v>
      </c>
      <c r="AI49" s="70">
        <f t="shared" si="23"/>
        <v>0.144679022630837</v>
      </c>
      <c r="AJ49" s="48">
        <f t="shared" si="24"/>
        <v>1</v>
      </c>
      <c r="AK49" s="69">
        <f t="shared" si="34"/>
        <v>1593.84285616226</v>
      </c>
      <c r="AL49" s="70">
        <f t="shared" si="25"/>
        <v>591.404817038278</v>
      </c>
      <c r="AM49" s="70">
        <f t="shared" si="14"/>
        <v>0.495188881357057</v>
      </c>
      <c r="AN49" s="70">
        <f t="shared" si="26"/>
        <v>70.121041122731</v>
      </c>
      <c r="AO49" s="87">
        <f t="shared" si="27"/>
        <v>29887.4242078861</v>
      </c>
      <c r="AP49" s="87">
        <f t="shared" si="28"/>
        <v>769.63941676866</v>
      </c>
      <c r="AQ49" s="70">
        <f t="shared" si="15"/>
        <v>0.160472052339919</v>
      </c>
      <c r="AR49" s="48">
        <f t="shared" si="16"/>
        <v>1</v>
      </c>
      <c r="AS49" s="48">
        <f t="shared" si="35"/>
        <v>888.271399474777</v>
      </c>
      <c r="AV49" s="11"/>
    </row>
    <row r="50" ht="15.5" spans="1:48">
      <c r="A50" s="31"/>
      <c r="B50" s="32" t="s">
        <v>165</v>
      </c>
      <c r="C50" s="33">
        <v>431</v>
      </c>
      <c r="D50" s="34">
        <v>42.6243717882912</v>
      </c>
      <c r="E50" s="33">
        <v>133</v>
      </c>
      <c r="F50" s="33">
        <v>4.5</v>
      </c>
      <c r="G50" s="33">
        <v>399</v>
      </c>
      <c r="H50" s="33">
        <v>2</v>
      </c>
      <c r="I50" s="33">
        <v>150</v>
      </c>
      <c r="J50" s="33">
        <v>180</v>
      </c>
      <c r="K50" s="33">
        <v>199.5</v>
      </c>
      <c r="L50" s="31">
        <v>1481</v>
      </c>
      <c r="M50" s="52">
        <f t="shared" si="32"/>
        <v>1343.8711490991</v>
      </c>
      <c r="N50" s="48">
        <f t="shared" si="0"/>
        <v>0.907407933220187</v>
      </c>
      <c r="O50" s="49"/>
      <c r="P50" s="54">
        <f t="shared" si="1"/>
        <v>1</v>
      </c>
      <c r="Q50" s="33">
        <f t="shared" si="2"/>
        <v>129</v>
      </c>
      <c r="R50" s="33">
        <f t="shared" si="3"/>
        <v>2.5</v>
      </c>
      <c r="S50" s="34">
        <f t="shared" si="4"/>
        <v>2.61799387799149</v>
      </c>
      <c r="T50" s="52">
        <f t="shared" si="5"/>
        <v>62</v>
      </c>
      <c r="U50" s="54">
        <f t="shared" si="6"/>
        <v>45.6505735448476</v>
      </c>
      <c r="V50" s="48">
        <f t="shared" si="33"/>
        <v>45.6505735448476</v>
      </c>
      <c r="W50" s="62">
        <f t="shared" si="7"/>
        <v>2.04529651229974</v>
      </c>
      <c r="X50" s="54">
        <f t="shared" si="8"/>
        <v>45</v>
      </c>
      <c r="Y50" s="54">
        <f t="shared" si="9"/>
        <v>76.1637111690758</v>
      </c>
      <c r="Z50" s="54">
        <f t="shared" si="18"/>
        <v>0</v>
      </c>
      <c r="AA50" s="48">
        <f t="shared" si="19"/>
        <v>6210.75771566783</v>
      </c>
      <c r="AB50" s="73">
        <f t="shared" si="20"/>
        <v>5865.52444473134</v>
      </c>
      <c r="AC50" s="74">
        <f t="shared" si="21"/>
        <v>12076.2821603992</v>
      </c>
      <c r="AD50" s="74">
        <f t="shared" si="22"/>
        <v>1816.6259519383</v>
      </c>
      <c r="AE50" s="74">
        <f t="shared" si="10"/>
        <v>1.5210781973159</v>
      </c>
      <c r="AF50" s="74">
        <f t="shared" si="11"/>
        <v>114.723486492138</v>
      </c>
      <c r="AG50" s="74">
        <f t="shared" si="12"/>
        <v>61996.393628776</v>
      </c>
      <c r="AH50" s="74">
        <f t="shared" si="13"/>
        <v>1297.70972591057</v>
      </c>
      <c r="AI50" s="74">
        <f t="shared" si="23"/>
        <v>0.144679022630837</v>
      </c>
      <c r="AJ50" s="54">
        <f t="shared" si="24"/>
        <v>1</v>
      </c>
      <c r="AK50" s="48">
        <f t="shared" si="34"/>
        <v>1593.84285616226</v>
      </c>
      <c r="AL50" s="74">
        <f t="shared" si="25"/>
        <v>993.528676697772</v>
      </c>
      <c r="AM50" s="74">
        <f t="shared" si="14"/>
        <v>0.831891015825601</v>
      </c>
      <c r="AN50" s="74">
        <f t="shared" si="26"/>
        <v>84.7597924234594</v>
      </c>
      <c r="AO50" s="89">
        <f t="shared" si="27"/>
        <v>40099.1760115901</v>
      </c>
      <c r="AP50" s="89">
        <f t="shared" si="28"/>
        <v>942.954800281902</v>
      </c>
      <c r="AQ50" s="74">
        <f t="shared" si="15"/>
        <v>0.153347857849777</v>
      </c>
      <c r="AR50" s="54">
        <f t="shared" si="16"/>
        <v>1</v>
      </c>
      <c r="AS50" s="48">
        <f t="shared" si="35"/>
        <v>1107.79445356622</v>
      </c>
      <c r="AV50" s="11"/>
    </row>
    <row r="51" ht="15.5" spans="1:48">
      <c r="A51" s="37" t="s">
        <v>166</v>
      </c>
      <c r="B51" s="22" t="s">
        <v>167</v>
      </c>
      <c r="C51" s="23">
        <v>310</v>
      </c>
      <c r="D51" s="24">
        <v>28.5421776085365</v>
      </c>
      <c r="E51" s="23">
        <v>140</v>
      </c>
      <c r="F51" s="23">
        <v>4</v>
      </c>
      <c r="G51" s="23">
        <v>420</v>
      </c>
      <c r="H51" s="23">
        <v>0</v>
      </c>
      <c r="I51" s="23">
        <v>0</v>
      </c>
      <c r="J51" s="23">
        <v>0</v>
      </c>
      <c r="K51" s="23">
        <v>0</v>
      </c>
      <c r="L51" s="46">
        <v>1145</v>
      </c>
      <c r="M51" s="51">
        <f t="shared" si="32"/>
        <v>1108.76625291144</v>
      </c>
      <c r="N51" s="53">
        <f t="shared" si="0"/>
        <v>0.96835480603619</v>
      </c>
      <c r="O51" s="49"/>
      <c r="P51" s="53">
        <f t="shared" si="1"/>
        <v>1</v>
      </c>
      <c r="Q51" s="23">
        <f t="shared" si="2"/>
        <v>140</v>
      </c>
      <c r="R51" s="23">
        <f t="shared" si="3"/>
        <v>4</v>
      </c>
      <c r="S51" s="63">
        <f t="shared" si="4"/>
        <v>0</v>
      </c>
      <c r="T51" s="46">
        <f t="shared" si="5"/>
        <v>66</v>
      </c>
      <c r="U51" s="53">
        <f t="shared" si="6"/>
        <v>44.1578758809164</v>
      </c>
      <c r="V51" s="53">
        <f t="shared" si="33"/>
        <v>44.1578758809164</v>
      </c>
      <c r="W51" s="60">
        <f t="shared" si="7"/>
        <v>0.669058725468431</v>
      </c>
      <c r="X51" s="53">
        <f t="shared" si="8"/>
        <v>0</v>
      </c>
      <c r="Y51" s="53">
        <f t="shared" si="9"/>
        <v>40.1146073837353</v>
      </c>
      <c r="Z51" s="53">
        <f t="shared" si="18"/>
        <v>0</v>
      </c>
      <c r="AA51" s="53">
        <f t="shared" si="19"/>
        <v>0</v>
      </c>
      <c r="AB51" s="47">
        <f t="shared" si="20"/>
        <v>13684.7775990371</v>
      </c>
      <c r="AC51" s="72">
        <f t="shared" si="21"/>
        <v>13684.7775990371</v>
      </c>
      <c r="AD51" s="72">
        <f t="shared" si="22"/>
        <v>1709.02640355285</v>
      </c>
      <c r="AE51" s="72">
        <f t="shared" si="10"/>
        <v>1.35639324466457</v>
      </c>
      <c r="AF51" s="72">
        <f t="shared" si="11"/>
        <v>72.0267877078915</v>
      </c>
      <c r="AG51" s="72">
        <f t="shared" si="12"/>
        <v>60489.0581800956</v>
      </c>
      <c r="AH51" s="72">
        <f t="shared" si="13"/>
        <v>920.391537866422</v>
      </c>
      <c r="AI51" s="72">
        <f t="shared" si="23"/>
        <v>0.123352483370323</v>
      </c>
      <c r="AJ51" s="53">
        <f t="shared" si="24"/>
        <v>1</v>
      </c>
      <c r="AK51" s="53">
        <f t="shared" si="34"/>
        <v>1108.76625291144</v>
      </c>
      <c r="AL51" s="72">
        <f t="shared" si="25"/>
        <v>1709.02640355285</v>
      </c>
      <c r="AM51" s="72">
        <f t="shared" si="14"/>
        <v>1.35639324466456</v>
      </c>
      <c r="AN51" s="72">
        <f t="shared" si="26"/>
        <v>72.0267877078914</v>
      </c>
      <c r="AO51" s="88">
        <f t="shared" si="27"/>
        <v>60489.0581800956</v>
      </c>
      <c r="AP51" s="88">
        <f t="shared" si="28"/>
        <v>920.391537866422</v>
      </c>
      <c r="AQ51" s="72">
        <f t="shared" si="15"/>
        <v>0.123352483370323</v>
      </c>
      <c r="AR51" s="53">
        <f t="shared" si="16"/>
        <v>1</v>
      </c>
      <c r="AS51" s="53">
        <f t="shared" si="35"/>
        <v>1108.76625291144</v>
      </c>
      <c r="AV51" s="11"/>
    </row>
    <row r="52" ht="15.5" spans="1:48">
      <c r="A52" s="37"/>
      <c r="B52" s="26" t="s">
        <v>168</v>
      </c>
      <c r="C52" s="27">
        <v>310</v>
      </c>
      <c r="D52" s="28">
        <v>28.5421776085365</v>
      </c>
      <c r="E52" s="27">
        <v>140</v>
      </c>
      <c r="F52" s="27">
        <v>4</v>
      </c>
      <c r="G52" s="27">
        <v>420</v>
      </c>
      <c r="H52" s="27">
        <v>2</v>
      </c>
      <c r="I52" s="28">
        <v>4.91106681540706</v>
      </c>
      <c r="J52" s="27">
        <v>140</v>
      </c>
      <c r="K52" s="27">
        <v>210</v>
      </c>
      <c r="L52" s="51">
        <v>1075</v>
      </c>
      <c r="M52" s="51">
        <f t="shared" si="32"/>
        <v>1072.14235254439</v>
      </c>
      <c r="N52" s="48">
        <f t="shared" si="0"/>
        <v>0.997341723297111</v>
      </c>
      <c r="O52" s="49"/>
      <c r="P52" s="48">
        <f t="shared" si="1"/>
        <v>1</v>
      </c>
      <c r="Q52" s="27">
        <f t="shared" si="2"/>
        <v>136</v>
      </c>
      <c r="R52" s="27">
        <f t="shared" si="3"/>
        <v>2</v>
      </c>
      <c r="S52" s="28">
        <f t="shared" si="4"/>
        <v>0.0857142857142858</v>
      </c>
      <c r="T52" s="58">
        <f t="shared" si="5"/>
        <v>66</v>
      </c>
      <c r="U52" s="48">
        <f t="shared" si="6"/>
        <v>44.1578758809164</v>
      </c>
      <c r="V52" s="48">
        <f t="shared" si="33"/>
        <v>44.1578758809164</v>
      </c>
      <c r="W52" s="59">
        <f t="shared" si="7"/>
        <v>0.711915868325574</v>
      </c>
      <c r="X52" s="48">
        <f t="shared" si="8"/>
        <v>35</v>
      </c>
      <c r="Y52" s="48">
        <f t="shared" si="9"/>
        <v>41.0153153098809</v>
      </c>
      <c r="Z52" s="48">
        <f t="shared" si="18"/>
        <v>0</v>
      </c>
      <c r="AA52" s="48">
        <f t="shared" si="19"/>
        <v>1417.8266762658</v>
      </c>
      <c r="AB52" s="69">
        <f t="shared" si="20"/>
        <v>12266.9509227713</v>
      </c>
      <c r="AC52" s="70">
        <f t="shared" si="21"/>
        <v>13684.7775990371</v>
      </c>
      <c r="AD52" s="70">
        <f t="shared" si="22"/>
        <v>1709.02640355285</v>
      </c>
      <c r="AE52" s="70">
        <f t="shared" si="10"/>
        <v>1.35639324466457</v>
      </c>
      <c r="AF52" s="70">
        <f t="shared" si="11"/>
        <v>72.0267877078915</v>
      </c>
      <c r="AG52" s="70">
        <f t="shared" si="12"/>
        <v>60489.0581800956</v>
      </c>
      <c r="AH52" s="70">
        <f t="shared" si="13"/>
        <v>920.391537866422</v>
      </c>
      <c r="AI52" s="70">
        <f t="shared" si="23"/>
        <v>0.123352483370323</v>
      </c>
      <c r="AJ52" s="48">
        <f t="shared" si="24"/>
        <v>1</v>
      </c>
      <c r="AK52" s="69">
        <f t="shared" si="34"/>
        <v>1108.76625291144</v>
      </c>
      <c r="AL52" s="70">
        <f t="shared" si="25"/>
        <v>841.946831162064</v>
      </c>
      <c r="AM52" s="70">
        <f t="shared" si="14"/>
        <v>0.668223142592101</v>
      </c>
      <c r="AN52" s="70">
        <f t="shared" si="26"/>
        <v>51.9920769640897</v>
      </c>
      <c r="AO52" s="87">
        <f t="shared" si="27"/>
        <v>37387.0618556975</v>
      </c>
      <c r="AP52" s="87">
        <f t="shared" si="28"/>
        <v>651.59687042528</v>
      </c>
      <c r="AQ52" s="70">
        <f t="shared" si="15"/>
        <v>0.132016686035099</v>
      </c>
      <c r="AR52" s="48">
        <f t="shared" si="16"/>
        <v>1</v>
      </c>
      <c r="AS52" s="48">
        <f t="shared" si="35"/>
        <v>755.274574611037</v>
      </c>
      <c r="AV52" s="11"/>
    </row>
    <row r="53" ht="15.5" spans="1:48">
      <c r="A53" s="37"/>
      <c r="B53" s="26" t="s">
        <v>169</v>
      </c>
      <c r="C53" s="27">
        <v>310</v>
      </c>
      <c r="D53" s="28">
        <v>28.5421776085365</v>
      </c>
      <c r="E53" s="27">
        <v>140</v>
      </c>
      <c r="F53" s="27">
        <v>4</v>
      </c>
      <c r="G53" s="27">
        <v>420</v>
      </c>
      <c r="H53" s="27">
        <v>3</v>
      </c>
      <c r="I53" s="28">
        <v>4.91106681540706</v>
      </c>
      <c r="J53" s="27">
        <v>140</v>
      </c>
      <c r="K53" s="27">
        <v>210</v>
      </c>
      <c r="L53" s="51">
        <v>992</v>
      </c>
      <c r="M53" s="51">
        <f t="shared" si="32"/>
        <v>1055.53943439845</v>
      </c>
      <c r="N53" s="48">
        <f t="shared" si="0"/>
        <v>1.06405184919199</v>
      </c>
      <c r="O53" s="49"/>
      <c r="P53" s="48">
        <f t="shared" si="1"/>
        <v>1</v>
      </c>
      <c r="Q53" s="27">
        <f t="shared" si="2"/>
        <v>134</v>
      </c>
      <c r="R53" s="27">
        <f t="shared" si="3"/>
        <v>1</v>
      </c>
      <c r="S53" s="28">
        <f t="shared" si="4"/>
        <v>0.0857142857142858</v>
      </c>
      <c r="T53" s="58">
        <f t="shared" si="5"/>
        <v>66</v>
      </c>
      <c r="U53" s="48">
        <f t="shared" si="6"/>
        <v>44.1578758809164</v>
      </c>
      <c r="V53" s="48">
        <f t="shared" si="33"/>
        <v>44.1578758809164</v>
      </c>
      <c r="W53" s="59">
        <f t="shared" si="7"/>
        <v>0.711915868325574</v>
      </c>
      <c r="X53" s="48">
        <f t="shared" si="8"/>
        <v>35</v>
      </c>
      <c r="Y53" s="48">
        <f t="shared" si="9"/>
        <v>41.0153153098809</v>
      </c>
      <c r="Z53" s="48">
        <f t="shared" si="18"/>
        <v>0</v>
      </c>
      <c r="AA53" s="48">
        <f t="shared" si="19"/>
        <v>1417.8266762658</v>
      </c>
      <c r="AB53" s="69">
        <f t="shared" si="20"/>
        <v>12266.9509227713</v>
      </c>
      <c r="AC53" s="70">
        <f t="shared" si="21"/>
        <v>13684.7775990371</v>
      </c>
      <c r="AD53" s="70">
        <f t="shared" si="22"/>
        <v>1709.02640355285</v>
      </c>
      <c r="AE53" s="70">
        <f t="shared" si="10"/>
        <v>1.35639324466457</v>
      </c>
      <c r="AF53" s="70">
        <f t="shared" si="11"/>
        <v>72.0267877078915</v>
      </c>
      <c r="AG53" s="70">
        <f t="shared" si="12"/>
        <v>60489.0581800956</v>
      </c>
      <c r="AH53" s="70">
        <f t="shared" si="13"/>
        <v>920.391537866422</v>
      </c>
      <c r="AI53" s="70">
        <f t="shared" si="23"/>
        <v>0.123352483370323</v>
      </c>
      <c r="AJ53" s="48">
        <f t="shared" si="24"/>
        <v>1</v>
      </c>
      <c r="AK53" s="69">
        <f t="shared" si="34"/>
        <v>1108.76625291144</v>
      </c>
      <c r="AL53" s="70">
        <f t="shared" si="25"/>
        <v>417.831822927443</v>
      </c>
      <c r="AM53" s="70">
        <f t="shared" si="14"/>
        <v>0.331618201361006</v>
      </c>
      <c r="AN53" s="70">
        <f t="shared" si="26"/>
        <v>42.1924901872302</v>
      </c>
      <c r="AO53" s="87">
        <f t="shared" si="27"/>
        <v>26574.8093281118</v>
      </c>
      <c r="AP53" s="87">
        <f t="shared" si="28"/>
        <v>520.121217872547</v>
      </c>
      <c r="AQ53" s="70">
        <f t="shared" si="15"/>
        <v>0.139899836456925</v>
      </c>
      <c r="AR53" s="48">
        <f t="shared" si="16"/>
        <v>1</v>
      </c>
      <c r="AS53" s="48">
        <f t="shared" si="35"/>
        <v>595.024209650579</v>
      </c>
      <c r="AV53" s="11"/>
    </row>
    <row r="54" ht="15.5" spans="1:48">
      <c r="A54" s="37"/>
      <c r="B54" s="26" t="s">
        <v>170</v>
      </c>
      <c r="C54" s="27">
        <v>310</v>
      </c>
      <c r="D54" s="28">
        <v>28.5421776085365</v>
      </c>
      <c r="E54" s="27">
        <v>140</v>
      </c>
      <c r="F54" s="27">
        <v>4</v>
      </c>
      <c r="G54" s="27">
        <v>420</v>
      </c>
      <c r="H54" s="27">
        <v>4</v>
      </c>
      <c r="I54" s="28">
        <v>4.91106681540706</v>
      </c>
      <c r="J54" s="27">
        <v>25</v>
      </c>
      <c r="K54" s="27">
        <v>210</v>
      </c>
      <c r="L54" s="51">
        <v>1104</v>
      </c>
      <c r="M54" s="51">
        <f t="shared" si="32"/>
        <v>1094.17466679318</v>
      </c>
      <c r="N54" s="48">
        <f t="shared" si="0"/>
        <v>0.991100241660489</v>
      </c>
      <c r="O54" s="49"/>
      <c r="P54" s="48">
        <f t="shared" si="1"/>
        <v>1</v>
      </c>
      <c r="Q54" s="27">
        <f t="shared" si="2"/>
        <v>132</v>
      </c>
      <c r="R54" s="27">
        <f t="shared" si="3"/>
        <v>0</v>
      </c>
      <c r="S54" s="28">
        <f t="shared" si="4"/>
        <v>0.0857142857142858</v>
      </c>
      <c r="T54" s="58">
        <f t="shared" si="5"/>
        <v>66</v>
      </c>
      <c r="U54" s="48">
        <f t="shared" si="6"/>
        <v>44.1578758809164</v>
      </c>
      <c r="V54" s="48">
        <f t="shared" si="33"/>
        <v>44.1578758809164</v>
      </c>
      <c r="W54" s="59">
        <f t="shared" si="7"/>
        <v>0.711915868325574</v>
      </c>
      <c r="X54" s="48">
        <f t="shared" si="8"/>
        <v>6.25</v>
      </c>
      <c r="Y54" s="48">
        <f t="shared" si="9"/>
        <v>41.0153153098809</v>
      </c>
      <c r="Z54" s="48">
        <f t="shared" si="18"/>
        <v>0</v>
      </c>
      <c r="AA54" s="48">
        <f t="shared" si="19"/>
        <v>300.958057815477</v>
      </c>
      <c r="AB54" s="69">
        <f t="shared" si="20"/>
        <v>13383.8195412217</v>
      </c>
      <c r="AC54" s="70">
        <f t="shared" si="21"/>
        <v>13684.7775990371</v>
      </c>
      <c r="AD54" s="70">
        <f t="shared" si="22"/>
        <v>1709.02640355285</v>
      </c>
      <c r="AE54" s="70">
        <f t="shared" si="10"/>
        <v>1.35639324466457</v>
      </c>
      <c r="AF54" s="70">
        <f t="shared" si="11"/>
        <v>72.0267877078915</v>
      </c>
      <c r="AG54" s="70">
        <f t="shared" si="12"/>
        <v>60489.0581800956</v>
      </c>
      <c r="AH54" s="70">
        <f t="shared" si="13"/>
        <v>920.391537866422</v>
      </c>
      <c r="AI54" s="70">
        <f t="shared" si="23"/>
        <v>0.123352483370323</v>
      </c>
      <c r="AJ54" s="48">
        <f t="shared" si="24"/>
        <v>1</v>
      </c>
      <c r="AK54" s="69">
        <f t="shared" si="34"/>
        <v>1108.76625291144</v>
      </c>
      <c r="AL54" s="70">
        <f t="shared" si="25"/>
        <v>0</v>
      </c>
      <c r="AM54" s="70">
        <f t="shared" si="14"/>
        <v>0</v>
      </c>
      <c r="AN54" s="70">
        <f t="shared" si="26"/>
        <v>32.5380824737316</v>
      </c>
      <c r="AO54" s="87">
        <f t="shared" si="27"/>
        <v>16236.0001465488</v>
      </c>
      <c r="AP54" s="87">
        <f t="shared" si="28"/>
        <v>390.59335276504</v>
      </c>
      <c r="AQ54" s="70">
        <f t="shared" si="15"/>
        <v>0.155103965252094</v>
      </c>
      <c r="AR54" s="48">
        <f t="shared" si="16"/>
        <v>1</v>
      </c>
      <c r="AS54" s="48">
        <f t="shared" si="35"/>
        <v>445.276422152144</v>
      </c>
      <c r="AV54" s="11"/>
    </row>
    <row r="55" s="1" customFormat="1" ht="15.5" spans="1:55">
      <c r="A55" s="37"/>
      <c r="B55" s="26" t="s">
        <v>171</v>
      </c>
      <c r="C55" s="27">
        <v>310</v>
      </c>
      <c r="D55" s="28">
        <v>28.5421776085365</v>
      </c>
      <c r="E55" s="27">
        <v>140</v>
      </c>
      <c r="F55" s="27">
        <v>4</v>
      </c>
      <c r="G55" s="27">
        <v>420</v>
      </c>
      <c r="H55" s="27">
        <v>4</v>
      </c>
      <c r="I55" s="28">
        <v>4.91106681540706</v>
      </c>
      <c r="J55" s="27">
        <v>50</v>
      </c>
      <c r="K55" s="27">
        <v>210</v>
      </c>
      <c r="L55" s="51">
        <v>1023</v>
      </c>
      <c r="M55" s="51">
        <f t="shared" si="32"/>
        <v>1080.59016738906</v>
      </c>
      <c r="N55" s="48">
        <f t="shared" si="0"/>
        <v>1.05629537379185</v>
      </c>
      <c r="O55" s="49"/>
      <c r="P55" s="48">
        <f t="shared" si="1"/>
        <v>1</v>
      </c>
      <c r="Q55" s="27">
        <f t="shared" si="2"/>
        <v>132</v>
      </c>
      <c r="R55" s="27">
        <f t="shared" si="3"/>
        <v>0</v>
      </c>
      <c r="S55" s="28">
        <f t="shared" si="4"/>
        <v>0.0857142857142858</v>
      </c>
      <c r="T55" s="58">
        <f t="shared" si="5"/>
        <v>66</v>
      </c>
      <c r="U55" s="48">
        <f t="shared" si="6"/>
        <v>44.1578758809164</v>
      </c>
      <c r="V55" s="48">
        <f t="shared" si="33"/>
        <v>44.1578758809164</v>
      </c>
      <c r="W55" s="59">
        <f t="shared" si="7"/>
        <v>0.711915868325574</v>
      </c>
      <c r="X55" s="48">
        <f t="shared" si="8"/>
        <v>12.5</v>
      </c>
      <c r="Y55" s="48">
        <f t="shared" si="9"/>
        <v>41.0153153098809</v>
      </c>
      <c r="Z55" s="48">
        <f t="shared" si="18"/>
        <v>0</v>
      </c>
      <c r="AA55" s="48">
        <f t="shared" si="19"/>
        <v>581.144497036165</v>
      </c>
      <c r="AB55" s="69">
        <f t="shared" si="20"/>
        <v>13103.633102001</v>
      </c>
      <c r="AC55" s="70">
        <f t="shared" si="21"/>
        <v>13684.7775990371</v>
      </c>
      <c r="AD55" s="70">
        <f t="shared" si="22"/>
        <v>1709.02640355285</v>
      </c>
      <c r="AE55" s="70">
        <f t="shared" si="10"/>
        <v>1.35639324466457</v>
      </c>
      <c r="AF55" s="70">
        <f t="shared" si="11"/>
        <v>72.0267877078915</v>
      </c>
      <c r="AG55" s="70">
        <f t="shared" si="12"/>
        <v>60489.0581800956</v>
      </c>
      <c r="AH55" s="70">
        <f t="shared" si="13"/>
        <v>920.391537866422</v>
      </c>
      <c r="AI55" s="70">
        <f t="shared" si="23"/>
        <v>0.123352483370323</v>
      </c>
      <c r="AJ55" s="48">
        <f t="shared" si="24"/>
        <v>1</v>
      </c>
      <c r="AK55" s="69">
        <f t="shared" si="34"/>
        <v>1108.76625291144</v>
      </c>
      <c r="AL55" s="70">
        <f t="shared" si="25"/>
        <v>0</v>
      </c>
      <c r="AM55" s="70">
        <f t="shared" si="14"/>
        <v>0</v>
      </c>
      <c r="AN55" s="70">
        <f t="shared" si="26"/>
        <v>32.5380824737316</v>
      </c>
      <c r="AO55" s="87">
        <f t="shared" si="27"/>
        <v>16236.0001465488</v>
      </c>
      <c r="AP55" s="87">
        <f t="shared" si="28"/>
        <v>390.59335276504</v>
      </c>
      <c r="AQ55" s="70">
        <f t="shared" si="15"/>
        <v>0.155103965252094</v>
      </c>
      <c r="AR55" s="48">
        <f t="shared" si="16"/>
        <v>1</v>
      </c>
      <c r="AS55" s="48">
        <f t="shared" si="35"/>
        <v>445.276422152144</v>
      </c>
      <c r="AT55" s="9"/>
      <c r="AU55" s="11"/>
      <c r="AV55" s="11"/>
      <c r="AW55" s="2"/>
      <c r="AX55" s="2"/>
      <c r="AY55" s="2"/>
      <c r="AZ55" s="2"/>
      <c r="BA55" s="2"/>
      <c r="BB55" s="2"/>
      <c r="BC55" s="2"/>
    </row>
    <row r="56" s="1" customFormat="1" ht="15.5" spans="1:55">
      <c r="A56" s="37"/>
      <c r="B56" s="26" t="s">
        <v>172</v>
      </c>
      <c r="C56" s="27">
        <v>310</v>
      </c>
      <c r="D56" s="28">
        <v>28.5421776085365</v>
      </c>
      <c r="E56" s="27">
        <v>140</v>
      </c>
      <c r="F56" s="27">
        <v>4</v>
      </c>
      <c r="G56" s="27">
        <v>420</v>
      </c>
      <c r="H56" s="27">
        <v>4</v>
      </c>
      <c r="I56" s="28">
        <v>4.91106681540706</v>
      </c>
      <c r="J56" s="27">
        <v>100</v>
      </c>
      <c r="K56" s="27">
        <v>210</v>
      </c>
      <c r="L56" s="51">
        <v>928</v>
      </c>
      <c r="M56" s="51">
        <f t="shared" si="32"/>
        <v>1056.44242872327</v>
      </c>
      <c r="N56" s="48">
        <f t="shared" si="0"/>
        <v>1.13840778957249</v>
      </c>
      <c r="O56" s="49"/>
      <c r="P56" s="48">
        <f t="shared" si="1"/>
        <v>1</v>
      </c>
      <c r="Q56" s="27">
        <f t="shared" si="2"/>
        <v>132</v>
      </c>
      <c r="R56" s="27">
        <f t="shared" si="3"/>
        <v>0</v>
      </c>
      <c r="S56" s="28">
        <f t="shared" si="4"/>
        <v>0.0857142857142858</v>
      </c>
      <c r="T56" s="58">
        <f t="shared" si="5"/>
        <v>66</v>
      </c>
      <c r="U56" s="48">
        <f t="shared" si="6"/>
        <v>44.1578758809164</v>
      </c>
      <c r="V56" s="48">
        <f t="shared" si="33"/>
        <v>44.1578758809164</v>
      </c>
      <c r="W56" s="59">
        <f t="shared" si="7"/>
        <v>0.711915868325574</v>
      </c>
      <c r="X56" s="48">
        <f t="shared" si="8"/>
        <v>25</v>
      </c>
      <c r="Y56" s="48">
        <f t="shared" si="9"/>
        <v>41.0153153098809</v>
      </c>
      <c r="Z56" s="48">
        <f t="shared" si="18"/>
        <v>0</v>
      </c>
      <c r="AA56" s="48">
        <f t="shared" si="19"/>
        <v>1079.20251969318</v>
      </c>
      <c r="AB56" s="69">
        <f t="shared" si="20"/>
        <v>12605.575079344</v>
      </c>
      <c r="AC56" s="70">
        <f t="shared" si="21"/>
        <v>13684.7775990371</v>
      </c>
      <c r="AD56" s="70">
        <f t="shared" si="22"/>
        <v>1709.02640355285</v>
      </c>
      <c r="AE56" s="70">
        <f t="shared" si="10"/>
        <v>1.35639324466457</v>
      </c>
      <c r="AF56" s="70">
        <f t="shared" si="11"/>
        <v>72.0267877078915</v>
      </c>
      <c r="AG56" s="70">
        <f t="shared" si="12"/>
        <v>60489.0581800956</v>
      </c>
      <c r="AH56" s="70">
        <f t="shared" si="13"/>
        <v>920.391537866422</v>
      </c>
      <c r="AI56" s="70">
        <f t="shared" si="23"/>
        <v>0.123352483370323</v>
      </c>
      <c r="AJ56" s="48">
        <f t="shared" si="24"/>
        <v>1</v>
      </c>
      <c r="AK56" s="69">
        <f t="shared" si="34"/>
        <v>1108.76625291144</v>
      </c>
      <c r="AL56" s="70">
        <f t="shared" si="25"/>
        <v>0</v>
      </c>
      <c r="AM56" s="70">
        <f t="shared" si="14"/>
        <v>0</v>
      </c>
      <c r="AN56" s="70">
        <f t="shared" si="26"/>
        <v>32.5380824737316</v>
      </c>
      <c r="AO56" s="87">
        <f t="shared" si="27"/>
        <v>16236.0001465488</v>
      </c>
      <c r="AP56" s="87">
        <f t="shared" si="28"/>
        <v>390.59335276504</v>
      </c>
      <c r="AQ56" s="70">
        <f t="shared" si="15"/>
        <v>0.155103965252094</v>
      </c>
      <c r="AR56" s="48">
        <f t="shared" si="16"/>
        <v>1</v>
      </c>
      <c r="AS56" s="48">
        <f t="shared" si="35"/>
        <v>445.276422152144</v>
      </c>
      <c r="AT56" s="9"/>
      <c r="AU56" s="11"/>
      <c r="AV56" s="11"/>
      <c r="AW56" s="2"/>
      <c r="AX56" s="2"/>
      <c r="AY56" s="2"/>
      <c r="AZ56" s="2"/>
      <c r="BA56" s="2"/>
      <c r="BB56" s="2"/>
      <c r="BC56" s="2"/>
    </row>
    <row r="57" s="1" customFormat="1" ht="15.5" spans="1:55">
      <c r="A57" s="37"/>
      <c r="B57" s="26" t="s">
        <v>173</v>
      </c>
      <c r="C57" s="27">
        <v>310</v>
      </c>
      <c r="D57" s="28">
        <v>28.5421776085365</v>
      </c>
      <c r="E57" s="27">
        <v>140</v>
      </c>
      <c r="F57" s="27">
        <v>4</v>
      </c>
      <c r="G57" s="27">
        <v>420</v>
      </c>
      <c r="H57" s="27">
        <v>4</v>
      </c>
      <c r="I57" s="28">
        <v>4.91106681540706</v>
      </c>
      <c r="J57" s="27">
        <v>140</v>
      </c>
      <c r="K57" s="27">
        <v>210</v>
      </c>
      <c r="L57" s="51">
        <v>887</v>
      </c>
      <c r="M57" s="51">
        <f t="shared" ref="M57:M88" si="36">(AK57*AB57/AC57+AS57*AA57/AC57)*P57</f>
        <v>1040.02464752738</v>
      </c>
      <c r="N57" s="48">
        <f t="shared" si="0"/>
        <v>1.17251933204891</v>
      </c>
      <c r="O57" s="49"/>
      <c r="P57" s="48">
        <f t="shared" si="1"/>
        <v>1</v>
      </c>
      <c r="Q57" s="27">
        <f t="shared" si="2"/>
        <v>132</v>
      </c>
      <c r="R57" s="27">
        <f t="shared" si="3"/>
        <v>0</v>
      </c>
      <c r="S57" s="28">
        <f t="shared" si="4"/>
        <v>0.0857142857142858</v>
      </c>
      <c r="T57" s="58">
        <f t="shared" si="5"/>
        <v>66</v>
      </c>
      <c r="U57" s="48">
        <f t="shared" si="6"/>
        <v>44.1578758809164</v>
      </c>
      <c r="V57" s="48">
        <f t="shared" si="33"/>
        <v>44.1578758809164</v>
      </c>
      <c r="W57" s="59">
        <f t="shared" si="7"/>
        <v>0.711915868325574</v>
      </c>
      <c r="X57" s="48">
        <f t="shared" si="8"/>
        <v>35</v>
      </c>
      <c r="Y57" s="48">
        <f t="shared" si="9"/>
        <v>41.0153153098809</v>
      </c>
      <c r="Z57" s="48">
        <f t="shared" si="18"/>
        <v>0</v>
      </c>
      <c r="AA57" s="48">
        <f t="shared" si="19"/>
        <v>1417.8266762658</v>
      </c>
      <c r="AB57" s="69">
        <f t="shared" si="20"/>
        <v>12266.9509227713</v>
      </c>
      <c r="AC57" s="70">
        <f t="shared" si="21"/>
        <v>13684.7775990371</v>
      </c>
      <c r="AD57" s="70">
        <f t="shared" si="22"/>
        <v>1709.02640355285</v>
      </c>
      <c r="AE57" s="70">
        <f t="shared" si="10"/>
        <v>1.35639324466457</v>
      </c>
      <c r="AF57" s="70">
        <f t="shared" si="11"/>
        <v>72.0267877078915</v>
      </c>
      <c r="AG57" s="70">
        <f t="shared" si="12"/>
        <v>60489.0581800956</v>
      </c>
      <c r="AH57" s="70">
        <f t="shared" si="13"/>
        <v>920.391537866422</v>
      </c>
      <c r="AI57" s="70">
        <f t="shared" si="23"/>
        <v>0.123352483370323</v>
      </c>
      <c r="AJ57" s="48">
        <f t="shared" si="24"/>
        <v>1</v>
      </c>
      <c r="AK57" s="69">
        <f t="shared" si="34"/>
        <v>1108.76625291144</v>
      </c>
      <c r="AL57" s="70">
        <f t="shared" si="25"/>
        <v>0</v>
      </c>
      <c r="AM57" s="70">
        <f t="shared" si="14"/>
        <v>0</v>
      </c>
      <c r="AN57" s="70">
        <f t="shared" si="26"/>
        <v>32.5380824737316</v>
      </c>
      <c r="AO57" s="87">
        <f t="shared" si="27"/>
        <v>16236.0001465488</v>
      </c>
      <c r="AP57" s="87">
        <f t="shared" si="28"/>
        <v>390.59335276504</v>
      </c>
      <c r="AQ57" s="70">
        <f t="shared" si="15"/>
        <v>0.155103965252094</v>
      </c>
      <c r="AR57" s="48">
        <f t="shared" si="16"/>
        <v>1</v>
      </c>
      <c r="AS57" s="48">
        <f t="shared" si="35"/>
        <v>445.276422152144</v>
      </c>
      <c r="AT57" s="9"/>
      <c r="AU57" s="11"/>
      <c r="AV57" s="11"/>
      <c r="AW57" s="2"/>
      <c r="AX57" s="2"/>
      <c r="AY57" s="2"/>
      <c r="AZ57" s="2"/>
      <c r="BA57" s="2"/>
      <c r="BB57" s="2"/>
      <c r="BC57" s="2"/>
    </row>
    <row r="58" s="1" customFormat="1" ht="15.5" spans="1:55">
      <c r="A58" s="37"/>
      <c r="B58" s="26" t="s">
        <v>174</v>
      </c>
      <c r="C58" s="27">
        <v>310</v>
      </c>
      <c r="D58" s="28">
        <v>28.5421776085365</v>
      </c>
      <c r="E58" s="27">
        <v>140</v>
      </c>
      <c r="F58" s="27">
        <v>4</v>
      </c>
      <c r="G58" s="27">
        <v>420</v>
      </c>
      <c r="H58" s="27">
        <v>4</v>
      </c>
      <c r="I58" s="28">
        <v>4.91106681540706</v>
      </c>
      <c r="J58" s="27">
        <v>280</v>
      </c>
      <c r="K58" s="27">
        <v>210</v>
      </c>
      <c r="L58" s="51">
        <v>876</v>
      </c>
      <c r="M58" s="51">
        <f t="shared" si="36"/>
        <v>993.232701477581</v>
      </c>
      <c r="N58" s="48">
        <f t="shared" si="0"/>
        <v>1.13382728479176</v>
      </c>
      <c r="O58" s="49"/>
      <c r="P58" s="48">
        <f t="shared" si="1"/>
        <v>1</v>
      </c>
      <c r="Q58" s="27">
        <f t="shared" si="2"/>
        <v>132</v>
      </c>
      <c r="R58" s="27">
        <f t="shared" si="3"/>
        <v>0</v>
      </c>
      <c r="S58" s="28">
        <f t="shared" si="4"/>
        <v>0.0857142857142858</v>
      </c>
      <c r="T58" s="58">
        <f t="shared" si="5"/>
        <v>66</v>
      </c>
      <c r="U58" s="48">
        <f t="shared" si="6"/>
        <v>44.1578758809164</v>
      </c>
      <c r="V58" s="48">
        <f t="shared" si="33"/>
        <v>44.1578758809164</v>
      </c>
      <c r="W58" s="59">
        <f t="shared" si="7"/>
        <v>0.711915868325574</v>
      </c>
      <c r="X58" s="48">
        <f t="shared" si="8"/>
        <v>70</v>
      </c>
      <c r="Y58" s="48">
        <f t="shared" si="9"/>
        <v>41.0153153098809</v>
      </c>
      <c r="Z58" s="48">
        <f t="shared" si="18"/>
        <v>2.52330719319522</v>
      </c>
      <c r="AA58" s="48">
        <f t="shared" si="19"/>
        <v>2382.93170942798</v>
      </c>
      <c r="AB58" s="69">
        <f t="shared" si="20"/>
        <v>11301.8458896092</v>
      </c>
      <c r="AC58" s="70">
        <f t="shared" si="21"/>
        <v>13684.7775990371</v>
      </c>
      <c r="AD58" s="70">
        <f t="shared" si="22"/>
        <v>1709.02640355285</v>
      </c>
      <c r="AE58" s="70">
        <f t="shared" si="10"/>
        <v>1.35639324466457</v>
      </c>
      <c r="AF58" s="70">
        <f t="shared" si="11"/>
        <v>72.0267877078915</v>
      </c>
      <c r="AG58" s="70">
        <f t="shared" si="12"/>
        <v>60489.0581800956</v>
      </c>
      <c r="AH58" s="70">
        <f t="shared" si="13"/>
        <v>920.391537866422</v>
      </c>
      <c r="AI58" s="70">
        <f t="shared" si="23"/>
        <v>0.123352483370323</v>
      </c>
      <c r="AJ58" s="48">
        <f t="shared" si="24"/>
        <v>1</v>
      </c>
      <c r="AK58" s="69">
        <f t="shared" si="34"/>
        <v>1108.76625291144</v>
      </c>
      <c r="AL58" s="70">
        <f t="shared" si="25"/>
        <v>0</v>
      </c>
      <c r="AM58" s="70">
        <f t="shared" si="14"/>
        <v>0</v>
      </c>
      <c r="AN58" s="70">
        <f t="shared" si="26"/>
        <v>32.5380824737316</v>
      </c>
      <c r="AO58" s="87">
        <f t="shared" si="27"/>
        <v>16236.0001465488</v>
      </c>
      <c r="AP58" s="87">
        <f t="shared" si="28"/>
        <v>390.59335276504</v>
      </c>
      <c r="AQ58" s="70">
        <f t="shared" si="15"/>
        <v>0.155103965252094</v>
      </c>
      <c r="AR58" s="48">
        <f t="shared" si="16"/>
        <v>1</v>
      </c>
      <c r="AS58" s="48">
        <f t="shared" si="35"/>
        <v>445.276422152144</v>
      </c>
      <c r="AT58" s="9"/>
      <c r="AU58" s="11"/>
      <c r="AV58" s="11"/>
      <c r="AW58" s="2"/>
      <c r="AX58" s="2"/>
      <c r="AY58" s="2"/>
      <c r="AZ58" s="2"/>
      <c r="BA58" s="2"/>
      <c r="BB58" s="2"/>
      <c r="BC58" s="2"/>
    </row>
    <row r="59" s="1" customFormat="1" ht="15.5" spans="1:55">
      <c r="A59" s="37"/>
      <c r="B59" s="26" t="s">
        <v>175</v>
      </c>
      <c r="C59" s="27">
        <v>310</v>
      </c>
      <c r="D59" s="28">
        <v>28.5421776085365</v>
      </c>
      <c r="E59" s="27">
        <v>140</v>
      </c>
      <c r="F59" s="27">
        <v>4</v>
      </c>
      <c r="G59" s="27">
        <v>420</v>
      </c>
      <c r="H59" s="27">
        <v>4</v>
      </c>
      <c r="I59" s="28">
        <v>8.18511135901175</v>
      </c>
      <c r="J59" s="27">
        <v>140</v>
      </c>
      <c r="K59" s="27">
        <v>210</v>
      </c>
      <c r="L59" s="51">
        <v>871</v>
      </c>
      <c r="M59" s="51">
        <f t="shared" si="36"/>
        <v>1035.32172026986</v>
      </c>
      <c r="N59" s="48">
        <f t="shared" si="0"/>
        <v>1.18865869146941</v>
      </c>
      <c r="O59" s="49"/>
      <c r="P59" s="48">
        <f t="shared" si="1"/>
        <v>1</v>
      </c>
      <c r="Q59" s="27">
        <f t="shared" si="2"/>
        <v>132</v>
      </c>
      <c r="R59" s="27">
        <f t="shared" si="3"/>
        <v>0</v>
      </c>
      <c r="S59" s="28">
        <f t="shared" si="4"/>
        <v>0.142857142857143</v>
      </c>
      <c r="T59" s="58">
        <f t="shared" si="5"/>
        <v>66</v>
      </c>
      <c r="U59" s="48">
        <f t="shared" si="6"/>
        <v>44.1578758809164</v>
      </c>
      <c r="V59" s="48">
        <f t="shared" si="33"/>
        <v>44.1578758809164</v>
      </c>
      <c r="W59" s="59">
        <f t="shared" si="7"/>
        <v>0.740487296897002</v>
      </c>
      <c r="X59" s="48">
        <f t="shared" si="8"/>
        <v>35</v>
      </c>
      <c r="Y59" s="48">
        <f t="shared" si="9"/>
        <v>41.6413835422913</v>
      </c>
      <c r="Z59" s="48">
        <f t="shared" si="18"/>
        <v>0</v>
      </c>
      <c r="AA59" s="48">
        <f t="shared" si="19"/>
        <v>1514.8266762658</v>
      </c>
      <c r="AB59" s="69">
        <f t="shared" si="20"/>
        <v>12169.9509227713</v>
      </c>
      <c r="AC59" s="70">
        <f t="shared" si="21"/>
        <v>13684.7775990371</v>
      </c>
      <c r="AD59" s="70">
        <f t="shared" si="22"/>
        <v>1709.02640355285</v>
      </c>
      <c r="AE59" s="70">
        <f t="shared" si="10"/>
        <v>1.35639324466457</v>
      </c>
      <c r="AF59" s="70">
        <f t="shared" si="11"/>
        <v>72.0267877078915</v>
      </c>
      <c r="AG59" s="70">
        <f t="shared" si="12"/>
        <v>60489.0581800956</v>
      </c>
      <c r="AH59" s="70">
        <f t="shared" si="13"/>
        <v>920.391537866422</v>
      </c>
      <c r="AI59" s="70">
        <f t="shared" si="23"/>
        <v>0.123352483370323</v>
      </c>
      <c r="AJ59" s="48">
        <f t="shared" si="24"/>
        <v>1</v>
      </c>
      <c r="AK59" s="69">
        <f t="shared" si="34"/>
        <v>1108.76625291144</v>
      </c>
      <c r="AL59" s="70">
        <f t="shared" si="25"/>
        <v>0</v>
      </c>
      <c r="AM59" s="70">
        <f t="shared" si="14"/>
        <v>0</v>
      </c>
      <c r="AN59" s="70">
        <f t="shared" si="26"/>
        <v>32.5380824737316</v>
      </c>
      <c r="AO59" s="87">
        <f t="shared" si="27"/>
        <v>16236.0001465488</v>
      </c>
      <c r="AP59" s="87">
        <f t="shared" si="28"/>
        <v>390.59335276504</v>
      </c>
      <c r="AQ59" s="70">
        <f t="shared" si="15"/>
        <v>0.155103965252094</v>
      </c>
      <c r="AR59" s="48">
        <f t="shared" si="16"/>
        <v>1</v>
      </c>
      <c r="AS59" s="48">
        <f t="shared" si="35"/>
        <v>445.276422152144</v>
      </c>
      <c r="AT59" s="9"/>
      <c r="AU59" s="11"/>
      <c r="AV59" s="11"/>
      <c r="AW59" s="2"/>
      <c r="AX59" s="2"/>
      <c r="AY59" s="2"/>
      <c r="AZ59" s="2"/>
      <c r="BA59" s="2"/>
      <c r="BB59" s="2"/>
      <c r="BC59" s="2"/>
    </row>
    <row r="60" s="1" customFormat="1" ht="15.5" spans="1:55">
      <c r="A60" s="37"/>
      <c r="B60" s="26" t="s">
        <v>176</v>
      </c>
      <c r="C60" s="27">
        <v>310</v>
      </c>
      <c r="D60" s="28">
        <v>28.5421776085365</v>
      </c>
      <c r="E60" s="27">
        <v>140</v>
      </c>
      <c r="F60" s="27">
        <v>4</v>
      </c>
      <c r="G60" s="27">
        <v>420</v>
      </c>
      <c r="H60" s="27">
        <v>4</v>
      </c>
      <c r="I60" s="28">
        <v>11.4591559026165</v>
      </c>
      <c r="J60" s="27">
        <v>140</v>
      </c>
      <c r="K60" s="27">
        <v>210</v>
      </c>
      <c r="L60" s="51">
        <v>870</v>
      </c>
      <c r="M60" s="51">
        <f t="shared" si="36"/>
        <v>1030.61879301233</v>
      </c>
      <c r="N60" s="48">
        <f t="shared" si="0"/>
        <v>1.18461930231303</v>
      </c>
      <c r="O60" s="49"/>
      <c r="P60" s="48">
        <f t="shared" si="1"/>
        <v>1</v>
      </c>
      <c r="Q60" s="27">
        <f t="shared" si="2"/>
        <v>132</v>
      </c>
      <c r="R60" s="27">
        <f t="shared" si="3"/>
        <v>0</v>
      </c>
      <c r="S60" s="28">
        <f t="shared" si="4"/>
        <v>0.200000000000001</v>
      </c>
      <c r="T60" s="58">
        <f t="shared" si="5"/>
        <v>66</v>
      </c>
      <c r="U60" s="48">
        <f t="shared" si="6"/>
        <v>44.1578758809164</v>
      </c>
      <c r="V60" s="48">
        <f t="shared" si="33"/>
        <v>44.1578758809164</v>
      </c>
      <c r="W60" s="59">
        <f t="shared" si="7"/>
        <v>0.769058725468431</v>
      </c>
      <c r="X60" s="48">
        <f t="shared" si="8"/>
        <v>35</v>
      </c>
      <c r="Y60" s="48">
        <f t="shared" si="9"/>
        <v>42.2873350069091</v>
      </c>
      <c r="Z60" s="48">
        <f t="shared" si="18"/>
        <v>0</v>
      </c>
      <c r="AA60" s="48">
        <f t="shared" si="19"/>
        <v>1611.8266762658</v>
      </c>
      <c r="AB60" s="69">
        <f t="shared" si="20"/>
        <v>12072.9509227713</v>
      </c>
      <c r="AC60" s="70">
        <f t="shared" si="21"/>
        <v>13684.7775990371</v>
      </c>
      <c r="AD60" s="70">
        <f t="shared" si="22"/>
        <v>1709.02640355285</v>
      </c>
      <c r="AE60" s="70">
        <f t="shared" si="10"/>
        <v>1.35639324466457</v>
      </c>
      <c r="AF60" s="70">
        <f t="shared" si="11"/>
        <v>72.0267877078915</v>
      </c>
      <c r="AG60" s="70">
        <f t="shared" si="12"/>
        <v>60489.0581800956</v>
      </c>
      <c r="AH60" s="70">
        <f t="shared" si="13"/>
        <v>920.391537866422</v>
      </c>
      <c r="AI60" s="70">
        <f t="shared" si="23"/>
        <v>0.123352483370323</v>
      </c>
      <c r="AJ60" s="48">
        <f t="shared" si="24"/>
        <v>1</v>
      </c>
      <c r="AK60" s="69">
        <f t="shared" si="34"/>
        <v>1108.76625291144</v>
      </c>
      <c r="AL60" s="70">
        <f t="shared" si="25"/>
        <v>0</v>
      </c>
      <c r="AM60" s="70">
        <f t="shared" si="14"/>
        <v>0</v>
      </c>
      <c r="AN60" s="70">
        <f t="shared" si="26"/>
        <v>32.5380824737316</v>
      </c>
      <c r="AO60" s="87">
        <f t="shared" si="27"/>
        <v>16236.0001465488</v>
      </c>
      <c r="AP60" s="87">
        <f t="shared" si="28"/>
        <v>390.59335276504</v>
      </c>
      <c r="AQ60" s="70">
        <f t="shared" si="15"/>
        <v>0.155103965252094</v>
      </c>
      <c r="AR60" s="48">
        <f t="shared" si="16"/>
        <v>1</v>
      </c>
      <c r="AS60" s="48">
        <f t="shared" si="35"/>
        <v>445.276422152144</v>
      </c>
      <c r="AT60" s="9"/>
      <c r="AU60" s="11"/>
      <c r="AV60" s="11"/>
      <c r="AW60" s="2"/>
      <c r="AX60" s="2"/>
      <c r="AY60" s="2"/>
      <c r="AZ60" s="2"/>
      <c r="BA60" s="2"/>
      <c r="BB60" s="2"/>
      <c r="BC60" s="2"/>
    </row>
    <row r="61" ht="16.5" spans="1:48">
      <c r="A61" s="37"/>
      <c r="B61" s="35" t="s">
        <v>177</v>
      </c>
      <c r="C61" s="27">
        <v>310</v>
      </c>
      <c r="D61" s="28">
        <v>28.5421776085365</v>
      </c>
      <c r="E61" s="27">
        <v>140</v>
      </c>
      <c r="F61" s="27">
        <v>4</v>
      </c>
      <c r="G61" s="27">
        <v>420</v>
      </c>
      <c r="H61" s="27">
        <v>4</v>
      </c>
      <c r="I61" s="28">
        <v>61.3501261152771</v>
      </c>
      <c r="J61" s="28">
        <v>74.953318805774</v>
      </c>
      <c r="K61" s="27">
        <v>210</v>
      </c>
      <c r="L61" s="51">
        <v>1020</v>
      </c>
      <c r="M61" s="51">
        <f t="shared" si="36"/>
        <v>1017.35519663597</v>
      </c>
      <c r="N61" s="48">
        <f t="shared" si="0"/>
        <v>0.997407055525456</v>
      </c>
      <c r="O61" s="49"/>
      <c r="P61" s="48">
        <f t="shared" si="1"/>
        <v>1</v>
      </c>
      <c r="Q61" s="27">
        <f t="shared" si="2"/>
        <v>132</v>
      </c>
      <c r="R61" s="27">
        <f t="shared" si="3"/>
        <v>0</v>
      </c>
      <c r="S61" s="28">
        <f t="shared" si="4"/>
        <v>1.07076169722534</v>
      </c>
      <c r="T61" s="58">
        <f t="shared" si="5"/>
        <v>66</v>
      </c>
      <c r="U61" s="48">
        <f t="shared" si="6"/>
        <v>44.1578758809164</v>
      </c>
      <c r="V61" s="48">
        <f t="shared" si="33"/>
        <v>44.1578758809164</v>
      </c>
      <c r="W61" s="59">
        <f t="shared" si="7"/>
        <v>1.2044395740811</v>
      </c>
      <c r="X61" s="48">
        <f t="shared" si="8"/>
        <v>18.7383297014435</v>
      </c>
      <c r="Y61" s="48">
        <f t="shared" si="9"/>
        <v>54.1788607633705</v>
      </c>
      <c r="Z61" s="48">
        <f t="shared" si="18"/>
        <v>0</v>
      </c>
      <c r="AA61" s="48">
        <f t="shared" si="19"/>
        <v>1885.39434551906</v>
      </c>
      <c r="AB61" s="69">
        <f t="shared" si="20"/>
        <v>11799.3832535181</v>
      </c>
      <c r="AC61" s="70">
        <f t="shared" si="21"/>
        <v>13684.7775990371</v>
      </c>
      <c r="AD61" s="70">
        <f t="shared" si="22"/>
        <v>1709.02640355285</v>
      </c>
      <c r="AE61" s="70">
        <f t="shared" si="10"/>
        <v>1.35639324466457</v>
      </c>
      <c r="AF61" s="70">
        <f t="shared" si="11"/>
        <v>72.0267877078915</v>
      </c>
      <c r="AG61" s="70">
        <f t="shared" si="12"/>
        <v>60489.0581800956</v>
      </c>
      <c r="AH61" s="70">
        <f t="shared" si="13"/>
        <v>920.391537866422</v>
      </c>
      <c r="AI61" s="70">
        <f t="shared" si="23"/>
        <v>0.123352483370323</v>
      </c>
      <c r="AJ61" s="48">
        <f t="shared" si="24"/>
        <v>1</v>
      </c>
      <c r="AK61" s="69">
        <f t="shared" si="34"/>
        <v>1108.76625291144</v>
      </c>
      <c r="AL61" s="70">
        <f t="shared" si="25"/>
        <v>0</v>
      </c>
      <c r="AM61" s="70">
        <f t="shared" si="14"/>
        <v>0</v>
      </c>
      <c r="AN61" s="70">
        <f t="shared" si="26"/>
        <v>32.5380824737316</v>
      </c>
      <c r="AO61" s="87">
        <f t="shared" si="27"/>
        <v>16236.0001465488</v>
      </c>
      <c r="AP61" s="87">
        <f t="shared" si="28"/>
        <v>390.59335276504</v>
      </c>
      <c r="AQ61" s="70">
        <f t="shared" si="15"/>
        <v>0.155103965252094</v>
      </c>
      <c r="AR61" s="48">
        <f t="shared" si="16"/>
        <v>1</v>
      </c>
      <c r="AS61" s="48">
        <f t="shared" si="35"/>
        <v>445.276422152144</v>
      </c>
      <c r="AV61" s="11"/>
    </row>
    <row r="62" s="1" customFormat="1" ht="16.5" spans="1:55">
      <c r="A62" s="37"/>
      <c r="B62" s="35" t="s">
        <v>178</v>
      </c>
      <c r="C62" s="27">
        <v>310</v>
      </c>
      <c r="D62" s="28">
        <v>28.5421776085365</v>
      </c>
      <c r="E62" s="27">
        <v>140</v>
      </c>
      <c r="F62" s="27">
        <v>4</v>
      </c>
      <c r="G62" s="27">
        <v>420</v>
      </c>
      <c r="H62" s="27">
        <v>4</v>
      </c>
      <c r="I62" s="28">
        <v>85.0798918768465</v>
      </c>
      <c r="J62" s="28">
        <v>103.944696834422</v>
      </c>
      <c r="K62" s="27">
        <v>210</v>
      </c>
      <c r="L62" s="51">
        <v>914</v>
      </c>
      <c r="M62" s="51">
        <f t="shared" si="36"/>
        <v>961.264148131156</v>
      </c>
      <c r="N62" s="48">
        <f t="shared" si="0"/>
        <v>1.05171132180652</v>
      </c>
      <c r="O62" s="49"/>
      <c r="P62" s="48">
        <f t="shared" si="1"/>
        <v>1</v>
      </c>
      <c r="Q62" s="27">
        <f t="shared" si="2"/>
        <v>132</v>
      </c>
      <c r="R62" s="27">
        <f t="shared" si="3"/>
        <v>0</v>
      </c>
      <c r="S62" s="28">
        <f t="shared" si="4"/>
        <v>1.48492424049175</v>
      </c>
      <c r="T62" s="58">
        <f t="shared" si="5"/>
        <v>66</v>
      </c>
      <c r="U62" s="48">
        <f t="shared" si="6"/>
        <v>44.1578758809164</v>
      </c>
      <c r="V62" s="48">
        <f t="shared" si="33"/>
        <v>44.1578758809164</v>
      </c>
      <c r="W62" s="59">
        <f t="shared" si="7"/>
        <v>1.41152084571431</v>
      </c>
      <c r="X62" s="48">
        <f t="shared" si="8"/>
        <v>25.9861742086055</v>
      </c>
      <c r="Y62" s="48">
        <f t="shared" si="9"/>
        <v>60.7661042994391</v>
      </c>
      <c r="Z62" s="48">
        <f t="shared" si="18"/>
        <v>0</v>
      </c>
      <c r="AA62" s="48">
        <f t="shared" si="19"/>
        <v>3042.29756920027</v>
      </c>
      <c r="AB62" s="69">
        <f t="shared" si="20"/>
        <v>10642.4800298369</v>
      </c>
      <c r="AC62" s="70">
        <f t="shared" si="21"/>
        <v>13684.7775990371</v>
      </c>
      <c r="AD62" s="70">
        <f t="shared" si="22"/>
        <v>1709.02640355285</v>
      </c>
      <c r="AE62" s="70">
        <f t="shared" si="10"/>
        <v>1.35639324466457</v>
      </c>
      <c r="AF62" s="70">
        <f t="shared" si="11"/>
        <v>72.0267877078915</v>
      </c>
      <c r="AG62" s="70">
        <f t="shared" si="12"/>
        <v>60489.0581800956</v>
      </c>
      <c r="AH62" s="70">
        <f t="shared" si="13"/>
        <v>920.391537866422</v>
      </c>
      <c r="AI62" s="70">
        <f t="shared" si="23"/>
        <v>0.123352483370323</v>
      </c>
      <c r="AJ62" s="48">
        <f t="shared" si="24"/>
        <v>1</v>
      </c>
      <c r="AK62" s="69">
        <f t="shared" si="34"/>
        <v>1108.76625291144</v>
      </c>
      <c r="AL62" s="70">
        <f t="shared" si="25"/>
        <v>0</v>
      </c>
      <c r="AM62" s="70">
        <f t="shared" si="14"/>
        <v>0</v>
      </c>
      <c r="AN62" s="70">
        <f t="shared" si="26"/>
        <v>32.5380824737316</v>
      </c>
      <c r="AO62" s="87">
        <f t="shared" si="27"/>
        <v>16236.0001465488</v>
      </c>
      <c r="AP62" s="87">
        <f t="shared" si="28"/>
        <v>390.59335276504</v>
      </c>
      <c r="AQ62" s="70">
        <f t="shared" si="15"/>
        <v>0.155103965252094</v>
      </c>
      <c r="AR62" s="48">
        <f t="shared" si="16"/>
        <v>1</v>
      </c>
      <c r="AS62" s="48">
        <f t="shared" si="35"/>
        <v>445.276422152144</v>
      </c>
      <c r="AT62" s="9"/>
      <c r="AU62" s="11"/>
      <c r="AV62" s="11"/>
      <c r="AW62" s="2"/>
      <c r="AX62" s="2"/>
      <c r="AY62" s="2"/>
      <c r="AZ62" s="2"/>
      <c r="BA62" s="2"/>
      <c r="BB62" s="2"/>
      <c r="BC62" s="2"/>
    </row>
    <row r="63" s="1" customFormat="1" ht="15.5" spans="1:55">
      <c r="A63" s="37"/>
      <c r="B63" s="26" t="s">
        <v>179</v>
      </c>
      <c r="C63" s="27">
        <v>310</v>
      </c>
      <c r="D63" s="28">
        <v>28.5421776085365</v>
      </c>
      <c r="E63" s="27">
        <v>140</v>
      </c>
      <c r="F63" s="27">
        <v>4</v>
      </c>
      <c r="G63" s="27">
        <v>420</v>
      </c>
      <c r="H63" s="27">
        <v>4</v>
      </c>
      <c r="I63" s="28">
        <v>40.9255567950588</v>
      </c>
      <c r="J63" s="27">
        <v>6.00000000000001</v>
      </c>
      <c r="K63" s="27">
        <v>210</v>
      </c>
      <c r="L63" s="51">
        <v>1118</v>
      </c>
      <c r="M63" s="51">
        <f t="shared" si="36"/>
        <v>1102.18963414761</v>
      </c>
      <c r="N63" s="48">
        <f t="shared" si="0"/>
        <v>0.985858348969244</v>
      </c>
      <c r="O63" s="49"/>
      <c r="P63" s="48">
        <f t="shared" si="1"/>
        <v>1</v>
      </c>
      <c r="Q63" s="27">
        <f t="shared" si="2"/>
        <v>132</v>
      </c>
      <c r="R63" s="27">
        <f t="shared" si="3"/>
        <v>0</v>
      </c>
      <c r="S63" s="28">
        <f t="shared" si="4"/>
        <v>0.714285714285714</v>
      </c>
      <c r="T63" s="58">
        <f t="shared" si="5"/>
        <v>66</v>
      </c>
      <c r="U63" s="48">
        <f t="shared" si="6"/>
        <v>44.1578758809164</v>
      </c>
      <c r="V63" s="48">
        <f t="shared" si="33"/>
        <v>44.1578758809164</v>
      </c>
      <c r="W63" s="59">
        <f t="shared" si="7"/>
        <v>1.02620158261129</v>
      </c>
      <c r="X63" s="48">
        <f t="shared" si="8"/>
        <v>1.5</v>
      </c>
      <c r="Y63" s="48">
        <f t="shared" si="9"/>
        <v>48.9036404130395</v>
      </c>
      <c r="Z63" s="48">
        <f t="shared" si="18"/>
        <v>0</v>
      </c>
      <c r="AA63" s="48">
        <f t="shared" si="19"/>
        <v>135.645734062988</v>
      </c>
      <c r="AB63" s="69">
        <f t="shared" si="20"/>
        <v>13549.1318649742</v>
      </c>
      <c r="AC63" s="70">
        <f t="shared" si="21"/>
        <v>13684.7775990371</v>
      </c>
      <c r="AD63" s="70">
        <f t="shared" si="22"/>
        <v>1709.02640355285</v>
      </c>
      <c r="AE63" s="70">
        <f t="shared" si="10"/>
        <v>1.35639324466457</v>
      </c>
      <c r="AF63" s="70">
        <f t="shared" si="11"/>
        <v>72.0267877078915</v>
      </c>
      <c r="AG63" s="70">
        <f t="shared" si="12"/>
        <v>60489.0581800956</v>
      </c>
      <c r="AH63" s="70">
        <f t="shared" si="13"/>
        <v>920.391537866422</v>
      </c>
      <c r="AI63" s="70">
        <f t="shared" si="23"/>
        <v>0.123352483370323</v>
      </c>
      <c r="AJ63" s="48">
        <f t="shared" si="24"/>
        <v>1</v>
      </c>
      <c r="AK63" s="69">
        <f t="shared" si="34"/>
        <v>1108.76625291144</v>
      </c>
      <c r="AL63" s="70">
        <f t="shared" si="25"/>
        <v>0</v>
      </c>
      <c r="AM63" s="70">
        <f t="shared" si="14"/>
        <v>0</v>
      </c>
      <c r="AN63" s="70">
        <f t="shared" si="26"/>
        <v>32.5380824737316</v>
      </c>
      <c r="AO63" s="90">
        <f t="shared" si="27"/>
        <v>16236.0001465488</v>
      </c>
      <c r="AP63" s="90">
        <f t="shared" si="28"/>
        <v>390.59335276504</v>
      </c>
      <c r="AQ63" s="70">
        <f t="shared" si="15"/>
        <v>0.155103965252094</v>
      </c>
      <c r="AR63" s="48">
        <f t="shared" si="16"/>
        <v>1</v>
      </c>
      <c r="AS63" s="48">
        <f t="shared" si="35"/>
        <v>445.276422152144</v>
      </c>
      <c r="AT63" s="9"/>
      <c r="AU63" s="11"/>
      <c r="AV63" s="11"/>
      <c r="AW63" s="2"/>
      <c r="AX63" s="2"/>
      <c r="AY63" s="2"/>
      <c r="AZ63" s="2"/>
      <c r="BA63" s="2"/>
      <c r="BB63" s="2"/>
      <c r="BC63" s="2"/>
    </row>
    <row r="64" s="1" customFormat="1" ht="15.5" spans="1:55">
      <c r="A64" s="37"/>
      <c r="B64" s="26" t="s">
        <v>180</v>
      </c>
      <c r="C64" s="27">
        <v>310</v>
      </c>
      <c r="D64" s="28">
        <v>28.5421776085365</v>
      </c>
      <c r="E64" s="27">
        <v>140</v>
      </c>
      <c r="F64" s="27">
        <v>4</v>
      </c>
      <c r="G64" s="27">
        <v>420</v>
      </c>
      <c r="H64" s="27">
        <v>4</v>
      </c>
      <c r="I64" s="28">
        <v>81.8511135901176</v>
      </c>
      <c r="J64" s="27">
        <v>6.00000000000001</v>
      </c>
      <c r="K64" s="27">
        <v>210</v>
      </c>
      <c r="L64" s="51">
        <v>1114</v>
      </c>
      <c r="M64" s="51">
        <f t="shared" si="36"/>
        <v>1098.80009802588</v>
      </c>
      <c r="N64" s="48">
        <f t="shared" si="0"/>
        <v>0.986355563757526</v>
      </c>
      <c r="O64" s="49"/>
      <c r="P64" s="48">
        <f t="shared" si="1"/>
        <v>1</v>
      </c>
      <c r="Q64" s="27">
        <f t="shared" si="2"/>
        <v>132</v>
      </c>
      <c r="R64" s="27">
        <f t="shared" si="3"/>
        <v>0</v>
      </c>
      <c r="S64" s="28">
        <f t="shared" si="4"/>
        <v>1.42857142857143</v>
      </c>
      <c r="T64" s="58">
        <f t="shared" si="5"/>
        <v>66</v>
      </c>
      <c r="U64" s="48">
        <f t="shared" si="6"/>
        <v>44.1578758809164</v>
      </c>
      <c r="V64" s="48">
        <f t="shared" si="33"/>
        <v>44.1578758809164</v>
      </c>
      <c r="W64" s="59">
        <f t="shared" si="7"/>
        <v>1.38334443975415</v>
      </c>
      <c r="X64" s="48">
        <f t="shared" si="8"/>
        <v>1.5</v>
      </c>
      <c r="Y64" s="48">
        <f t="shared" si="9"/>
        <v>59.8502511140139</v>
      </c>
      <c r="Z64" s="48">
        <f t="shared" si="18"/>
        <v>0</v>
      </c>
      <c r="AA64" s="48">
        <f t="shared" si="19"/>
        <v>205.556448348702</v>
      </c>
      <c r="AB64" s="69">
        <f t="shared" si="20"/>
        <v>13479.2211506884</v>
      </c>
      <c r="AC64" s="70">
        <f t="shared" si="21"/>
        <v>13684.7775990371</v>
      </c>
      <c r="AD64" s="70">
        <f t="shared" si="22"/>
        <v>1709.02640355285</v>
      </c>
      <c r="AE64" s="70">
        <f t="shared" si="10"/>
        <v>1.35639324466457</v>
      </c>
      <c r="AF64" s="70">
        <f t="shared" si="11"/>
        <v>72.0267877078915</v>
      </c>
      <c r="AG64" s="70">
        <f t="shared" si="12"/>
        <v>60489.0581800956</v>
      </c>
      <c r="AH64" s="70">
        <f t="shared" si="13"/>
        <v>920.391537866422</v>
      </c>
      <c r="AI64" s="70">
        <f t="shared" si="23"/>
        <v>0.123352483370323</v>
      </c>
      <c r="AJ64" s="48">
        <f t="shared" si="24"/>
        <v>1</v>
      </c>
      <c r="AK64" s="69">
        <f t="shared" si="34"/>
        <v>1108.76625291144</v>
      </c>
      <c r="AL64" s="70">
        <f t="shared" si="25"/>
        <v>0</v>
      </c>
      <c r="AM64" s="70">
        <f t="shared" si="14"/>
        <v>0</v>
      </c>
      <c r="AN64" s="70">
        <f t="shared" si="26"/>
        <v>32.5380824737316</v>
      </c>
      <c r="AO64" s="90">
        <f t="shared" si="27"/>
        <v>16236.0001465488</v>
      </c>
      <c r="AP64" s="90">
        <f t="shared" si="28"/>
        <v>390.59335276504</v>
      </c>
      <c r="AQ64" s="70">
        <f t="shared" si="15"/>
        <v>0.155103965252094</v>
      </c>
      <c r="AR64" s="48">
        <f t="shared" si="16"/>
        <v>1</v>
      </c>
      <c r="AS64" s="48">
        <f t="shared" si="35"/>
        <v>445.276422152144</v>
      </c>
      <c r="AT64" s="9"/>
      <c r="AU64" s="11"/>
      <c r="AV64" s="11"/>
      <c r="AW64" s="2"/>
      <c r="AX64" s="2"/>
      <c r="AY64" s="2"/>
      <c r="AZ64" s="2"/>
      <c r="BA64" s="2"/>
      <c r="BB64" s="2"/>
      <c r="BC64" s="2"/>
    </row>
    <row r="65" s="1" customFormat="1" ht="15.5" spans="1:55">
      <c r="A65" s="37"/>
      <c r="B65" s="32" t="s">
        <v>181</v>
      </c>
      <c r="C65" s="33">
        <v>310</v>
      </c>
      <c r="D65" s="34">
        <v>28.5421776085365</v>
      </c>
      <c r="E65" s="33">
        <v>140</v>
      </c>
      <c r="F65" s="33">
        <v>4</v>
      </c>
      <c r="G65" s="33">
        <v>420</v>
      </c>
      <c r="H65" s="33">
        <v>4</v>
      </c>
      <c r="I65" s="34">
        <v>180.072449898259</v>
      </c>
      <c r="J65" s="33">
        <v>6.00000000000001</v>
      </c>
      <c r="K65" s="33">
        <v>210</v>
      </c>
      <c r="L65" s="52">
        <v>1087</v>
      </c>
      <c r="M65" s="52">
        <f t="shared" si="36"/>
        <v>1090.66521133375</v>
      </c>
      <c r="N65" s="54">
        <f t="shared" si="0"/>
        <v>1.00337185955267</v>
      </c>
      <c r="O65" s="49"/>
      <c r="P65" s="54">
        <f t="shared" si="1"/>
        <v>1</v>
      </c>
      <c r="Q65" s="33">
        <f t="shared" si="2"/>
        <v>132</v>
      </c>
      <c r="R65" s="33">
        <f t="shared" si="3"/>
        <v>0</v>
      </c>
      <c r="S65" s="34">
        <f t="shared" si="4"/>
        <v>3.14285714285715</v>
      </c>
      <c r="T65" s="52">
        <f t="shared" si="5"/>
        <v>66</v>
      </c>
      <c r="U65" s="54">
        <f t="shared" si="6"/>
        <v>44.1578758809164</v>
      </c>
      <c r="V65" s="48">
        <f t="shared" si="33"/>
        <v>44.1578758809164</v>
      </c>
      <c r="W65" s="62">
        <f t="shared" si="7"/>
        <v>2.240487296897</v>
      </c>
      <c r="X65" s="54">
        <f t="shared" si="8"/>
        <v>1.5</v>
      </c>
      <c r="Y65" s="54">
        <f t="shared" si="9"/>
        <v>86.4845431909511</v>
      </c>
      <c r="Z65" s="54">
        <f t="shared" si="18"/>
        <v>0</v>
      </c>
      <c r="AA65" s="48">
        <f t="shared" si="19"/>
        <v>373.342162634417</v>
      </c>
      <c r="AB65" s="73">
        <f t="shared" si="20"/>
        <v>13311.4354364027</v>
      </c>
      <c r="AC65" s="74">
        <f t="shared" si="21"/>
        <v>13684.7775990371</v>
      </c>
      <c r="AD65" s="74">
        <f t="shared" si="22"/>
        <v>1709.02640355285</v>
      </c>
      <c r="AE65" s="74">
        <f t="shared" si="10"/>
        <v>1.35639324466457</v>
      </c>
      <c r="AF65" s="74">
        <f t="shared" si="11"/>
        <v>72.0267877078915</v>
      </c>
      <c r="AG65" s="70">
        <f t="shared" si="12"/>
        <v>60489.0581800956</v>
      </c>
      <c r="AH65" s="70">
        <f t="shared" si="13"/>
        <v>920.391537866422</v>
      </c>
      <c r="AI65" s="70">
        <f t="shared" si="23"/>
        <v>0.123352483370323</v>
      </c>
      <c r="AJ65" s="48">
        <f t="shared" si="24"/>
        <v>1</v>
      </c>
      <c r="AK65" s="48">
        <f t="shared" si="34"/>
        <v>1108.76625291144</v>
      </c>
      <c r="AL65" s="70">
        <f t="shared" si="25"/>
        <v>0</v>
      </c>
      <c r="AM65" s="70">
        <f t="shared" si="14"/>
        <v>0</v>
      </c>
      <c r="AN65" s="70">
        <f t="shared" si="26"/>
        <v>32.5380824737316</v>
      </c>
      <c r="AO65" s="90">
        <f t="shared" si="27"/>
        <v>16236.0001465488</v>
      </c>
      <c r="AP65" s="90">
        <f t="shared" si="28"/>
        <v>390.59335276504</v>
      </c>
      <c r="AQ65" s="70">
        <f t="shared" si="15"/>
        <v>0.155103965252094</v>
      </c>
      <c r="AR65" s="48">
        <f t="shared" si="16"/>
        <v>1</v>
      </c>
      <c r="AS65" s="48">
        <f t="shared" si="35"/>
        <v>445.276422152144</v>
      </c>
      <c r="AT65" s="9"/>
      <c r="AU65" s="11"/>
      <c r="AV65" s="11"/>
      <c r="AW65" s="2"/>
      <c r="AX65" s="2"/>
      <c r="AY65" s="2"/>
      <c r="AZ65" s="2"/>
      <c r="BA65" s="2"/>
      <c r="BB65" s="2"/>
      <c r="BC65" s="2"/>
    </row>
    <row r="66" s="1" customFormat="1" ht="15.5" spans="1:55">
      <c r="A66" s="91" t="s">
        <v>182</v>
      </c>
      <c r="B66" s="27" t="s">
        <v>183</v>
      </c>
      <c r="C66" s="27">
        <v>397.2</v>
      </c>
      <c r="D66" s="28">
        <v>51.430742148326</v>
      </c>
      <c r="E66" s="27">
        <v>159</v>
      </c>
      <c r="F66" s="27">
        <v>4.64</v>
      </c>
      <c r="G66" s="27">
        <v>477</v>
      </c>
      <c r="H66" s="27">
        <v>0</v>
      </c>
      <c r="I66" s="27">
        <v>0</v>
      </c>
      <c r="J66" s="27">
        <v>0</v>
      </c>
      <c r="K66" s="27">
        <v>0</v>
      </c>
      <c r="L66" s="51">
        <v>2330.77840565086</v>
      </c>
      <c r="M66" s="51">
        <f t="shared" si="36"/>
        <v>2192.28430701872</v>
      </c>
      <c r="N66" s="53">
        <f t="shared" si="0"/>
        <v>0.940580323596458</v>
      </c>
      <c r="O66" s="49"/>
      <c r="P66" s="110">
        <f t="shared" si="1"/>
        <v>1</v>
      </c>
      <c r="Q66" s="27">
        <f t="shared" si="2"/>
        <v>159</v>
      </c>
      <c r="R66" s="27">
        <f t="shared" si="3"/>
        <v>4.64</v>
      </c>
      <c r="S66" s="57">
        <f t="shared" si="4"/>
        <v>0</v>
      </c>
      <c r="T66" s="58">
        <f t="shared" si="5"/>
        <v>74.86</v>
      </c>
      <c r="U66" s="48">
        <f t="shared" si="6"/>
        <v>50.6840969949346</v>
      </c>
      <c r="V66" s="53">
        <f t="shared" si="33"/>
        <v>50.6840969949346</v>
      </c>
      <c r="W66" s="59">
        <f t="shared" si="7"/>
        <v>0.677051789940351</v>
      </c>
      <c r="X66" s="48">
        <f t="shared" si="8"/>
        <v>0</v>
      </c>
      <c r="Y66" s="48">
        <f t="shared" si="9"/>
        <v>45.6861914701231</v>
      </c>
      <c r="Z66" s="48">
        <f t="shared" si="18"/>
        <v>0</v>
      </c>
      <c r="AA66" s="53">
        <f t="shared" si="19"/>
        <v>0</v>
      </c>
      <c r="AB66" s="69">
        <f t="shared" si="20"/>
        <v>17605.5468059332</v>
      </c>
      <c r="AC66" s="70">
        <f t="shared" si="21"/>
        <v>17605.5468059332</v>
      </c>
      <c r="AD66" s="70">
        <f t="shared" si="22"/>
        <v>2250.10416291768</v>
      </c>
      <c r="AE66" s="70">
        <f t="shared" si="10"/>
        <v>0.987050910507388</v>
      </c>
      <c r="AF66" s="70">
        <f t="shared" si="11"/>
        <v>110.411102131979</v>
      </c>
      <c r="AG66" s="72">
        <f t="shared" si="12"/>
        <v>82298.7895739519</v>
      </c>
      <c r="AH66" s="72">
        <f t="shared" si="13"/>
        <v>1799.20771166714</v>
      </c>
      <c r="AI66" s="72">
        <f t="shared" si="23"/>
        <v>0.147857693803807</v>
      </c>
      <c r="AJ66" s="53">
        <f t="shared" si="24"/>
        <v>1</v>
      </c>
      <c r="AK66" s="53">
        <f t="shared" si="34"/>
        <v>2192.28430701872</v>
      </c>
      <c r="AL66" s="72">
        <f t="shared" si="25"/>
        <v>2250.10416291768</v>
      </c>
      <c r="AM66" s="72">
        <f t="shared" si="14"/>
        <v>0.987050910507388</v>
      </c>
      <c r="AN66" s="72">
        <f t="shared" si="26"/>
        <v>110.411102131979</v>
      </c>
      <c r="AO66" s="130">
        <f t="shared" si="27"/>
        <v>82298.7895739519</v>
      </c>
      <c r="AP66" s="130">
        <f t="shared" si="28"/>
        <v>1799.20771166714</v>
      </c>
      <c r="AQ66" s="72">
        <f t="shared" si="15"/>
        <v>0.147857693803807</v>
      </c>
      <c r="AR66" s="53">
        <f t="shared" si="16"/>
        <v>1</v>
      </c>
      <c r="AS66" s="53">
        <f t="shared" si="35"/>
        <v>2192.28430701872</v>
      </c>
      <c r="AT66" s="9"/>
      <c r="AU66" s="11"/>
      <c r="AV66" s="11"/>
      <c r="AW66" s="2"/>
      <c r="AX66" s="2"/>
      <c r="AY66" s="2"/>
      <c r="AZ66" s="2"/>
      <c r="BA66" s="2"/>
      <c r="BB66" s="2"/>
      <c r="BC66" s="2"/>
    </row>
    <row r="67" s="1" customFormat="1" ht="15.5" spans="1:55">
      <c r="A67" s="91"/>
      <c r="B67" s="27" t="s">
        <v>184</v>
      </c>
      <c r="C67" s="27">
        <v>397.2</v>
      </c>
      <c r="D67" s="28">
        <v>51.430742148326</v>
      </c>
      <c r="E67" s="27">
        <v>159</v>
      </c>
      <c r="F67" s="27">
        <v>4.64</v>
      </c>
      <c r="G67" s="27">
        <v>477</v>
      </c>
      <c r="H67" s="27">
        <v>0</v>
      </c>
      <c r="I67" s="27">
        <v>0</v>
      </c>
      <c r="J67" s="27">
        <v>0</v>
      </c>
      <c r="K67" s="27">
        <v>0</v>
      </c>
      <c r="L67" s="51">
        <v>2247.560595</v>
      </c>
      <c r="M67" s="51">
        <f t="shared" si="36"/>
        <v>2192.28430701872</v>
      </c>
      <c r="N67" s="48">
        <f t="shared" si="0"/>
        <v>0.975406096679108</v>
      </c>
      <c r="O67" s="49"/>
      <c r="P67" s="48">
        <f t="shared" si="1"/>
        <v>1</v>
      </c>
      <c r="Q67" s="27">
        <f t="shared" si="2"/>
        <v>159</v>
      </c>
      <c r="R67" s="27">
        <f t="shared" si="3"/>
        <v>4.64</v>
      </c>
      <c r="S67" s="57">
        <f t="shared" si="4"/>
        <v>0</v>
      </c>
      <c r="T67" s="58">
        <f t="shared" si="5"/>
        <v>74.86</v>
      </c>
      <c r="U67" s="48">
        <f t="shared" si="6"/>
        <v>50.6840969949346</v>
      </c>
      <c r="V67" s="48">
        <f t="shared" si="33"/>
        <v>50.6840969949346</v>
      </c>
      <c r="W67" s="59">
        <f t="shared" si="7"/>
        <v>0.677051789940351</v>
      </c>
      <c r="X67" s="48">
        <f t="shared" si="8"/>
        <v>0</v>
      </c>
      <c r="Y67" s="48">
        <f t="shared" si="9"/>
        <v>45.6861914701231</v>
      </c>
      <c r="Z67" s="48">
        <f t="shared" si="18"/>
        <v>0</v>
      </c>
      <c r="AA67" s="48">
        <f t="shared" si="19"/>
        <v>0</v>
      </c>
      <c r="AB67" s="69">
        <f t="shared" si="20"/>
        <v>17605.5468059332</v>
      </c>
      <c r="AC67" s="70">
        <f t="shared" si="21"/>
        <v>17605.5468059332</v>
      </c>
      <c r="AD67" s="70">
        <f t="shared" si="22"/>
        <v>2250.10416291768</v>
      </c>
      <c r="AE67" s="70">
        <f t="shared" si="10"/>
        <v>0.987050910507388</v>
      </c>
      <c r="AF67" s="70">
        <f t="shared" si="11"/>
        <v>110.411102131979</v>
      </c>
      <c r="AG67" s="70">
        <f t="shared" si="12"/>
        <v>82298.7895739519</v>
      </c>
      <c r="AH67" s="70">
        <f t="shared" si="13"/>
        <v>1799.20771166714</v>
      </c>
      <c r="AI67" s="70">
        <f t="shared" si="23"/>
        <v>0.147857693803807</v>
      </c>
      <c r="AJ67" s="48">
        <f t="shared" si="24"/>
        <v>1</v>
      </c>
      <c r="AK67" s="69">
        <f t="shared" si="34"/>
        <v>2192.28430701872</v>
      </c>
      <c r="AL67" s="70">
        <f t="shared" si="25"/>
        <v>2250.10416291768</v>
      </c>
      <c r="AM67" s="70">
        <f t="shared" si="14"/>
        <v>0.987050910507388</v>
      </c>
      <c r="AN67" s="70">
        <f t="shared" si="26"/>
        <v>110.411102131979</v>
      </c>
      <c r="AO67" s="87">
        <f t="shared" si="27"/>
        <v>82298.7895739519</v>
      </c>
      <c r="AP67" s="87">
        <f t="shared" si="28"/>
        <v>1799.20771166714</v>
      </c>
      <c r="AQ67" s="70">
        <f t="shared" si="15"/>
        <v>0.147857693803807</v>
      </c>
      <c r="AR67" s="48">
        <f t="shared" si="16"/>
        <v>1</v>
      </c>
      <c r="AS67" s="48">
        <f t="shared" si="35"/>
        <v>2192.28430701872</v>
      </c>
      <c r="AT67" s="9"/>
      <c r="AU67" s="11"/>
      <c r="AV67" s="11"/>
      <c r="AW67" s="2"/>
      <c r="AX67" s="2"/>
      <c r="AY67" s="2"/>
      <c r="AZ67" s="2"/>
      <c r="BA67" s="2"/>
      <c r="BB67" s="2"/>
      <c r="BC67" s="2"/>
    </row>
    <row r="68" ht="15.5" spans="1:48">
      <c r="A68" s="91"/>
      <c r="B68" s="27" t="s">
        <v>185</v>
      </c>
      <c r="C68" s="27">
        <v>397.2</v>
      </c>
      <c r="D68" s="28">
        <v>51.430742148326</v>
      </c>
      <c r="E68" s="27">
        <v>159</v>
      </c>
      <c r="F68" s="27">
        <v>4.64</v>
      </c>
      <c r="G68" s="27">
        <v>477</v>
      </c>
      <c r="H68" s="27">
        <v>2.088</v>
      </c>
      <c r="I68" s="27">
        <v>90</v>
      </c>
      <c r="J68" s="27">
        <v>47.7</v>
      </c>
      <c r="K68" s="27">
        <v>23.85</v>
      </c>
      <c r="L68" s="51">
        <v>2295.48584</v>
      </c>
      <c r="M68" s="51">
        <f t="shared" si="36"/>
        <v>2197.86693582949</v>
      </c>
      <c r="N68" s="48">
        <f t="shared" si="0"/>
        <v>0.95747353241329</v>
      </c>
      <c r="O68" s="49"/>
      <c r="P68" s="48">
        <f t="shared" si="1"/>
        <v>1.030375</v>
      </c>
      <c r="Q68" s="27">
        <f t="shared" si="2"/>
        <v>154.824</v>
      </c>
      <c r="R68" s="27">
        <f t="shared" si="3"/>
        <v>2.552</v>
      </c>
      <c r="S68" s="28">
        <f t="shared" si="4"/>
        <v>1.5707963267949</v>
      </c>
      <c r="T68" s="58">
        <f t="shared" si="5"/>
        <v>74.86</v>
      </c>
      <c r="U68" s="48">
        <f t="shared" si="6"/>
        <v>50.6840969949346</v>
      </c>
      <c r="V68" s="48">
        <f t="shared" si="33"/>
        <v>50.6840969949346</v>
      </c>
      <c r="W68" s="59">
        <f t="shared" si="7"/>
        <v>1.4624499533378</v>
      </c>
      <c r="X68" s="48">
        <f t="shared" si="8"/>
        <v>11.925</v>
      </c>
      <c r="Y68" s="48">
        <f t="shared" si="9"/>
        <v>70.8125249423426</v>
      </c>
      <c r="Z68" s="48">
        <f t="shared" si="18"/>
        <v>0</v>
      </c>
      <c r="AA68" s="48">
        <f t="shared" si="19"/>
        <v>1862.88481595913</v>
      </c>
      <c r="AB68" s="69">
        <f t="shared" si="20"/>
        <v>15742.6619899741</v>
      </c>
      <c r="AC68" s="70">
        <f t="shared" si="21"/>
        <v>17605.5468059332</v>
      </c>
      <c r="AD68" s="70">
        <f t="shared" si="22"/>
        <v>2250.10416291768</v>
      </c>
      <c r="AE68" s="70">
        <f t="shared" si="10"/>
        <v>0.987050910507388</v>
      </c>
      <c r="AF68" s="70">
        <f t="shared" si="11"/>
        <v>110.411102131979</v>
      </c>
      <c r="AG68" s="70">
        <f t="shared" si="12"/>
        <v>82298.7895739519</v>
      </c>
      <c r="AH68" s="70">
        <f t="shared" si="13"/>
        <v>1799.20771166714</v>
      </c>
      <c r="AI68" s="70">
        <f t="shared" si="23"/>
        <v>0.147857693803807</v>
      </c>
      <c r="AJ68" s="48">
        <f t="shared" si="24"/>
        <v>1</v>
      </c>
      <c r="AK68" s="69">
        <f t="shared" si="34"/>
        <v>2192.28430701872</v>
      </c>
      <c r="AL68" s="70">
        <f t="shared" si="25"/>
        <v>1220.81707438903</v>
      </c>
      <c r="AM68" s="70">
        <f t="shared" si="14"/>
        <v>0.535534587552668</v>
      </c>
      <c r="AN68" s="70">
        <f t="shared" si="26"/>
        <v>86.7248461587016</v>
      </c>
      <c r="AO68" s="87">
        <f t="shared" si="27"/>
        <v>54811.7016751636</v>
      </c>
      <c r="AP68" s="87">
        <f t="shared" si="28"/>
        <v>1390.37488010356</v>
      </c>
      <c r="AQ68" s="70">
        <f t="shared" si="15"/>
        <v>0.159268288713302</v>
      </c>
      <c r="AR68" s="48">
        <f t="shared" si="16"/>
        <v>1</v>
      </c>
      <c r="AS68" s="48">
        <f t="shared" si="35"/>
        <v>1632.71351124868</v>
      </c>
      <c r="AV68" s="11"/>
    </row>
    <row r="69" s="1" customFormat="1" ht="14.1" customHeight="1" spans="1:55">
      <c r="A69" s="91"/>
      <c r="B69" s="27" t="s">
        <v>186</v>
      </c>
      <c r="C69" s="27">
        <v>397.2</v>
      </c>
      <c r="D69" s="28">
        <v>51.430742148326</v>
      </c>
      <c r="E69" s="27">
        <v>159</v>
      </c>
      <c r="F69" s="27">
        <v>4.64</v>
      </c>
      <c r="G69" s="27">
        <v>477</v>
      </c>
      <c r="H69" s="27">
        <v>2.088</v>
      </c>
      <c r="I69" s="27">
        <v>90</v>
      </c>
      <c r="J69" s="27">
        <v>47.7</v>
      </c>
      <c r="K69" s="27">
        <v>23.85</v>
      </c>
      <c r="L69" s="51">
        <v>2318.07324</v>
      </c>
      <c r="M69" s="51">
        <f t="shared" si="36"/>
        <v>2197.86693582949</v>
      </c>
      <c r="N69" s="48">
        <f t="shared" si="0"/>
        <v>0.948143871342688</v>
      </c>
      <c r="O69" s="49"/>
      <c r="P69" s="48">
        <f t="shared" si="1"/>
        <v>1.030375</v>
      </c>
      <c r="Q69" s="27">
        <f t="shared" si="2"/>
        <v>154.824</v>
      </c>
      <c r="R69" s="27">
        <f t="shared" si="3"/>
        <v>2.552</v>
      </c>
      <c r="S69" s="28">
        <f t="shared" si="4"/>
        <v>1.5707963267949</v>
      </c>
      <c r="T69" s="58">
        <f t="shared" si="5"/>
        <v>74.86</v>
      </c>
      <c r="U69" s="48">
        <f t="shared" si="6"/>
        <v>50.6840969949346</v>
      </c>
      <c r="V69" s="48">
        <f t="shared" si="33"/>
        <v>50.6840969949346</v>
      </c>
      <c r="W69" s="59">
        <f t="shared" si="7"/>
        <v>1.4624499533378</v>
      </c>
      <c r="X69" s="48">
        <f t="shared" si="8"/>
        <v>11.925</v>
      </c>
      <c r="Y69" s="48">
        <f t="shared" si="9"/>
        <v>70.8125249423426</v>
      </c>
      <c r="Z69" s="48">
        <f t="shared" si="18"/>
        <v>0</v>
      </c>
      <c r="AA69" s="48">
        <f t="shared" si="19"/>
        <v>1862.88481595913</v>
      </c>
      <c r="AB69" s="69">
        <f t="shared" si="20"/>
        <v>15742.6619899741</v>
      </c>
      <c r="AC69" s="70">
        <f t="shared" si="21"/>
        <v>17605.5468059332</v>
      </c>
      <c r="AD69" s="70">
        <f t="shared" si="22"/>
        <v>2250.10416291768</v>
      </c>
      <c r="AE69" s="70">
        <f t="shared" si="10"/>
        <v>0.987050910507388</v>
      </c>
      <c r="AF69" s="70">
        <f t="shared" si="11"/>
        <v>110.411102131979</v>
      </c>
      <c r="AG69" s="70">
        <f t="shared" si="12"/>
        <v>82298.7895739519</v>
      </c>
      <c r="AH69" s="70">
        <f t="shared" si="13"/>
        <v>1799.20771166714</v>
      </c>
      <c r="AI69" s="70">
        <f t="shared" si="23"/>
        <v>0.147857693803807</v>
      </c>
      <c r="AJ69" s="48">
        <f t="shared" si="24"/>
        <v>1</v>
      </c>
      <c r="AK69" s="69">
        <f t="shared" si="34"/>
        <v>2192.28430701872</v>
      </c>
      <c r="AL69" s="70">
        <f t="shared" si="25"/>
        <v>1220.81707438903</v>
      </c>
      <c r="AM69" s="70">
        <f t="shared" si="14"/>
        <v>0.535534587552668</v>
      </c>
      <c r="AN69" s="70">
        <f t="shared" si="26"/>
        <v>86.7248461587016</v>
      </c>
      <c r="AO69" s="87">
        <f t="shared" si="27"/>
        <v>54811.7016751636</v>
      </c>
      <c r="AP69" s="87">
        <f t="shared" si="28"/>
        <v>1390.37488010356</v>
      </c>
      <c r="AQ69" s="70">
        <f t="shared" si="15"/>
        <v>0.159268288713302</v>
      </c>
      <c r="AR69" s="48">
        <f t="shared" si="16"/>
        <v>1</v>
      </c>
      <c r="AS69" s="48">
        <f t="shared" si="35"/>
        <v>1632.71351124868</v>
      </c>
      <c r="AT69" s="9"/>
      <c r="AU69" s="11"/>
      <c r="AV69" s="11"/>
      <c r="AW69" s="2"/>
      <c r="AX69" s="2"/>
      <c r="AY69" s="2"/>
      <c r="AZ69" s="2"/>
      <c r="BA69" s="2"/>
      <c r="BB69" s="2"/>
      <c r="BC69" s="2"/>
    </row>
    <row r="70" s="1" customFormat="1" ht="15.5" spans="1:55">
      <c r="A70" s="91"/>
      <c r="B70" s="27" t="s">
        <v>187</v>
      </c>
      <c r="C70" s="27">
        <v>397.2</v>
      </c>
      <c r="D70" s="28">
        <v>51.430742148326</v>
      </c>
      <c r="E70" s="27">
        <v>159</v>
      </c>
      <c r="F70" s="27">
        <v>4.64</v>
      </c>
      <c r="G70" s="27">
        <v>477</v>
      </c>
      <c r="H70" s="27">
        <v>4.64</v>
      </c>
      <c r="I70" s="27">
        <v>90</v>
      </c>
      <c r="J70" s="27">
        <v>47.7</v>
      </c>
      <c r="K70" s="27">
        <v>23.85</v>
      </c>
      <c r="L70" s="51">
        <v>2135.58545</v>
      </c>
      <c r="M70" s="51">
        <f t="shared" si="36"/>
        <v>2209.23007645433</v>
      </c>
      <c r="N70" s="48">
        <f t="shared" si="0"/>
        <v>1.03448451404945</v>
      </c>
      <c r="O70" s="49"/>
      <c r="P70" s="48">
        <f t="shared" si="1"/>
        <v>1.0675</v>
      </c>
      <c r="Q70" s="27">
        <f t="shared" si="2"/>
        <v>149.72</v>
      </c>
      <c r="R70" s="27">
        <f t="shared" si="3"/>
        <v>0</v>
      </c>
      <c r="S70" s="28">
        <f t="shared" si="4"/>
        <v>1.5707963267949</v>
      </c>
      <c r="T70" s="58">
        <f t="shared" si="5"/>
        <v>74.86</v>
      </c>
      <c r="U70" s="48">
        <f t="shared" si="6"/>
        <v>50.6840969949346</v>
      </c>
      <c r="V70" s="48">
        <f t="shared" si="33"/>
        <v>50.6840969949346</v>
      </c>
      <c r="W70" s="59">
        <f t="shared" si="7"/>
        <v>1.4624499533378</v>
      </c>
      <c r="X70" s="48">
        <f t="shared" si="8"/>
        <v>11.925</v>
      </c>
      <c r="Y70" s="48">
        <f t="shared" si="9"/>
        <v>70.8125249423426</v>
      </c>
      <c r="Z70" s="48">
        <f t="shared" si="18"/>
        <v>0</v>
      </c>
      <c r="AA70" s="48">
        <f t="shared" si="19"/>
        <v>1862.88481595913</v>
      </c>
      <c r="AB70" s="69">
        <f t="shared" si="20"/>
        <v>15742.6619899741</v>
      </c>
      <c r="AC70" s="70">
        <f t="shared" si="21"/>
        <v>17605.5468059332</v>
      </c>
      <c r="AD70" s="70">
        <f t="shared" si="22"/>
        <v>2250.10416291768</v>
      </c>
      <c r="AE70" s="70">
        <f t="shared" si="10"/>
        <v>0.987050910507388</v>
      </c>
      <c r="AF70" s="70">
        <f t="shared" si="11"/>
        <v>110.411102131979</v>
      </c>
      <c r="AG70" s="70">
        <f t="shared" si="12"/>
        <v>82298.7895739519</v>
      </c>
      <c r="AH70" s="70">
        <f t="shared" si="13"/>
        <v>1799.20771166714</v>
      </c>
      <c r="AI70" s="70">
        <f t="shared" si="23"/>
        <v>0.147857693803807</v>
      </c>
      <c r="AJ70" s="48">
        <f t="shared" si="24"/>
        <v>1</v>
      </c>
      <c r="AK70" s="69">
        <f t="shared" si="34"/>
        <v>2192.28430701872</v>
      </c>
      <c r="AL70" s="70">
        <f t="shared" si="25"/>
        <v>0</v>
      </c>
      <c r="AM70" s="70">
        <f t="shared" si="14"/>
        <v>0</v>
      </c>
      <c r="AN70" s="70">
        <f t="shared" si="26"/>
        <v>58.6310460490916</v>
      </c>
      <c r="AO70" s="87">
        <f t="shared" si="27"/>
        <v>24106.2378363821</v>
      </c>
      <c r="AP70" s="87">
        <f t="shared" si="28"/>
        <v>905.466338156235</v>
      </c>
      <c r="AQ70" s="70">
        <f t="shared" si="15"/>
        <v>0.193807882339794</v>
      </c>
      <c r="AR70" s="48">
        <f t="shared" si="16"/>
        <v>1</v>
      </c>
      <c r="AS70" s="48">
        <f t="shared" si="35"/>
        <v>1032.23162549811</v>
      </c>
      <c r="AT70" s="9"/>
      <c r="AU70" s="11"/>
      <c r="AV70" s="11"/>
      <c r="AW70" s="2"/>
      <c r="AX70" s="2"/>
      <c r="AY70" s="2"/>
      <c r="AZ70" s="2"/>
      <c r="BA70" s="2"/>
      <c r="BB70" s="2"/>
      <c r="BC70" s="2"/>
    </row>
    <row r="71" s="1" customFormat="1" ht="15.5" spans="1:55">
      <c r="A71" s="91"/>
      <c r="B71" s="27" t="s">
        <v>188</v>
      </c>
      <c r="C71" s="27">
        <v>397.2</v>
      </c>
      <c r="D71" s="28">
        <v>51.430742148326</v>
      </c>
      <c r="E71" s="27">
        <v>159</v>
      </c>
      <c r="F71" s="27">
        <v>4.64</v>
      </c>
      <c r="G71" s="27">
        <v>477</v>
      </c>
      <c r="H71" s="27">
        <v>4.64</v>
      </c>
      <c r="I71" s="27">
        <v>90</v>
      </c>
      <c r="J71" s="27">
        <v>47.7</v>
      </c>
      <c r="K71" s="27">
        <v>23.85</v>
      </c>
      <c r="L71" s="51">
        <v>2159.16675</v>
      </c>
      <c r="M71" s="51">
        <f t="shared" si="36"/>
        <v>2209.23007645433</v>
      </c>
      <c r="N71" s="48">
        <f t="shared" si="0"/>
        <v>1.02318641043093</v>
      </c>
      <c r="O71" s="49"/>
      <c r="P71" s="48">
        <f t="shared" si="1"/>
        <v>1.0675</v>
      </c>
      <c r="Q71" s="27">
        <f t="shared" si="2"/>
        <v>149.72</v>
      </c>
      <c r="R71" s="27">
        <f t="shared" si="3"/>
        <v>0</v>
      </c>
      <c r="S71" s="28">
        <f t="shared" si="4"/>
        <v>1.5707963267949</v>
      </c>
      <c r="T71" s="58">
        <f t="shared" si="5"/>
        <v>74.86</v>
      </c>
      <c r="U71" s="48">
        <f t="shared" si="6"/>
        <v>50.6840969949346</v>
      </c>
      <c r="V71" s="48">
        <f t="shared" si="33"/>
        <v>50.6840969949346</v>
      </c>
      <c r="W71" s="59">
        <f t="shared" si="7"/>
        <v>1.4624499533378</v>
      </c>
      <c r="X71" s="48">
        <f t="shared" si="8"/>
        <v>11.925</v>
      </c>
      <c r="Y71" s="48">
        <f t="shared" si="9"/>
        <v>70.8125249423426</v>
      </c>
      <c r="Z71" s="48">
        <f t="shared" si="18"/>
        <v>0</v>
      </c>
      <c r="AA71" s="48">
        <f t="shared" si="19"/>
        <v>1862.88481595913</v>
      </c>
      <c r="AB71" s="69">
        <f t="shared" si="20"/>
        <v>15742.6619899741</v>
      </c>
      <c r="AC71" s="70">
        <f t="shared" si="21"/>
        <v>17605.5468059332</v>
      </c>
      <c r="AD71" s="70">
        <f t="shared" si="22"/>
        <v>2250.10416291768</v>
      </c>
      <c r="AE71" s="70">
        <f t="shared" si="10"/>
        <v>0.987050910507388</v>
      </c>
      <c r="AF71" s="70">
        <f t="shared" si="11"/>
        <v>110.411102131979</v>
      </c>
      <c r="AG71" s="70">
        <f t="shared" si="12"/>
        <v>82298.7895739519</v>
      </c>
      <c r="AH71" s="70">
        <f t="shared" si="13"/>
        <v>1799.20771166714</v>
      </c>
      <c r="AI71" s="70">
        <f t="shared" si="23"/>
        <v>0.147857693803807</v>
      </c>
      <c r="AJ71" s="48">
        <f t="shared" si="24"/>
        <v>1</v>
      </c>
      <c r="AK71" s="69">
        <f t="shared" si="34"/>
        <v>2192.28430701872</v>
      </c>
      <c r="AL71" s="70">
        <f t="shared" si="25"/>
        <v>0</v>
      </c>
      <c r="AM71" s="70">
        <f t="shared" si="14"/>
        <v>0</v>
      </c>
      <c r="AN71" s="70">
        <f t="shared" si="26"/>
        <v>58.6310460490916</v>
      </c>
      <c r="AO71" s="87">
        <f t="shared" si="27"/>
        <v>24106.2378363821</v>
      </c>
      <c r="AP71" s="87">
        <f t="shared" si="28"/>
        <v>905.466338156235</v>
      </c>
      <c r="AQ71" s="70">
        <f t="shared" si="15"/>
        <v>0.193807882339794</v>
      </c>
      <c r="AR71" s="48">
        <f t="shared" si="16"/>
        <v>1</v>
      </c>
      <c r="AS71" s="48">
        <f t="shared" si="35"/>
        <v>1032.23162549811</v>
      </c>
      <c r="AT71" s="9"/>
      <c r="AU71" s="11"/>
      <c r="AV71" s="11"/>
      <c r="AW71" s="2"/>
      <c r="AX71" s="2"/>
      <c r="AY71" s="2"/>
      <c r="AZ71" s="2"/>
      <c r="BA71" s="2"/>
      <c r="BB71" s="2"/>
      <c r="BC71" s="2"/>
    </row>
    <row r="72" s="1" customFormat="1" ht="15.5" spans="1:55">
      <c r="A72" s="91"/>
      <c r="B72" s="27" t="s">
        <v>189</v>
      </c>
      <c r="C72" s="27">
        <v>397.2</v>
      </c>
      <c r="D72" s="28">
        <v>51.430742148326</v>
      </c>
      <c r="E72" s="27">
        <v>159</v>
      </c>
      <c r="F72" s="27">
        <v>4.64</v>
      </c>
      <c r="G72" s="27">
        <v>477</v>
      </c>
      <c r="H72" s="27">
        <v>2.088</v>
      </c>
      <c r="I72" s="27">
        <v>180</v>
      </c>
      <c r="J72" s="27">
        <v>47.7</v>
      </c>
      <c r="K72" s="27">
        <v>23.85</v>
      </c>
      <c r="L72" s="51">
        <v>2343.62</v>
      </c>
      <c r="M72" s="51">
        <f t="shared" si="36"/>
        <v>2155.60177136907</v>
      </c>
      <c r="N72" s="48">
        <f t="shared" si="0"/>
        <v>0.919774439273035</v>
      </c>
      <c r="O72" s="49"/>
      <c r="P72" s="48">
        <f t="shared" si="1"/>
        <v>1.030375</v>
      </c>
      <c r="Q72" s="27">
        <f t="shared" si="2"/>
        <v>154.824</v>
      </c>
      <c r="R72" s="27">
        <f t="shared" si="3"/>
        <v>2.552</v>
      </c>
      <c r="S72" s="28">
        <f t="shared" si="4"/>
        <v>3.14159265358979</v>
      </c>
      <c r="T72" s="58">
        <f t="shared" si="5"/>
        <v>74.86</v>
      </c>
      <c r="U72" s="48">
        <f t="shared" si="6"/>
        <v>50.6840969949346</v>
      </c>
      <c r="V72" s="48">
        <f t="shared" si="33"/>
        <v>50.6840969949346</v>
      </c>
      <c r="W72" s="59">
        <f t="shared" si="7"/>
        <v>2.24784811673525</v>
      </c>
      <c r="X72" s="48">
        <f t="shared" si="8"/>
        <v>11.925</v>
      </c>
      <c r="Y72" s="48">
        <f t="shared" si="9"/>
        <v>98.309814409971</v>
      </c>
      <c r="Z72" s="48">
        <f t="shared" si="18"/>
        <v>0</v>
      </c>
      <c r="AA72" s="48">
        <f t="shared" si="19"/>
        <v>3153.45529956895</v>
      </c>
      <c r="AB72" s="69">
        <f t="shared" si="20"/>
        <v>14452.0915063643</v>
      </c>
      <c r="AC72" s="70">
        <f t="shared" si="21"/>
        <v>17605.5468059332</v>
      </c>
      <c r="AD72" s="70">
        <f t="shared" si="22"/>
        <v>2250.10416291768</v>
      </c>
      <c r="AE72" s="70">
        <f t="shared" si="10"/>
        <v>0.987050910507388</v>
      </c>
      <c r="AF72" s="70">
        <f t="shared" si="11"/>
        <v>110.411102131979</v>
      </c>
      <c r="AG72" s="70">
        <f t="shared" si="12"/>
        <v>82298.7895739519</v>
      </c>
      <c r="AH72" s="70">
        <f t="shared" si="13"/>
        <v>1799.20771166714</v>
      </c>
      <c r="AI72" s="70">
        <f t="shared" si="23"/>
        <v>0.147857693803807</v>
      </c>
      <c r="AJ72" s="48">
        <f t="shared" si="24"/>
        <v>1</v>
      </c>
      <c r="AK72" s="69">
        <f t="shared" si="34"/>
        <v>2192.28430701872</v>
      </c>
      <c r="AL72" s="70">
        <f t="shared" si="25"/>
        <v>1220.81707438903</v>
      </c>
      <c r="AM72" s="70">
        <f t="shared" si="14"/>
        <v>0.535534587552668</v>
      </c>
      <c r="AN72" s="70">
        <f t="shared" si="26"/>
        <v>86.7248461587016</v>
      </c>
      <c r="AO72" s="87">
        <f t="shared" si="27"/>
        <v>54811.7016751636</v>
      </c>
      <c r="AP72" s="87">
        <f t="shared" si="28"/>
        <v>1390.37488010356</v>
      </c>
      <c r="AQ72" s="70">
        <f t="shared" si="15"/>
        <v>0.159268288713302</v>
      </c>
      <c r="AR72" s="48">
        <f t="shared" si="16"/>
        <v>1</v>
      </c>
      <c r="AS72" s="48">
        <f t="shared" si="35"/>
        <v>1632.71351124868</v>
      </c>
      <c r="AT72" s="9"/>
      <c r="AU72" s="11"/>
      <c r="AV72" s="11"/>
      <c r="AW72" s="2"/>
      <c r="AX72" s="2"/>
      <c r="AY72" s="2"/>
      <c r="AZ72" s="2"/>
      <c r="BA72" s="2"/>
      <c r="BB72" s="2"/>
      <c r="BC72" s="2"/>
    </row>
    <row r="73" ht="15.5" spans="1:48">
      <c r="A73" s="91"/>
      <c r="B73" s="27" t="s">
        <v>190</v>
      </c>
      <c r="C73" s="27">
        <v>397.2</v>
      </c>
      <c r="D73" s="28">
        <v>51.430742148326</v>
      </c>
      <c r="E73" s="27">
        <v>159</v>
      </c>
      <c r="F73" s="27">
        <v>4.64</v>
      </c>
      <c r="G73" s="27">
        <v>477</v>
      </c>
      <c r="H73" s="27">
        <v>2.088</v>
      </c>
      <c r="I73" s="27">
        <v>180</v>
      </c>
      <c r="J73" s="27">
        <v>47.7</v>
      </c>
      <c r="K73" s="27">
        <v>23.85</v>
      </c>
      <c r="L73" s="51">
        <v>2382.721</v>
      </c>
      <c r="M73" s="51">
        <f t="shared" si="36"/>
        <v>2155.60177136907</v>
      </c>
      <c r="N73" s="48">
        <f t="shared" ref="N73:N125" si="37">M73/L73</f>
        <v>0.904680729035866</v>
      </c>
      <c r="O73" s="49"/>
      <c r="P73" s="48">
        <f t="shared" ref="P73:P125" si="38">1+1.5*H73/F73*J73/G73*(0.5-K73/G73)</f>
        <v>1.030375</v>
      </c>
      <c r="Q73" s="27">
        <f t="shared" ref="Q73:Q125" si="39">E73-H73*2</f>
        <v>154.824</v>
      </c>
      <c r="R73" s="27">
        <f t="shared" ref="R73:R125" si="40">F73-H73</f>
        <v>2.552</v>
      </c>
      <c r="S73" s="28">
        <f t="shared" ref="S73:S125" si="41">I73/180*PI()</f>
        <v>3.14159265358979</v>
      </c>
      <c r="T73" s="58">
        <f t="shared" ref="T73:T125" si="42">E73/2-F73</f>
        <v>74.86</v>
      </c>
      <c r="U73" s="48">
        <f t="shared" ref="U73:U125" si="43">0.84*PI()*((T73+F73)*F73)^0.5</f>
        <v>50.6840969949346</v>
      </c>
      <c r="V73" s="48">
        <f t="shared" si="33"/>
        <v>50.6840969949346</v>
      </c>
      <c r="W73" s="59">
        <f t="shared" ref="W73:W125" si="44">MIN(S73/2+U73/T73,PI())</f>
        <v>2.24784811673525</v>
      </c>
      <c r="X73" s="48">
        <f t="shared" ref="X73:X125" si="45">IF(J73/4&lt;=2*T73,J73/4,2*T73)</f>
        <v>11.925</v>
      </c>
      <c r="Y73" s="48">
        <f t="shared" ref="Y73:Y125" si="46">T73*(1-COS(W73)/2)</f>
        <v>98.309814409971</v>
      </c>
      <c r="Z73" s="48">
        <f t="shared" ref="Z73:Z125" si="47">IF(X73&lt;T73,0,U73/X73*(X73-T73))</f>
        <v>0</v>
      </c>
      <c r="AA73" s="48">
        <f t="shared" si="19"/>
        <v>3153.45529956895</v>
      </c>
      <c r="AB73" s="69">
        <f t="shared" ref="AB73:AB125" si="48">PI()*T73^2-AA73</f>
        <v>14452.0915063643</v>
      </c>
      <c r="AC73" s="70">
        <f t="shared" ref="AC73:AC125" si="49">PI()*T73^2</f>
        <v>17605.5468059332</v>
      </c>
      <c r="AD73" s="70">
        <f t="shared" ref="AD73:AD125" si="50">PI()*E73^2/4-AC73</f>
        <v>2250.10416291768</v>
      </c>
      <c r="AE73" s="70">
        <f t="shared" ref="AE73:AE125" si="51">C73*AD73/D73/AC73</f>
        <v>0.987050910507388</v>
      </c>
      <c r="AF73" s="70">
        <f t="shared" ref="AF73:AF125" si="52">(1.14+1.02*AE73)*D73</f>
        <v>110.411102131979</v>
      </c>
      <c r="AG73" s="70">
        <f t="shared" ref="AG73:AG125" si="53">PI()^2*(200000*PI()*(E73^4-(E73-2*F73)^4)/64+0.6*22000*((D73+8)/10)^0.3*PI()*(E73-2*F73)^4/64)/G73^2/1000</f>
        <v>82298.7895739519</v>
      </c>
      <c r="AH73" s="70">
        <f t="shared" ref="AH73:AH125" si="54">(C73*AD73+AC73*D73)/1000</f>
        <v>1799.20771166714</v>
      </c>
      <c r="AI73" s="70">
        <f t="shared" ref="AI73:AI125" si="55">(AH73/AG73)^0.5</f>
        <v>0.147857693803807</v>
      </c>
      <c r="AJ73" s="48">
        <f t="shared" ref="AJ73:AJ125" si="56">IF(1.2*EXP(-0.7*AI73)&lt;=1,1.2*EXP(-0.7*AI73),1)</f>
        <v>1</v>
      </c>
      <c r="AK73" s="69">
        <f t="shared" si="34"/>
        <v>2192.28430701872</v>
      </c>
      <c r="AL73" s="70">
        <f t="shared" ref="AL73:AL125" si="57">PI()*Q73^2/4-AC73</f>
        <v>1220.81707438903</v>
      </c>
      <c r="AM73" s="70">
        <f t="shared" ref="AM73:AM125" si="58">C73*AL73/D73/AC73</f>
        <v>0.535534587552668</v>
      </c>
      <c r="AN73" s="70">
        <f t="shared" ref="AN73:AN125" si="59">(1.14+1.02*AM73)*D73</f>
        <v>86.7248461587016</v>
      </c>
      <c r="AO73" s="87">
        <f t="shared" ref="AO73:AO125" si="60">PI()^2*(200000*PI()*(Q73^4-(Q73-2*R73)^4)/64+0.6*22000*((D73+8)/10)^0.3*PI()*(Q73-2*R73)^4/64)/G73^2/1000</f>
        <v>54811.7016751636</v>
      </c>
      <c r="AP73" s="87">
        <f t="shared" ref="AP73:AP125" si="61">(C73*AL73+AC73*D73)/1000</f>
        <v>1390.37488010356</v>
      </c>
      <c r="AQ73" s="70">
        <f t="shared" ref="AQ73:AQ125" si="62">(AP73/AO73)^0.5</f>
        <v>0.159268288713302</v>
      </c>
      <c r="AR73" s="48">
        <f t="shared" ref="AR73:AR125" si="63">IF(1.2*EXP(-0.7*AQ73)&lt;=1,1.2*EXP(-0.7*AQ73),1)</f>
        <v>1</v>
      </c>
      <c r="AS73" s="48">
        <f t="shared" si="35"/>
        <v>1632.71351124868</v>
      </c>
      <c r="AV73" s="11"/>
    </row>
    <row r="74" s="1" customFormat="1" ht="15.5" spans="1:55">
      <c r="A74" s="91"/>
      <c r="B74" s="27" t="s">
        <v>191</v>
      </c>
      <c r="C74" s="27">
        <v>397.2</v>
      </c>
      <c r="D74" s="28">
        <v>51.430742148326</v>
      </c>
      <c r="E74" s="27">
        <v>159</v>
      </c>
      <c r="F74" s="27">
        <v>4.64</v>
      </c>
      <c r="G74" s="27">
        <v>477</v>
      </c>
      <c r="H74" s="27">
        <v>2.088</v>
      </c>
      <c r="I74" s="27">
        <v>360</v>
      </c>
      <c r="J74" s="27">
        <v>47.7</v>
      </c>
      <c r="K74" s="27">
        <v>23.85</v>
      </c>
      <c r="L74" s="51">
        <v>2344.327</v>
      </c>
      <c r="M74" s="51">
        <f t="shared" si="36"/>
        <v>2089.81428500273</v>
      </c>
      <c r="N74" s="48">
        <f t="shared" si="37"/>
        <v>0.891434635613005</v>
      </c>
      <c r="O74" s="49"/>
      <c r="P74" s="48">
        <f t="shared" si="38"/>
        <v>1.030375</v>
      </c>
      <c r="Q74" s="27">
        <f t="shared" si="39"/>
        <v>154.824</v>
      </c>
      <c r="R74" s="27">
        <f t="shared" si="40"/>
        <v>2.552</v>
      </c>
      <c r="S74" s="28">
        <f t="shared" si="41"/>
        <v>6.28318530717959</v>
      </c>
      <c r="T74" s="58">
        <f t="shared" si="42"/>
        <v>74.86</v>
      </c>
      <c r="U74" s="48">
        <f t="shared" si="43"/>
        <v>50.6840969949346</v>
      </c>
      <c r="V74" s="48">
        <f t="shared" ref="V74:V105" si="64">MIN((PI()-S74/2)*T74,U74)</f>
        <v>0</v>
      </c>
      <c r="W74" s="59">
        <f t="shared" si="44"/>
        <v>3.14159265358979</v>
      </c>
      <c r="X74" s="48">
        <f t="shared" si="45"/>
        <v>11.925</v>
      </c>
      <c r="Y74" s="48">
        <f t="shared" si="46"/>
        <v>112.29</v>
      </c>
      <c r="Z74" s="48">
        <f t="shared" si="47"/>
        <v>0</v>
      </c>
      <c r="AA74" s="48">
        <f t="shared" ref="AA74:AA125" si="65">IF(X74&lt;=Y74,X74*V74*(1-X74/3/T74)+S74*X74*(T74-X74/2)+X74^2/U74^2*(PI()-2*Z74/3/T74)*Z74^2,(W74-SIN(W74)*COS(W74)/3)*T74^2)</f>
        <v>5162.28193443926</v>
      </c>
      <c r="AB74" s="69">
        <f t="shared" si="48"/>
        <v>12443.2648714939</v>
      </c>
      <c r="AC74" s="70">
        <f t="shared" si="49"/>
        <v>17605.5468059332</v>
      </c>
      <c r="AD74" s="70">
        <f t="shared" si="50"/>
        <v>2250.10416291768</v>
      </c>
      <c r="AE74" s="70">
        <f t="shared" si="51"/>
        <v>0.987050910507388</v>
      </c>
      <c r="AF74" s="70">
        <f t="shared" si="52"/>
        <v>110.411102131979</v>
      </c>
      <c r="AG74" s="70">
        <f t="shared" si="53"/>
        <v>82298.7895739519</v>
      </c>
      <c r="AH74" s="70">
        <f t="shared" si="54"/>
        <v>1799.20771166714</v>
      </c>
      <c r="AI74" s="70">
        <f t="shared" si="55"/>
        <v>0.147857693803807</v>
      </c>
      <c r="AJ74" s="48">
        <f t="shared" si="56"/>
        <v>1</v>
      </c>
      <c r="AK74" s="69">
        <f t="shared" si="34"/>
        <v>2192.28430701872</v>
      </c>
      <c r="AL74" s="70">
        <f t="shared" si="57"/>
        <v>1220.81707438903</v>
      </c>
      <c r="AM74" s="70">
        <f t="shared" si="58"/>
        <v>0.535534587552668</v>
      </c>
      <c r="AN74" s="70">
        <f t="shared" si="59"/>
        <v>86.7248461587016</v>
      </c>
      <c r="AO74" s="87">
        <f t="shared" si="60"/>
        <v>54811.7016751636</v>
      </c>
      <c r="AP74" s="87">
        <f t="shared" si="61"/>
        <v>1390.37488010356</v>
      </c>
      <c r="AQ74" s="70">
        <f t="shared" si="62"/>
        <v>0.159268288713302</v>
      </c>
      <c r="AR74" s="48">
        <f t="shared" si="63"/>
        <v>1</v>
      </c>
      <c r="AS74" s="48">
        <f t="shared" si="35"/>
        <v>1632.71351124868</v>
      </c>
      <c r="AT74" s="9"/>
      <c r="AU74" s="11"/>
      <c r="AV74" s="11"/>
      <c r="AW74" s="2"/>
      <c r="AX74" s="2"/>
      <c r="AY74" s="2"/>
      <c r="AZ74" s="2"/>
      <c r="BA74" s="2"/>
      <c r="BB74" s="2"/>
      <c r="BC74" s="2"/>
    </row>
    <row r="75" ht="15.5" spans="1:48">
      <c r="A75" s="91"/>
      <c r="B75" s="27" t="s">
        <v>192</v>
      </c>
      <c r="C75" s="27">
        <v>397.2</v>
      </c>
      <c r="D75" s="28">
        <v>51.430742148326</v>
      </c>
      <c r="E75" s="27">
        <v>159</v>
      </c>
      <c r="F75" s="27">
        <v>4.64</v>
      </c>
      <c r="G75" s="27">
        <v>477</v>
      </c>
      <c r="H75" s="27">
        <v>2.088</v>
      </c>
      <c r="I75" s="27">
        <v>360</v>
      </c>
      <c r="J75" s="27">
        <v>47.7</v>
      </c>
      <c r="K75" s="27">
        <v>23.85</v>
      </c>
      <c r="L75" s="51">
        <v>2282.13818</v>
      </c>
      <c r="M75" s="51">
        <f t="shared" si="36"/>
        <v>2089.81428500273</v>
      </c>
      <c r="N75" s="48">
        <f t="shared" si="37"/>
        <v>0.915726446065912</v>
      </c>
      <c r="O75" s="49"/>
      <c r="P75" s="48">
        <f t="shared" si="38"/>
        <v>1.030375</v>
      </c>
      <c r="Q75" s="27">
        <f t="shared" si="39"/>
        <v>154.824</v>
      </c>
      <c r="R75" s="27">
        <f t="shared" si="40"/>
        <v>2.552</v>
      </c>
      <c r="S75" s="28">
        <f t="shared" si="41"/>
        <v>6.28318530717959</v>
      </c>
      <c r="T75" s="58">
        <f t="shared" si="42"/>
        <v>74.86</v>
      </c>
      <c r="U75" s="48">
        <f t="shared" si="43"/>
        <v>50.6840969949346</v>
      </c>
      <c r="V75" s="48">
        <f t="shared" si="64"/>
        <v>0</v>
      </c>
      <c r="W75" s="59">
        <f t="shared" si="44"/>
        <v>3.14159265358979</v>
      </c>
      <c r="X75" s="48">
        <f t="shared" si="45"/>
        <v>11.925</v>
      </c>
      <c r="Y75" s="48">
        <f t="shared" si="46"/>
        <v>112.29</v>
      </c>
      <c r="Z75" s="48">
        <f t="shared" si="47"/>
        <v>0</v>
      </c>
      <c r="AA75" s="48">
        <f t="shared" si="65"/>
        <v>5162.28193443926</v>
      </c>
      <c r="AB75" s="69">
        <f t="shared" si="48"/>
        <v>12443.2648714939</v>
      </c>
      <c r="AC75" s="70">
        <f t="shared" si="49"/>
        <v>17605.5468059332</v>
      </c>
      <c r="AD75" s="70">
        <f t="shared" si="50"/>
        <v>2250.10416291768</v>
      </c>
      <c r="AE75" s="70">
        <f t="shared" si="51"/>
        <v>0.987050910507388</v>
      </c>
      <c r="AF75" s="70">
        <f t="shared" si="52"/>
        <v>110.411102131979</v>
      </c>
      <c r="AG75" s="70">
        <f t="shared" si="53"/>
        <v>82298.7895739519</v>
      </c>
      <c r="AH75" s="70">
        <f t="shared" si="54"/>
        <v>1799.20771166714</v>
      </c>
      <c r="AI75" s="70">
        <f t="shared" si="55"/>
        <v>0.147857693803807</v>
      </c>
      <c r="AJ75" s="48">
        <f t="shared" si="56"/>
        <v>1</v>
      </c>
      <c r="AK75" s="69">
        <f t="shared" ref="AK75:AK106" si="66">AJ75*AF75*(AC75+AD75)/1000</f>
        <v>2192.28430701872</v>
      </c>
      <c r="AL75" s="70">
        <f t="shared" si="57"/>
        <v>1220.81707438903</v>
      </c>
      <c r="AM75" s="70">
        <f t="shared" si="58"/>
        <v>0.535534587552668</v>
      </c>
      <c r="AN75" s="70">
        <f t="shared" si="59"/>
        <v>86.7248461587016</v>
      </c>
      <c r="AO75" s="87">
        <f t="shared" si="60"/>
        <v>54811.7016751636</v>
      </c>
      <c r="AP75" s="87">
        <f t="shared" si="61"/>
        <v>1390.37488010356</v>
      </c>
      <c r="AQ75" s="70">
        <f t="shared" si="62"/>
        <v>0.159268288713302</v>
      </c>
      <c r="AR75" s="48">
        <f t="shared" si="63"/>
        <v>1</v>
      </c>
      <c r="AS75" s="48">
        <f t="shared" ref="AS75:AS106" si="67">AR75*AN75*(AC75+AL75)/1000</f>
        <v>1632.71351124868</v>
      </c>
      <c r="AV75" s="11"/>
    </row>
    <row r="76" ht="15.5" spans="1:48">
      <c r="A76" s="91"/>
      <c r="B76" s="27" t="s">
        <v>193</v>
      </c>
      <c r="C76" s="27">
        <v>397.2</v>
      </c>
      <c r="D76" s="28">
        <v>51.430742148326</v>
      </c>
      <c r="E76" s="27">
        <v>159</v>
      </c>
      <c r="F76" s="27">
        <v>4.64</v>
      </c>
      <c r="G76" s="27">
        <v>477</v>
      </c>
      <c r="H76" s="27">
        <v>2.088</v>
      </c>
      <c r="I76" s="27">
        <v>90</v>
      </c>
      <c r="J76" s="27">
        <v>31.8</v>
      </c>
      <c r="K76" s="27">
        <v>23.85</v>
      </c>
      <c r="L76" s="51">
        <v>2370.61743</v>
      </c>
      <c r="M76" s="51">
        <f t="shared" si="36"/>
        <v>2195.36962110331</v>
      </c>
      <c r="N76" s="48">
        <f t="shared" si="37"/>
        <v>0.926075035693679</v>
      </c>
      <c r="O76" s="49"/>
      <c r="P76" s="48">
        <f t="shared" si="38"/>
        <v>1.02025</v>
      </c>
      <c r="Q76" s="27">
        <f t="shared" si="39"/>
        <v>154.824</v>
      </c>
      <c r="R76" s="27">
        <f t="shared" si="40"/>
        <v>2.552</v>
      </c>
      <c r="S76" s="28">
        <f t="shared" si="41"/>
        <v>1.5707963267949</v>
      </c>
      <c r="T76" s="58">
        <f t="shared" si="42"/>
        <v>74.86</v>
      </c>
      <c r="U76" s="48">
        <f t="shared" si="43"/>
        <v>50.6840969949346</v>
      </c>
      <c r="V76" s="48">
        <f t="shared" si="64"/>
        <v>50.6840969949346</v>
      </c>
      <c r="W76" s="59">
        <f t="shared" si="44"/>
        <v>1.4624499533378</v>
      </c>
      <c r="X76" s="48">
        <f t="shared" si="45"/>
        <v>7.95</v>
      </c>
      <c r="Y76" s="48">
        <f t="shared" si="46"/>
        <v>70.8125249423426</v>
      </c>
      <c r="Z76" s="48">
        <f t="shared" si="47"/>
        <v>0</v>
      </c>
      <c r="AA76" s="48">
        <f t="shared" si="65"/>
        <v>1273.87466864277</v>
      </c>
      <c r="AB76" s="69">
        <f t="shared" si="48"/>
        <v>16331.6721372904</v>
      </c>
      <c r="AC76" s="70">
        <f t="shared" si="49"/>
        <v>17605.5468059332</v>
      </c>
      <c r="AD76" s="70">
        <f t="shared" si="50"/>
        <v>2250.10416291768</v>
      </c>
      <c r="AE76" s="70">
        <f t="shared" si="51"/>
        <v>0.987050910507388</v>
      </c>
      <c r="AF76" s="70">
        <f t="shared" si="52"/>
        <v>110.411102131979</v>
      </c>
      <c r="AG76" s="70">
        <f t="shared" si="53"/>
        <v>82298.7895739519</v>
      </c>
      <c r="AH76" s="70">
        <f t="shared" si="54"/>
        <v>1799.20771166714</v>
      </c>
      <c r="AI76" s="70">
        <f t="shared" si="55"/>
        <v>0.147857693803807</v>
      </c>
      <c r="AJ76" s="48">
        <f t="shared" si="56"/>
        <v>1</v>
      </c>
      <c r="AK76" s="69">
        <f t="shared" si="66"/>
        <v>2192.28430701872</v>
      </c>
      <c r="AL76" s="70">
        <f t="shared" si="57"/>
        <v>1220.81707438903</v>
      </c>
      <c r="AM76" s="70">
        <f t="shared" si="58"/>
        <v>0.535534587552668</v>
      </c>
      <c r="AN76" s="70">
        <f t="shared" si="59"/>
        <v>86.7248461587016</v>
      </c>
      <c r="AO76" s="87">
        <f t="shared" si="60"/>
        <v>54811.7016751636</v>
      </c>
      <c r="AP76" s="87">
        <f t="shared" si="61"/>
        <v>1390.37488010356</v>
      </c>
      <c r="AQ76" s="70">
        <f t="shared" si="62"/>
        <v>0.159268288713302</v>
      </c>
      <c r="AR76" s="48">
        <f t="shared" si="63"/>
        <v>1</v>
      </c>
      <c r="AS76" s="48">
        <f t="shared" si="67"/>
        <v>1632.71351124868</v>
      </c>
      <c r="AV76" s="11"/>
    </row>
    <row r="77" ht="15.5" spans="1:48">
      <c r="A77" s="91"/>
      <c r="B77" s="27" t="s">
        <v>194</v>
      </c>
      <c r="C77" s="27">
        <v>397.2</v>
      </c>
      <c r="D77" s="28">
        <v>51.430742148326</v>
      </c>
      <c r="E77" s="27">
        <v>159</v>
      </c>
      <c r="F77" s="27">
        <v>4.64</v>
      </c>
      <c r="G77" s="27">
        <v>477</v>
      </c>
      <c r="H77" s="27">
        <v>2.088</v>
      </c>
      <c r="I77" s="27">
        <v>90</v>
      </c>
      <c r="J77" s="27">
        <v>31.8</v>
      </c>
      <c r="K77" s="27">
        <v>23.85</v>
      </c>
      <c r="L77" s="51">
        <v>1987.01563</v>
      </c>
      <c r="M77" s="51">
        <f t="shared" si="36"/>
        <v>2195.36962110331</v>
      </c>
      <c r="N77" s="48">
        <f t="shared" si="37"/>
        <v>1.1048577514729</v>
      </c>
      <c r="O77" s="49"/>
      <c r="P77" s="48">
        <f t="shared" si="38"/>
        <v>1.02025</v>
      </c>
      <c r="Q77" s="27">
        <f t="shared" si="39"/>
        <v>154.824</v>
      </c>
      <c r="R77" s="27">
        <f t="shared" si="40"/>
        <v>2.552</v>
      </c>
      <c r="S77" s="28">
        <f t="shared" si="41"/>
        <v>1.5707963267949</v>
      </c>
      <c r="T77" s="58">
        <f t="shared" si="42"/>
        <v>74.86</v>
      </c>
      <c r="U77" s="48">
        <f t="shared" si="43"/>
        <v>50.6840969949346</v>
      </c>
      <c r="V77" s="48">
        <f t="shared" si="64"/>
        <v>50.6840969949346</v>
      </c>
      <c r="W77" s="59">
        <f t="shared" si="44"/>
        <v>1.4624499533378</v>
      </c>
      <c r="X77" s="48">
        <f t="shared" si="45"/>
        <v>7.95</v>
      </c>
      <c r="Y77" s="48">
        <f t="shared" si="46"/>
        <v>70.8125249423426</v>
      </c>
      <c r="Z77" s="48">
        <f t="shared" si="47"/>
        <v>0</v>
      </c>
      <c r="AA77" s="48">
        <f t="shared" si="65"/>
        <v>1273.87466864277</v>
      </c>
      <c r="AB77" s="69">
        <f t="shared" si="48"/>
        <v>16331.6721372904</v>
      </c>
      <c r="AC77" s="70">
        <f t="shared" si="49"/>
        <v>17605.5468059332</v>
      </c>
      <c r="AD77" s="70">
        <f t="shared" si="50"/>
        <v>2250.10416291768</v>
      </c>
      <c r="AE77" s="70">
        <f t="shared" si="51"/>
        <v>0.987050910507388</v>
      </c>
      <c r="AF77" s="70">
        <f t="shared" si="52"/>
        <v>110.411102131979</v>
      </c>
      <c r="AG77" s="70">
        <f t="shared" si="53"/>
        <v>82298.7895739519</v>
      </c>
      <c r="AH77" s="70">
        <f t="shared" si="54"/>
        <v>1799.20771166714</v>
      </c>
      <c r="AI77" s="70">
        <f t="shared" si="55"/>
        <v>0.147857693803807</v>
      </c>
      <c r="AJ77" s="48">
        <f t="shared" si="56"/>
        <v>1</v>
      </c>
      <c r="AK77" s="69">
        <f t="shared" si="66"/>
        <v>2192.28430701872</v>
      </c>
      <c r="AL77" s="70">
        <f t="shared" si="57"/>
        <v>1220.81707438903</v>
      </c>
      <c r="AM77" s="70">
        <f t="shared" si="58"/>
        <v>0.535534587552668</v>
      </c>
      <c r="AN77" s="70">
        <f t="shared" si="59"/>
        <v>86.7248461587016</v>
      </c>
      <c r="AO77" s="87">
        <f t="shared" si="60"/>
        <v>54811.7016751636</v>
      </c>
      <c r="AP77" s="87">
        <f t="shared" si="61"/>
        <v>1390.37488010356</v>
      </c>
      <c r="AQ77" s="70">
        <f t="shared" si="62"/>
        <v>0.159268288713302</v>
      </c>
      <c r="AR77" s="48">
        <f t="shared" si="63"/>
        <v>1</v>
      </c>
      <c r="AS77" s="48">
        <f t="shared" si="67"/>
        <v>1632.71351124868</v>
      </c>
      <c r="AV77" s="11"/>
    </row>
    <row r="78" ht="15.5" spans="1:48">
      <c r="A78" s="91"/>
      <c r="B78" s="27" t="s">
        <v>195</v>
      </c>
      <c r="C78" s="27">
        <v>397.2</v>
      </c>
      <c r="D78" s="28">
        <v>51.430742148326</v>
      </c>
      <c r="E78" s="27">
        <v>159</v>
      </c>
      <c r="F78" s="27">
        <v>4.64</v>
      </c>
      <c r="G78" s="27">
        <v>477</v>
      </c>
      <c r="H78" s="27">
        <v>2.088</v>
      </c>
      <c r="I78" s="27">
        <v>90</v>
      </c>
      <c r="J78" s="27">
        <v>23.85</v>
      </c>
      <c r="K78" s="27">
        <v>23.85</v>
      </c>
      <c r="L78" s="51">
        <v>2290.84033</v>
      </c>
      <c r="M78" s="51">
        <f t="shared" si="36"/>
        <v>2194.36541196778</v>
      </c>
      <c r="N78" s="48">
        <f t="shared" si="37"/>
        <v>0.957886668586712</v>
      </c>
      <c r="O78" s="49"/>
      <c r="P78" s="48">
        <f t="shared" si="38"/>
        <v>1.0151875</v>
      </c>
      <c r="Q78" s="27">
        <f t="shared" si="39"/>
        <v>154.824</v>
      </c>
      <c r="R78" s="27">
        <f t="shared" si="40"/>
        <v>2.552</v>
      </c>
      <c r="S78" s="28">
        <f t="shared" si="41"/>
        <v>1.5707963267949</v>
      </c>
      <c r="T78" s="58">
        <f t="shared" si="42"/>
        <v>74.86</v>
      </c>
      <c r="U78" s="48">
        <f t="shared" si="43"/>
        <v>50.6840969949346</v>
      </c>
      <c r="V78" s="48">
        <f t="shared" si="64"/>
        <v>50.6840969949346</v>
      </c>
      <c r="W78" s="59">
        <f t="shared" si="44"/>
        <v>1.4624499533378</v>
      </c>
      <c r="X78" s="48">
        <f t="shared" si="45"/>
        <v>5.9625</v>
      </c>
      <c r="Y78" s="48">
        <f t="shared" si="46"/>
        <v>70.8125249423426</v>
      </c>
      <c r="Z78" s="48">
        <f t="shared" si="47"/>
        <v>0</v>
      </c>
      <c r="AA78" s="48">
        <f t="shared" si="65"/>
        <v>967.387798233332</v>
      </c>
      <c r="AB78" s="69">
        <f t="shared" si="48"/>
        <v>16638.1590076999</v>
      </c>
      <c r="AC78" s="70">
        <f t="shared" si="49"/>
        <v>17605.5468059332</v>
      </c>
      <c r="AD78" s="70">
        <f t="shared" si="50"/>
        <v>2250.10416291768</v>
      </c>
      <c r="AE78" s="70">
        <f t="shared" si="51"/>
        <v>0.987050910507388</v>
      </c>
      <c r="AF78" s="70">
        <f t="shared" si="52"/>
        <v>110.411102131979</v>
      </c>
      <c r="AG78" s="70">
        <f t="shared" si="53"/>
        <v>82298.7895739519</v>
      </c>
      <c r="AH78" s="70">
        <f t="shared" si="54"/>
        <v>1799.20771166714</v>
      </c>
      <c r="AI78" s="70">
        <f t="shared" si="55"/>
        <v>0.147857693803807</v>
      </c>
      <c r="AJ78" s="48">
        <f t="shared" si="56"/>
        <v>1</v>
      </c>
      <c r="AK78" s="69">
        <f t="shared" si="66"/>
        <v>2192.28430701872</v>
      </c>
      <c r="AL78" s="70">
        <f t="shared" si="57"/>
        <v>1220.81707438903</v>
      </c>
      <c r="AM78" s="70">
        <f t="shared" si="58"/>
        <v>0.535534587552668</v>
      </c>
      <c r="AN78" s="70">
        <f t="shared" si="59"/>
        <v>86.7248461587016</v>
      </c>
      <c r="AO78" s="87">
        <f t="shared" si="60"/>
        <v>54811.7016751636</v>
      </c>
      <c r="AP78" s="87">
        <f t="shared" si="61"/>
        <v>1390.37488010356</v>
      </c>
      <c r="AQ78" s="70">
        <f t="shared" si="62"/>
        <v>0.159268288713302</v>
      </c>
      <c r="AR78" s="48">
        <f t="shared" si="63"/>
        <v>1</v>
      </c>
      <c r="AS78" s="48">
        <f t="shared" si="67"/>
        <v>1632.71351124868</v>
      </c>
      <c r="AV78" s="11"/>
    </row>
    <row r="79" ht="15.5" spans="1:48">
      <c r="A79" s="91"/>
      <c r="B79" s="27" t="s">
        <v>196</v>
      </c>
      <c r="C79" s="27">
        <v>397.2</v>
      </c>
      <c r="D79" s="28">
        <v>51.430742148326</v>
      </c>
      <c r="E79" s="27">
        <v>159</v>
      </c>
      <c r="F79" s="27">
        <v>4.64</v>
      </c>
      <c r="G79" s="27">
        <v>477</v>
      </c>
      <c r="H79" s="27">
        <v>2.088</v>
      </c>
      <c r="I79" s="27">
        <v>90</v>
      </c>
      <c r="J79" s="27">
        <v>23.85</v>
      </c>
      <c r="K79" s="27">
        <v>23.85</v>
      </c>
      <c r="L79" s="51">
        <v>2234.35718</v>
      </c>
      <c r="M79" s="51">
        <f t="shared" si="36"/>
        <v>2194.36541196778</v>
      </c>
      <c r="N79" s="48">
        <f t="shared" si="37"/>
        <v>0.982101443587361</v>
      </c>
      <c r="O79" s="49"/>
      <c r="P79" s="48">
        <f t="shared" si="38"/>
        <v>1.0151875</v>
      </c>
      <c r="Q79" s="27">
        <f t="shared" si="39"/>
        <v>154.824</v>
      </c>
      <c r="R79" s="27">
        <f t="shared" si="40"/>
        <v>2.552</v>
      </c>
      <c r="S79" s="28">
        <f t="shared" si="41"/>
        <v>1.5707963267949</v>
      </c>
      <c r="T79" s="58">
        <f t="shared" si="42"/>
        <v>74.86</v>
      </c>
      <c r="U79" s="48">
        <f t="shared" si="43"/>
        <v>50.6840969949346</v>
      </c>
      <c r="V79" s="48">
        <f t="shared" si="64"/>
        <v>50.6840969949346</v>
      </c>
      <c r="W79" s="59">
        <f t="shared" si="44"/>
        <v>1.4624499533378</v>
      </c>
      <c r="X79" s="48">
        <f t="shared" si="45"/>
        <v>5.9625</v>
      </c>
      <c r="Y79" s="48">
        <f t="shared" si="46"/>
        <v>70.8125249423426</v>
      </c>
      <c r="Z79" s="48">
        <f t="shared" si="47"/>
        <v>0</v>
      </c>
      <c r="AA79" s="48">
        <f t="shared" si="65"/>
        <v>967.387798233332</v>
      </c>
      <c r="AB79" s="69">
        <f t="shared" si="48"/>
        <v>16638.1590076999</v>
      </c>
      <c r="AC79" s="70">
        <f t="shared" si="49"/>
        <v>17605.5468059332</v>
      </c>
      <c r="AD79" s="70">
        <f t="shared" si="50"/>
        <v>2250.10416291768</v>
      </c>
      <c r="AE79" s="70">
        <f t="shared" si="51"/>
        <v>0.987050910507388</v>
      </c>
      <c r="AF79" s="70">
        <f t="shared" si="52"/>
        <v>110.411102131979</v>
      </c>
      <c r="AG79" s="70">
        <f t="shared" si="53"/>
        <v>82298.7895739519</v>
      </c>
      <c r="AH79" s="70">
        <f t="shared" si="54"/>
        <v>1799.20771166714</v>
      </c>
      <c r="AI79" s="70">
        <f t="shared" si="55"/>
        <v>0.147857693803807</v>
      </c>
      <c r="AJ79" s="48">
        <f t="shared" si="56"/>
        <v>1</v>
      </c>
      <c r="AK79" s="69">
        <f t="shared" si="66"/>
        <v>2192.28430701872</v>
      </c>
      <c r="AL79" s="70">
        <f t="shared" si="57"/>
        <v>1220.81707438903</v>
      </c>
      <c r="AM79" s="70">
        <f t="shared" si="58"/>
        <v>0.535534587552668</v>
      </c>
      <c r="AN79" s="70">
        <f t="shared" si="59"/>
        <v>86.7248461587016</v>
      </c>
      <c r="AO79" s="87">
        <f t="shared" si="60"/>
        <v>54811.7016751636</v>
      </c>
      <c r="AP79" s="87">
        <f t="shared" si="61"/>
        <v>1390.37488010356</v>
      </c>
      <c r="AQ79" s="70">
        <f t="shared" si="62"/>
        <v>0.159268288713302</v>
      </c>
      <c r="AR79" s="48">
        <f t="shared" si="63"/>
        <v>1</v>
      </c>
      <c r="AS79" s="48">
        <f t="shared" si="67"/>
        <v>1632.71351124868</v>
      </c>
      <c r="AV79" s="11"/>
    </row>
    <row r="80" s="2" customFormat="1" ht="15.5" spans="1:48">
      <c r="A80" s="91"/>
      <c r="B80" s="27" t="s">
        <v>197</v>
      </c>
      <c r="C80" s="27">
        <v>397.2</v>
      </c>
      <c r="D80" s="28">
        <v>51.430742148326</v>
      </c>
      <c r="E80" s="27">
        <v>159</v>
      </c>
      <c r="F80" s="27">
        <v>4.64</v>
      </c>
      <c r="G80" s="27">
        <v>477</v>
      </c>
      <c r="H80" s="27">
        <v>2.088</v>
      </c>
      <c r="I80" s="27">
        <v>90</v>
      </c>
      <c r="J80" s="27">
        <v>47.7</v>
      </c>
      <c r="K80" s="27">
        <v>119.25</v>
      </c>
      <c r="L80" s="51">
        <v>2276.51343</v>
      </c>
      <c r="M80" s="51">
        <f t="shared" si="36"/>
        <v>2169.0704261765</v>
      </c>
      <c r="N80" s="48">
        <f t="shared" si="37"/>
        <v>0.952803703062932</v>
      </c>
      <c r="O80" s="49"/>
      <c r="P80" s="48">
        <f t="shared" si="38"/>
        <v>1.016875</v>
      </c>
      <c r="Q80" s="27">
        <f t="shared" si="39"/>
        <v>154.824</v>
      </c>
      <c r="R80" s="27">
        <f t="shared" si="40"/>
        <v>2.552</v>
      </c>
      <c r="S80" s="28">
        <f t="shared" si="41"/>
        <v>1.5707963267949</v>
      </c>
      <c r="T80" s="58">
        <f t="shared" si="42"/>
        <v>74.86</v>
      </c>
      <c r="U80" s="48">
        <f t="shared" si="43"/>
        <v>50.6840969949346</v>
      </c>
      <c r="V80" s="48">
        <f t="shared" si="64"/>
        <v>50.6840969949346</v>
      </c>
      <c r="W80" s="59">
        <f t="shared" si="44"/>
        <v>1.4624499533378</v>
      </c>
      <c r="X80" s="48">
        <f t="shared" si="45"/>
        <v>11.925</v>
      </c>
      <c r="Y80" s="48">
        <f t="shared" si="46"/>
        <v>70.8125249423426</v>
      </c>
      <c r="Z80" s="48">
        <f t="shared" si="47"/>
        <v>0</v>
      </c>
      <c r="AA80" s="48">
        <f t="shared" si="65"/>
        <v>1862.88481595913</v>
      </c>
      <c r="AB80" s="69">
        <f t="shared" si="48"/>
        <v>15742.6619899741</v>
      </c>
      <c r="AC80" s="70">
        <f t="shared" si="49"/>
        <v>17605.5468059332</v>
      </c>
      <c r="AD80" s="70">
        <f t="shared" si="50"/>
        <v>2250.10416291768</v>
      </c>
      <c r="AE80" s="70">
        <f t="shared" si="51"/>
        <v>0.987050910507388</v>
      </c>
      <c r="AF80" s="70">
        <f t="shared" si="52"/>
        <v>110.411102131979</v>
      </c>
      <c r="AG80" s="70">
        <f t="shared" si="53"/>
        <v>82298.7895739519</v>
      </c>
      <c r="AH80" s="70">
        <f t="shared" si="54"/>
        <v>1799.20771166714</v>
      </c>
      <c r="AI80" s="70">
        <f t="shared" si="55"/>
        <v>0.147857693803807</v>
      </c>
      <c r="AJ80" s="48">
        <f t="shared" si="56"/>
        <v>1</v>
      </c>
      <c r="AK80" s="69">
        <f t="shared" si="66"/>
        <v>2192.28430701872</v>
      </c>
      <c r="AL80" s="70">
        <f t="shared" si="57"/>
        <v>1220.81707438903</v>
      </c>
      <c r="AM80" s="70">
        <f t="shared" si="58"/>
        <v>0.535534587552668</v>
      </c>
      <c r="AN80" s="70">
        <f t="shared" si="59"/>
        <v>86.7248461587016</v>
      </c>
      <c r="AO80" s="87">
        <f t="shared" si="60"/>
        <v>54811.7016751636</v>
      </c>
      <c r="AP80" s="87">
        <f t="shared" si="61"/>
        <v>1390.37488010356</v>
      </c>
      <c r="AQ80" s="70">
        <f t="shared" si="62"/>
        <v>0.159268288713302</v>
      </c>
      <c r="AR80" s="48">
        <f t="shared" si="63"/>
        <v>1</v>
      </c>
      <c r="AS80" s="48">
        <f t="shared" si="67"/>
        <v>1632.71351124868</v>
      </c>
      <c r="AT80" s="131"/>
      <c r="AU80" s="85"/>
      <c r="AV80" s="85"/>
    </row>
    <row r="81" ht="15.5" spans="1:48">
      <c r="A81" s="91"/>
      <c r="B81" s="27" t="s">
        <v>198</v>
      </c>
      <c r="C81" s="27">
        <v>397.2</v>
      </c>
      <c r="D81" s="28">
        <v>51.430742148326</v>
      </c>
      <c r="E81" s="27">
        <v>159</v>
      </c>
      <c r="F81" s="27">
        <v>4.64</v>
      </c>
      <c r="G81" s="27">
        <v>477</v>
      </c>
      <c r="H81" s="27">
        <v>2.088</v>
      </c>
      <c r="I81" s="27">
        <v>90</v>
      </c>
      <c r="J81" s="27">
        <v>47.7</v>
      </c>
      <c r="K81" s="27">
        <v>119.25</v>
      </c>
      <c r="L81" s="51">
        <v>2344.938</v>
      </c>
      <c r="M81" s="51">
        <f t="shared" si="36"/>
        <v>2169.0704261765</v>
      </c>
      <c r="N81" s="48">
        <f t="shared" si="37"/>
        <v>0.925001183901876</v>
      </c>
      <c r="O81" s="49"/>
      <c r="P81" s="48">
        <f t="shared" si="38"/>
        <v>1.016875</v>
      </c>
      <c r="Q81" s="27">
        <f t="shared" si="39"/>
        <v>154.824</v>
      </c>
      <c r="R81" s="27">
        <f t="shared" si="40"/>
        <v>2.552</v>
      </c>
      <c r="S81" s="28">
        <f t="shared" si="41"/>
        <v>1.5707963267949</v>
      </c>
      <c r="T81" s="58">
        <f t="shared" si="42"/>
        <v>74.86</v>
      </c>
      <c r="U81" s="48">
        <f t="shared" si="43"/>
        <v>50.6840969949346</v>
      </c>
      <c r="V81" s="48">
        <f t="shared" si="64"/>
        <v>50.6840969949346</v>
      </c>
      <c r="W81" s="59">
        <f t="shared" si="44"/>
        <v>1.4624499533378</v>
      </c>
      <c r="X81" s="48">
        <f t="shared" si="45"/>
        <v>11.925</v>
      </c>
      <c r="Y81" s="48">
        <f t="shared" si="46"/>
        <v>70.8125249423426</v>
      </c>
      <c r="Z81" s="48">
        <f t="shared" si="47"/>
        <v>0</v>
      </c>
      <c r="AA81" s="48">
        <f t="shared" si="65"/>
        <v>1862.88481595913</v>
      </c>
      <c r="AB81" s="69">
        <f t="shared" si="48"/>
        <v>15742.6619899741</v>
      </c>
      <c r="AC81" s="70">
        <f t="shared" si="49"/>
        <v>17605.5468059332</v>
      </c>
      <c r="AD81" s="70">
        <f t="shared" si="50"/>
        <v>2250.10416291768</v>
      </c>
      <c r="AE81" s="70">
        <f t="shared" si="51"/>
        <v>0.987050910507388</v>
      </c>
      <c r="AF81" s="70">
        <f t="shared" si="52"/>
        <v>110.411102131979</v>
      </c>
      <c r="AG81" s="70">
        <f t="shared" si="53"/>
        <v>82298.7895739519</v>
      </c>
      <c r="AH81" s="70">
        <f t="shared" si="54"/>
        <v>1799.20771166714</v>
      </c>
      <c r="AI81" s="70">
        <f t="shared" si="55"/>
        <v>0.147857693803807</v>
      </c>
      <c r="AJ81" s="48">
        <f t="shared" si="56"/>
        <v>1</v>
      </c>
      <c r="AK81" s="69">
        <f t="shared" si="66"/>
        <v>2192.28430701872</v>
      </c>
      <c r="AL81" s="70">
        <f t="shared" si="57"/>
        <v>1220.81707438903</v>
      </c>
      <c r="AM81" s="70">
        <f t="shared" si="58"/>
        <v>0.535534587552668</v>
      </c>
      <c r="AN81" s="70">
        <f t="shared" si="59"/>
        <v>86.7248461587016</v>
      </c>
      <c r="AO81" s="87">
        <f t="shared" si="60"/>
        <v>54811.7016751636</v>
      </c>
      <c r="AP81" s="87">
        <f t="shared" si="61"/>
        <v>1390.37488010356</v>
      </c>
      <c r="AQ81" s="70">
        <f t="shared" si="62"/>
        <v>0.159268288713302</v>
      </c>
      <c r="AR81" s="48">
        <f t="shared" si="63"/>
        <v>1</v>
      </c>
      <c r="AS81" s="48">
        <f t="shared" si="67"/>
        <v>1632.71351124868</v>
      </c>
      <c r="AV81" s="11"/>
    </row>
    <row r="82" ht="15.5" spans="1:48">
      <c r="A82" s="91"/>
      <c r="B82" s="27" t="s">
        <v>199</v>
      </c>
      <c r="C82" s="27">
        <v>397.2</v>
      </c>
      <c r="D82" s="28">
        <v>51.430742148326</v>
      </c>
      <c r="E82" s="27">
        <v>159</v>
      </c>
      <c r="F82" s="27">
        <v>4.64</v>
      </c>
      <c r="G82" s="27">
        <v>477</v>
      </c>
      <c r="H82" s="27">
        <v>2.088</v>
      </c>
      <c r="I82" s="27">
        <v>90</v>
      </c>
      <c r="J82" s="27">
        <v>47.7</v>
      </c>
      <c r="K82" s="27">
        <v>238.5</v>
      </c>
      <c r="L82" s="51">
        <v>2252.477</v>
      </c>
      <c r="M82" s="51">
        <f t="shared" si="36"/>
        <v>2133.07478911026</v>
      </c>
      <c r="N82" s="48">
        <f t="shared" si="37"/>
        <v>0.946990708056181</v>
      </c>
      <c r="O82" s="49"/>
      <c r="P82" s="48">
        <f t="shared" si="38"/>
        <v>1</v>
      </c>
      <c r="Q82" s="27">
        <f t="shared" si="39"/>
        <v>154.824</v>
      </c>
      <c r="R82" s="27">
        <f t="shared" si="40"/>
        <v>2.552</v>
      </c>
      <c r="S82" s="28">
        <f t="shared" si="41"/>
        <v>1.5707963267949</v>
      </c>
      <c r="T82" s="58">
        <f t="shared" si="42"/>
        <v>74.86</v>
      </c>
      <c r="U82" s="48">
        <f t="shared" si="43"/>
        <v>50.6840969949346</v>
      </c>
      <c r="V82" s="48">
        <f t="shared" si="64"/>
        <v>50.6840969949346</v>
      </c>
      <c r="W82" s="59">
        <f t="shared" si="44"/>
        <v>1.4624499533378</v>
      </c>
      <c r="X82" s="48">
        <f t="shared" si="45"/>
        <v>11.925</v>
      </c>
      <c r="Y82" s="48">
        <f t="shared" si="46"/>
        <v>70.8125249423426</v>
      </c>
      <c r="Z82" s="48">
        <f t="shared" si="47"/>
        <v>0</v>
      </c>
      <c r="AA82" s="48">
        <f t="shared" si="65"/>
        <v>1862.88481595913</v>
      </c>
      <c r="AB82" s="69">
        <f t="shared" si="48"/>
        <v>15742.6619899741</v>
      </c>
      <c r="AC82" s="70">
        <f t="shared" si="49"/>
        <v>17605.5468059332</v>
      </c>
      <c r="AD82" s="70">
        <f t="shared" si="50"/>
        <v>2250.10416291768</v>
      </c>
      <c r="AE82" s="70">
        <f t="shared" si="51"/>
        <v>0.987050910507388</v>
      </c>
      <c r="AF82" s="70">
        <f t="shared" si="52"/>
        <v>110.411102131979</v>
      </c>
      <c r="AG82" s="70">
        <f t="shared" si="53"/>
        <v>82298.7895739519</v>
      </c>
      <c r="AH82" s="70">
        <f t="shared" si="54"/>
        <v>1799.20771166714</v>
      </c>
      <c r="AI82" s="70">
        <f t="shared" si="55"/>
        <v>0.147857693803807</v>
      </c>
      <c r="AJ82" s="48">
        <f t="shared" si="56"/>
        <v>1</v>
      </c>
      <c r="AK82" s="69">
        <f t="shared" si="66"/>
        <v>2192.28430701872</v>
      </c>
      <c r="AL82" s="70">
        <f t="shared" si="57"/>
        <v>1220.81707438903</v>
      </c>
      <c r="AM82" s="70">
        <f t="shared" si="58"/>
        <v>0.535534587552668</v>
      </c>
      <c r="AN82" s="70">
        <f t="shared" si="59"/>
        <v>86.7248461587016</v>
      </c>
      <c r="AO82" s="87">
        <f t="shared" si="60"/>
        <v>54811.7016751636</v>
      </c>
      <c r="AP82" s="87">
        <f t="shared" si="61"/>
        <v>1390.37488010356</v>
      </c>
      <c r="AQ82" s="70">
        <f t="shared" si="62"/>
        <v>0.159268288713302</v>
      </c>
      <c r="AR82" s="48">
        <f t="shared" si="63"/>
        <v>1</v>
      </c>
      <c r="AS82" s="48">
        <f t="shared" si="67"/>
        <v>1632.71351124868</v>
      </c>
      <c r="AV82" s="11"/>
    </row>
    <row r="83" ht="15.5" spans="1:48">
      <c r="A83" s="92"/>
      <c r="B83" s="33" t="s">
        <v>200</v>
      </c>
      <c r="C83" s="27">
        <v>397.2</v>
      </c>
      <c r="D83" s="28">
        <v>51.430742148326</v>
      </c>
      <c r="E83" s="27">
        <v>159</v>
      </c>
      <c r="F83" s="27">
        <v>4.64</v>
      </c>
      <c r="G83" s="27">
        <v>477</v>
      </c>
      <c r="H83" s="27">
        <v>2.088</v>
      </c>
      <c r="I83" s="27">
        <v>90</v>
      </c>
      <c r="J83" s="27">
        <v>47.7</v>
      </c>
      <c r="K83" s="27">
        <v>238.5</v>
      </c>
      <c r="L83" s="51">
        <v>2241.8878</v>
      </c>
      <c r="M83" s="52">
        <f t="shared" si="36"/>
        <v>2133.07478911026</v>
      </c>
      <c r="N83" s="48">
        <f t="shared" si="37"/>
        <v>0.951463667856287</v>
      </c>
      <c r="O83" s="49"/>
      <c r="P83" s="48">
        <f t="shared" si="38"/>
        <v>1</v>
      </c>
      <c r="Q83" s="27">
        <f t="shared" si="39"/>
        <v>154.824</v>
      </c>
      <c r="R83" s="27">
        <f t="shared" si="40"/>
        <v>2.552</v>
      </c>
      <c r="S83" s="28">
        <f t="shared" si="41"/>
        <v>1.5707963267949</v>
      </c>
      <c r="T83" s="58">
        <f t="shared" si="42"/>
        <v>74.86</v>
      </c>
      <c r="U83" s="48">
        <f t="shared" si="43"/>
        <v>50.6840969949346</v>
      </c>
      <c r="V83" s="48">
        <f t="shared" si="64"/>
        <v>50.6840969949346</v>
      </c>
      <c r="W83" s="59">
        <f t="shared" si="44"/>
        <v>1.4624499533378</v>
      </c>
      <c r="X83" s="48">
        <f t="shared" si="45"/>
        <v>11.925</v>
      </c>
      <c r="Y83" s="48">
        <f t="shared" si="46"/>
        <v>70.8125249423426</v>
      </c>
      <c r="Z83" s="48">
        <f t="shared" si="47"/>
        <v>0</v>
      </c>
      <c r="AA83" s="48">
        <f t="shared" si="65"/>
        <v>1862.88481595913</v>
      </c>
      <c r="AB83" s="69">
        <f t="shared" si="48"/>
        <v>15742.6619899741</v>
      </c>
      <c r="AC83" s="70">
        <f t="shared" si="49"/>
        <v>17605.5468059332</v>
      </c>
      <c r="AD83" s="70">
        <f t="shared" si="50"/>
        <v>2250.10416291768</v>
      </c>
      <c r="AE83" s="70">
        <f t="shared" si="51"/>
        <v>0.987050910507388</v>
      </c>
      <c r="AF83" s="70">
        <f t="shared" si="52"/>
        <v>110.411102131979</v>
      </c>
      <c r="AG83" s="70">
        <f t="shared" si="53"/>
        <v>82298.7895739519</v>
      </c>
      <c r="AH83" s="70">
        <f t="shared" si="54"/>
        <v>1799.20771166714</v>
      </c>
      <c r="AI83" s="70">
        <f t="shared" si="55"/>
        <v>0.147857693803807</v>
      </c>
      <c r="AJ83" s="48">
        <f t="shared" si="56"/>
        <v>1</v>
      </c>
      <c r="AK83" s="48">
        <f t="shared" si="66"/>
        <v>2192.28430701872</v>
      </c>
      <c r="AL83" s="70">
        <f t="shared" si="57"/>
        <v>1220.81707438903</v>
      </c>
      <c r="AM83" s="70">
        <f t="shared" si="58"/>
        <v>0.535534587552668</v>
      </c>
      <c r="AN83" s="70">
        <f t="shared" si="59"/>
        <v>86.7248461587016</v>
      </c>
      <c r="AO83" s="87">
        <f t="shared" si="60"/>
        <v>54811.7016751636</v>
      </c>
      <c r="AP83" s="87">
        <f t="shared" si="61"/>
        <v>1390.37488010356</v>
      </c>
      <c r="AQ83" s="70">
        <f t="shared" si="62"/>
        <v>0.159268288713302</v>
      </c>
      <c r="AR83" s="48">
        <f t="shared" si="63"/>
        <v>1</v>
      </c>
      <c r="AS83" s="48">
        <f t="shared" si="67"/>
        <v>1632.71351124868</v>
      </c>
      <c r="AV83" s="11"/>
    </row>
    <row r="84" ht="15.5" spans="1:48">
      <c r="A84" s="25" t="s">
        <v>201</v>
      </c>
      <c r="B84" s="26" t="s">
        <v>202</v>
      </c>
      <c r="C84" s="23">
        <v>345</v>
      </c>
      <c r="D84" s="24">
        <v>30.8843821073145</v>
      </c>
      <c r="E84" s="23">
        <v>140.1</v>
      </c>
      <c r="F84" s="23">
        <v>3.94</v>
      </c>
      <c r="G84" s="23">
        <v>2099.2</v>
      </c>
      <c r="H84" s="23">
        <v>0</v>
      </c>
      <c r="I84" s="23">
        <v>0</v>
      </c>
      <c r="J84" s="23">
        <v>0</v>
      </c>
      <c r="K84" s="23">
        <v>0</v>
      </c>
      <c r="L84" s="23">
        <v>982</v>
      </c>
      <c r="M84" s="51">
        <f t="shared" si="36"/>
        <v>923.469315019006</v>
      </c>
      <c r="N84" s="53">
        <f t="shared" si="37"/>
        <v>0.940396451139517</v>
      </c>
      <c r="O84" s="49"/>
      <c r="P84" s="53">
        <f t="shared" si="38"/>
        <v>1</v>
      </c>
      <c r="Q84" s="23">
        <f t="shared" si="39"/>
        <v>140.1</v>
      </c>
      <c r="R84" s="23">
        <f t="shared" si="40"/>
        <v>3.94</v>
      </c>
      <c r="S84" s="63">
        <f t="shared" si="41"/>
        <v>0</v>
      </c>
      <c r="T84" s="46">
        <f t="shared" si="42"/>
        <v>66.11</v>
      </c>
      <c r="U84" s="53">
        <f t="shared" si="43"/>
        <v>43.8410896177797</v>
      </c>
      <c r="V84" s="53">
        <f t="shared" si="64"/>
        <v>43.8410896177797</v>
      </c>
      <c r="W84" s="60">
        <f t="shared" si="44"/>
        <v>0.6631536774736</v>
      </c>
      <c r="X84" s="53">
        <f t="shared" si="45"/>
        <v>0</v>
      </c>
      <c r="Y84" s="53">
        <f t="shared" si="46"/>
        <v>40.0608507876157</v>
      </c>
      <c r="Z84" s="53">
        <f t="shared" si="47"/>
        <v>0</v>
      </c>
      <c r="AA84" s="53">
        <f t="shared" si="65"/>
        <v>0</v>
      </c>
      <c r="AB84" s="47">
        <f t="shared" si="48"/>
        <v>13730.4315376384</v>
      </c>
      <c r="AC84" s="72">
        <f t="shared" si="49"/>
        <v>13730.4315376384</v>
      </c>
      <c r="AD84" s="72">
        <f t="shared" si="50"/>
        <v>1685.37146750837</v>
      </c>
      <c r="AE84" s="72">
        <f t="shared" si="51"/>
        <v>1.37117102809099</v>
      </c>
      <c r="AF84" s="72">
        <f t="shared" si="52"/>
        <v>78.4029209677007</v>
      </c>
      <c r="AG84" s="72">
        <f t="shared" si="53"/>
        <v>2417.60430402882</v>
      </c>
      <c r="AH84" s="72">
        <f t="shared" si="54"/>
        <v>1005.50905039713</v>
      </c>
      <c r="AI84" s="72">
        <f t="shared" si="55"/>
        <v>0.644911886967379</v>
      </c>
      <c r="AJ84" s="53">
        <f t="shared" si="56"/>
        <v>0.764054036370417</v>
      </c>
      <c r="AK84" s="53">
        <f t="shared" si="66"/>
        <v>923.469315019006</v>
      </c>
      <c r="AL84" s="72">
        <f t="shared" si="57"/>
        <v>1685.37146750837</v>
      </c>
      <c r="AM84" s="72">
        <f t="shared" si="58"/>
        <v>1.37117102809099</v>
      </c>
      <c r="AN84" s="72">
        <f t="shared" si="59"/>
        <v>78.4029209677007</v>
      </c>
      <c r="AO84" s="88">
        <f t="shared" si="60"/>
        <v>2417.60430402882</v>
      </c>
      <c r="AP84" s="88">
        <f t="shared" si="61"/>
        <v>1005.50905039713</v>
      </c>
      <c r="AQ84" s="72">
        <f t="shared" si="62"/>
        <v>0.644911886967379</v>
      </c>
      <c r="AR84" s="53">
        <f t="shared" si="63"/>
        <v>0.764054036370417</v>
      </c>
      <c r="AS84" s="53">
        <f t="shared" si="67"/>
        <v>923.469315019006</v>
      </c>
      <c r="AV84" s="11"/>
    </row>
    <row r="85" ht="15.5" spans="1:48">
      <c r="A85" s="25"/>
      <c r="B85" s="26" t="s">
        <v>203</v>
      </c>
      <c r="C85" s="27">
        <v>345</v>
      </c>
      <c r="D85" s="28">
        <v>30.8843821073145</v>
      </c>
      <c r="E85" s="27">
        <v>140</v>
      </c>
      <c r="F85" s="27">
        <v>3.88</v>
      </c>
      <c r="G85" s="27">
        <v>1679.9</v>
      </c>
      <c r="H85" s="27">
        <v>0</v>
      </c>
      <c r="I85" s="27">
        <v>0</v>
      </c>
      <c r="J85" s="27">
        <v>0</v>
      </c>
      <c r="K85" s="27">
        <v>0</v>
      </c>
      <c r="L85" s="27">
        <v>1043</v>
      </c>
      <c r="M85" s="51">
        <f t="shared" si="36"/>
        <v>999.88801621925</v>
      </c>
      <c r="N85" s="48">
        <f t="shared" si="37"/>
        <v>0.958665403853547</v>
      </c>
      <c r="O85" s="49"/>
      <c r="P85" s="48">
        <f t="shared" si="38"/>
        <v>1</v>
      </c>
      <c r="Q85" s="27">
        <f t="shared" si="39"/>
        <v>140</v>
      </c>
      <c r="R85" s="27">
        <f t="shared" si="40"/>
        <v>3.88</v>
      </c>
      <c r="S85" s="57">
        <f t="shared" si="41"/>
        <v>0</v>
      </c>
      <c r="T85" s="58">
        <f t="shared" si="42"/>
        <v>66.12</v>
      </c>
      <c r="U85" s="48">
        <f t="shared" si="43"/>
        <v>43.4904640380508</v>
      </c>
      <c r="V85" s="48">
        <f t="shared" si="64"/>
        <v>43.4904640380508</v>
      </c>
      <c r="W85" s="59">
        <f t="shared" si="44"/>
        <v>0.657750514792057</v>
      </c>
      <c r="X85" s="48">
        <f t="shared" si="45"/>
        <v>0</v>
      </c>
      <c r="Y85" s="48">
        <f t="shared" si="46"/>
        <v>39.9573266815118</v>
      </c>
      <c r="Z85" s="48">
        <f t="shared" si="47"/>
        <v>0</v>
      </c>
      <c r="AA85" s="48">
        <f t="shared" si="65"/>
        <v>0</v>
      </c>
      <c r="AB85" s="69">
        <f t="shared" si="48"/>
        <v>13734.5856656042</v>
      </c>
      <c r="AC85" s="70">
        <f t="shared" si="49"/>
        <v>13734.5856656042</v>
      </c>
      <c r="AD85" s="70">
        <f t="shared" si="50"/>
        <v>1659.21833698577</v>
      </c>
      <c r="AE85" s="70">
        <f t="shared" si="51"/>
        <v>1.3494852881129</v>
      </c>
      <c r="AF85" s="70">
        <f t="shared" si="52"/>
        <v>77.7197752743422</v>
      </c>
      <c r="AG85" s="70">
        <f t="shared" si="53"/>
        <v>3731.63180634694</v>
      </c>
      <c r="AH85" s="70">
        <f t="shared" si="54"/>
        <v>996.614518042256</v>
      </c>
      <c r="AI85" s="70">
        <f t="shared" si="55"/>
        <v>0.516790131223455</v>
      </c>
      <c r="AJ85" s="48">
        <f t="shared" si="56"/>
        <v>0.835745168225185</v>
      </c>
      <c r="AK85" s="69">
        <f t="shared" si="66"/>
        <v>999.88801621925</v>
      </c>
      <c r="AL85" s="70">
        <f t="shared" si="57"/>
        <v>1659.21833698577</v>
      </c>
      <c r="AM85" s="70">
        <f t="shared" si="58"/>
        <v>1.3494852881129</v>
      </c>
      <c r="AN85" s="70">
        <f t="shared" si="59"/>
        <v>77.7197752743422</v>
      </c>
      <c r="AO85" s="87">
        <f t="shared" si="60"/>
        <v>3731.63180634694</v>
      </c>
      <c r="AP85" s="87">
        <f t="shared" si="61"/>
        <v>996.614518042256</v>
      </c>
      <c r="AQ85" s="70">
        <f t="shared" si="62"/>
        <v>0.516790131223455</v>
      </c>
      <c r="AR85" s="48">
        <f t="shared" si="63"/>
        <v>0.835745168225185</v>
      </c>
      <c r="AS85" s="48">
        <f t="shared" si="67"/>
        <v>999.88801621925</v>
      </c>
      <c r="AV85" s="11"/>
    </row>
    <row r="86" ht="15.5" spans="1:48">
      <c r="A86" s="25"/>
      <c r="B86" s="26" t="s">
        <v>204</v>
      </c>
      <c r="C86" s="27">
        <v>345</v>
      </c>
      <c r="D86" s="28">
        <v>30.8843821073145</v>
      </c>
      <c r="E86" s="27">
        <v>140</v>
      </c>
      <c r="F86" s="27">
        <v>3.89</v>
      </c>
      <c r="G86" s="27">
        <v>1260.5</v>
      </c>
      <c r="H86" s="27">
        <v>0</v>
      </c>
      <c r="I86" s="27">
        <v>0</v>
      </c>
      <c r="J86" s="27">
        <v>0</v>
      </c>
      <c r="K86" s="27">
        <v>0</v>
      </c>
      <c r="L86" s="27">
        <v>1141</v>
      </c>
      <c r="M86" s="51">
        <f t="shared" si="36"/>
        <v>1096.10936899069</v>
      </c>
      <c r="N86" s="48">
        <f t="shared" si="37"/>
        <v>0.960656765110158</v>
      </c>
      <c r="O86" s="49"/>
      <c r="P86" s="48">
        <f t="shared" si="38"/>
        <v>1</v>
      </c>
      <c r="Q86" s="27">
        <f t="shared" si="39"/>
        <v>140</v>
      </c>
      <c r="R86" s="27">
        <f t="shared" si="40"/>
        <v>3.89</v>
      </c>
      <c r="S86" s="57">
        <f t="shared" si="41"/>
        <v>0</v>
      </c>
      <c r="T86" s="58">
        <f t="shared" si="42"/>
        <v>66.11</v>
      </c>
      <c r="U86" s="48">
        <f t="shared" si="43"/>
        <v>43.5464723858406</v>
      </c>
      <c r="V86" s="48">
        <f t="shared" si="64"/>
        <v>43.5464723858406</v>
      </c>
      <c r="W86" s="59">
        <f t="shared" si="44"/>
        <v>0.658697207469983</v>
      </c>
      <c r="X86" s="48">
        <f t="shared" si="45"/>
        <v>0</v>
      </c>
      <c r="Y86" s="48">
        <f t="shared" si="46"/>
        <v>39.9704258100381</v>
      </c>
      <c r="Z86" s="48">
        <f t="shared" si="47"/>
        <v>0</v>
      </c>
      <c r="AA86" s="48">
        <f t="shared" si="65"/>
        <v>0</v>
      </c>
      <c r="AB86" s="69">
        <f t="shared" si="48"/>
        <v>13730.4315376384</v>
      </c>
      <c r="AC86" s="70">
        <f t="shared" si="49"/>
        <v>13730.4315376384</v>
      </c>
      <c r="AD86" s="70">
        <f t="shared" si="50"/>
        <v>1663.37246495161</v>
      </c>
      <c r="AE86" s="70">
        <f t="shared" si="51"/>
        <v>1.35327325568042</v>
      </c>
      <c r="AF86" s="70">
        <f t="shared" si="52"/>
        <v>77.839104092863</v>
      </c>
      <c r="AG86" s="70">
        <f t="shared" si="53"/>
        <v>6638.12178964224</v>
      </c>
      <c r="AH86" s="70">
        <f t="shared" si="54"/>
        <v>997.919394515052</v>
      </c>
      <c r="AI86" s="70">
        <f t="shared" si="55"/>
        <v>0.387726177455222</v>
      </c>
      <c r="AJ86" s="48">
        <f t="shared" si="56"/>
        <v>0.914766198223681</v>
      </c>
      <c r="AK86" s="69">
        <f t="shared" si="66"/>
        <v>1096.10936899069</v>
      </c>
      <c r="AL86" s="70">
        <f t="shared" si="57"/>
        <v>1663.37246495161</v>
      </c>
      <c r="AM86" s="70">
        <f t="shared" si="58"/>
        <v>1.35327325568042</v>
      </c>
      <c r="AN86" s="70">
        <f t="shared" si="59"/>
        <v>77.839104092863</v>
      </c>
      <c r="AO86" s="87">
        <f t="shared" si="60"/>
        <v>6638.12178964224</v>
      </c>
      <c r="AP86" s="87">
        <f t="shared" si="61"/>
        <v>997.919394515052</v>
      </c>
      <c r="AQ86" s="70">
        <f t="shared" si="62"/>
        <v>0.387726177455222</v>
      </c>
      <c r="AR86" s="48">
        <f t="shared" si="63"/>
        <v>0.914766198223681</v>
      </c>
      <c r="AS86" s="48">
        <f t="shared" si="67"/>
        <v>1096.10936899069</v>
      </c>
      <c r="AV86" s="11"/>
    </row>
    <row r="87" ht="15.5" spans="1:48">
      <c r="A87" s="25"/>
      <c r="B87" s="26" t="s">
        <v>205</v>
      </c>
      <c r="C87" s="27">
        <v>345</v>
      </c>
      <c r="D87" s="28">
        <v>30.8843821073145</v>
      </c>
      <c r="E87" s="27">
        <v>139.8</v>
      </c>
      <c r="F87" s="27">
        <v>3.92</v>
      </c>
      <c r="G87" s="27">
        <v>2100.3</v>
      </c>
      <c r="H87" s="27">
        <v>3.92</v>
      </c>
      <c r="I87" s="28">
        <v>57.3777477241168</v>
      </c>
      <c r="J87" s="27">
        <v>70</v>
      </c>
      <c r="K87" s="27">
        <f t="shared" ref="K87:K98" si="68">G87/2</f>
        <v>1050.15</v>
      </c>
      <c r="L87" s="27">
        <v>927</v>
      </c>
      <c r="M87" s="51">
        <f t="shared" si="36"/>
        <v>843.831368503876</v>
      </c>
      <c r="N87" s="48">
        <f t="shared" si="37"/>
        <v>0.910281950921118</v>
      </c>
      <c r="O87" s="49"/>
      <c r="P87" s="48">
        <f t="shared" si="38"/>
        <v>1</v>
      </c>
      <c r="Q87" s="27">
        <f t="shared" si="39"/>
        <v>131.96</v>
      </c>
      <c r="R87" s="27">
        <f t="shared" si="40"/>
        <v>0</v>
      </c>
      <c r="S87" s="28">
        <f t="shared" si="41"/>
        <v>1.00143061516452</v>
      </c>
      <c r="T87" s="58">
        <f t="shared" si="42"/>
        <v>65.98</v>
      </c>
      <c r="U87" s="48">
        <f t="shared" si="43"/>
        <v>43.6828313764675</v>
      </c>
      <c r="V87" s="48">
        <f t="shared" si="64"/>
        <v>43.6828313764675</v>
      </c>
      <c r="W87" s="59">
        <f t="shared" si="44"/>
        <v>1.16277701380335</v>
      </c>
      <c r="X87" s="48">
        <f t="shared" si="45"/>
        <v>17.5</v>
      </c>
      <c r="Y87" s="48">
        <f t="shared" si="46"/>
        <v>52.8898313269332</v>
      </c>
      <c r="Z87" s="48">
        <f t="shared" si="47"/>
        <v>0</v>
      </c>
      <c r="AA87" s="48">
        <f t="shared" si="65"/>
        <v>1699.82188009743</v>
      </c>
      <c r="AB87" s="69">
        <f t="shared" si="48"/>
        <v>11976.6631709713</v>
      </c>
      <c r="AC87" s="70">
        <f t="shared" si="49"/>
        <v>13676.4850510687</v>
      </c>
      <c r="AD87" s="70">
        <f t="shared" si="50"/>
        <v>1673.36807029754</v>
      </c>
      <c r="AE87" s="70">
        <f t="shared" si="51"/>
        <v>1.3667754231851</v>
      </c>
      <c r="AF87" s="70">
        <f t="shared" si="52"/>
        <v>78.2644503153644</v>
      </c>
      <c r="AG87" s="70">
        <f t="shared" si="53"/>
        <v>2390.24826800237</v>
      </c>
      <c r="AH87" s="70">
        <f t="shared" si="54"/>
        <v>999.701774454834</v>
      </c>
      <c r="AI87" s="70">
        <f t="shared" si="55"/>
        <v>0.646716178263676</v>
      </c>
      <c r="AJ87" s="48">
        <f t="shared" si="56"/>
        <v>0.76308964228196</v>
      </c>
      <c r="AK87" s="69">
        <f t="shared" si="66"/>
        <v>916.736075904272</v>
      </c>
      <c r="AL87" s="70">
        <f t="shared" si="57"/>
        <v>0</v>
      </c>
      <c r="AM87" s="70">
        <f t="shared" si="58"/>
        <v>0</v>
      </c>
      <c r="AN87" s="70">
        <f t="shared" si="59"/>
        <v>35.2081956023385</v>
      </c>
      <c r="AO87" s="87">
        <f t="shared" si="60"/>
        <v>660.667128029248</v>
      </c>
      <c r="AP87" s="87">
        <f t="shared" si="61"/>
        <v>422.389790202181</v>
      </c>
      <c r="AQ87" s="70">
        <f t="shared" si="62"/>
        <v>0.799586322694484</v>
      </c>
      <c r="AR87" s="48">
        <f t="shared" si="63"/>
        <v>0.685649394190158</v>
      </c>
      <c r="AS87" s="48">
        <f t="shared" si="67"/>
        <v>330.156886291226</v>
      </c>
      <c r="AV87" s="11"/>
    </row>
    <row r="88" ht="15.5" spans="1:48">
      <c r="A88" s="25"/>
      <c r="B88" s="26" t="s">
        <v>206</v>
      </c>
      <c r="C88" s="27">
        <v>345</v>
      </c>
      <c r="D88" s="28">
        <v>30.8843821073145</v>
      </c>
      <c r="E88" s="27">
        <v>140.1</v>
      </c>
      <c r="F88" s="27">
        <v>3.93</v>
      </c>
      <c r="G88" s="27">
        <v>2101</v>
      </c>
      <c r="H88" s="27">
        <v>3.93</v>
      </c>
      <c r="I88" s="28">
        <v>57.2548831679624</v>
      </c>
      <c r="J88" s="27">
        <v>210</v>
      </c>
      <c r="K88" s="27">
        <f t="shared" si="68"/>
        <v>1050.5</v>
      </c>
      <c r="L88" s="27">
        <v>795</v>
      </c>
      <c r="M88" s="51">
        <f t="shared" si="36"/>
        <v>759.258556755784</v>
      </c>
      <c r="N88" s="48">
        <f t="shared" si="37"/>
        <v>0.955042209755703</v>
      </c>
      <c r="O88" s="49"/>
      <c r="P88" s="48">
        <f t="shared" si="38"/>
        <v>1</v>
      </c>
      <c r="Q88" s="27">
        <f t="shared" si="39"/>
        <v>132.24</v>
      </c>
      <c r="R88" s="27">
        <f t="shared" si="40"/>
        <v>0</v>
      </c>
      <c r="S88" s="28">
        <f t="shared" si="41"/>
        <v>0.999286224125625</v>
      </c>
      <c r="T88" s="58">
        <f t="shared" si="42"/>
        <v>66.12</v>
      </c>
      <c r="U88" s="48">
        <f t="shared" si="43"/>
        <v>43.7854183704115</v>
      </c>
      <c r="V88" s="48">
        <f t="shared" si="64"/>
        <v>43.7854183704115</v>
      </c>
      <c r="W88" s="59">
        <f t="shared" si="44"/>
        <v>1.1618545211737</v>
      </c>
      <c r="X88" s="48">
        <f t="shared" si="45"/>
        <v>52.5</v>
      </c>
      <c r="Y88" s="48">
        <f t="shared" si="46"/>
        <v>52.9740674578654</v>
      </c>
      <c r="Z88" s="48">
        <f t="shared" si="47"/>
        <v>0</v>
      </c>
      <c r="AA88" s="48">
        <f t="shared" si="65"/>
        <v>3782.00867451014</v>
      </c>
      <c r="AB88" s="69">
        <f t="shared" si="48"/>
        <v>9952.57699109407</v>
      </c>
      <c r="AC88" s="70">
        <f t="shared" si="49"/>
        <v>13734.5856656042</v>
      </c>
      <c r="AD88" s="70">
        <f t="shared" si="50"/>
        <v>1681.21733954254</v>
      </c>
      <c r="AE88" s="70">
        <f t="shared" si="51"/>
        <v>1.3673776472086</v>
      </c>
      <c r="AF88" s="70">
        <f t="shared" si="52"/>
        <v>78.2834216185573</v>
      </c>
      <c r="AG88" s="70">
        <f t="shared" si="53"/>
        <v>2409.80629350904</v>
      </c>
      <c r="AH88" s="70">
        <f t="shared" si="54"/>
        <v>1004.20417392434</v>
      </c>
      <c r="AI88" s="70">
        <f t="shared" si="55"/>
        <v>0.645535222775931</v>
      </c>
      <c r="AJ88" s="48">
        <f t="shared" si="56"/>
        <v>0.763720725524933</v>
      </c>
      <c r="AK88" s="69">
        <f t="shared" si="66"/>
        <v>921.659551026813</v>
      </c>
      <c r="AL88" s="70">
        <f t="shared" si="57"/>
        <v>0</v>
      </c>
      <c r="AM88" s="70">
        <f t="shared" si="58"/>
        <v>0</v>
      </c>
      <c r="AN88" s="70">
        <f t="shared" si="59"/>
        <v>35.2081956023385</v>
      </c>
      <c r="AO88" s="87">
        <f t="shared" si="60"/>
        <v>665.848450451884</v>
      </c>
      <c r="AP88" s="87">
        <f t="shared" si="61"/>
        <v>424.184191782165</v>
      </c>
      <c r="AQ88" s="70">
        <f t="shared" si="62"/>
        <v>0.79815923514883</v>
      </c>
      <c r="AR88" s="48">
        <f t="shared" si="63"/>
        <v>0.68633467361477</v>
      </c>
      <c r="AS88" s="48">
        <f t="shared" si="67"/>
        <v>331.890843454067</v>
      </c>
      <c r="AV88" s="11"/>
    </row>
    <row r="89" ht="15.5" spans="1:48">
      <c r="A89" s="25"/>
      <c r="B89" s="26" t="s">
        <v>207</v>
      </c>
      <c r="C89" s="27">
        <v>345</v>
      </c>
      <c r="D89" s="28">
        <v>30.8843821073145</v>
      </c>
      <c r="E89" s="27">
        <v>139.9</v>
      </c>
      <c r="F89" s="27">
        <v>3.92</v>
      </c>
      <c r="G89" s="27">
        <v>2099.5</v>
      </c>
      <c r="H89" s="27">
        <v>3.92</v>
      </c>
      <c r="I89" s="28">
        <v>57.3367343233133</v>
      </c>
      <c r="J89" s="27">
        <v>350</v>
      </c>
      <c r="K89" s="27">
        <f t="shared" si="68"/>
        <v>1049.75</v>
      </c>
      <c r="L89" s="27">
        <v>736</v>
      </c>
      <c r="M89" s="51">
        <f t="shared" ref="M89:M125" si="69">(AK89*AB89/AC89+AS89*AA89/AC89)*P89</f>
        <v>723.586138659562</v>
      </c>
      <c r="N89" s="48">
        <f t="shared" si="37"/>
        <v>0.983133340570058</v>
      </c>
      <c r="O89" s="49"/>
      <c r="P89" s="48">
        <f t="shared" si="38"/>
        <v>1</v>
      </c>
      <c r="Q89" s="27">
        <f t="shared" si="39"/>
        <v>132.06</v>
      </c>
      <c r="R89" s="27">
        <f t="shared" si="40"/>
        <v>0</v>
      </c>
      <c r="S89" s="28">
        <f t="shared" si="41"/>
        <v>1.00071479628306</v>
      </c>
      <c r="T89" s="58">
        <f t="shared" si="42"/>
        <v>66.03</v>
      </c>
      <c r="U89" s="48">
        <f t="shared" si="43"/>
        <v>43.6984519138437</v>
      </c>
      <c r="V89" s="48">
        <f t="shared" si="64"/>
        <v>43.6984519138437</v>
      </c>
      <c r="W89" s="59">
        <f t="shared" si="44"/>
        <v>1.16215433762122</v>
      </c>
      <c r="X89" s="48">
        <f t="shared" si="45"/>
        <v>87.5</v>
      </c>
      <c r="Y89" s="48">
        <f t="shared" si="46"/>
        <v>52.9110440209389</v>
      </c>
      <c r="Z89" s="48">
        <f t="shared" si="47"/>
        <v>10.7223515724597</v>
      </c>
      <c r="AA89" s="48">
        <f t="shared" si="65"/>
        <v>4537.00134008244</v>
      </c>
      <c r="AB89" s="69">
        <f t="shared" si="48"/>
        <v>9160.21979329631</v>
      </c>
      <c r="AC89" s="70">
        <f t="shared" si="49"/>
        <v>13697.2211333787</v>
      </c>
      <c r="AD89" s="70">
        <f t="shared" si="50"/>
        <v>1674.59957461775</v>
      </c>
      <c r="AE89" s="70">
        <f t="shared" si="51"/>
        <v>1.36571062260329</v>
      </c>
      <c r="AF89" s="70">
        <f t="shared" si="52"/>
        <v>78.2309068931669</v>
      </c>
      <c r="AG89" s="70">
        <f t="shared" si="53"/>
        <v>2397.89884926857</v>
      </c>
      <c r="AH89" s="70">
        <f t="shared" si="54"/>
        <v>1000.76706453478</v>
      </c>
      <c r="AI89" s="70">
        <f t="shared" si="55"/>
        <v>0.64602759979735</v>
      </c>
      <c r="AJ89" s="48">
        <f t="shared" si="56"/>
        <v>0.763457543906921</v>
      </c>
      <c r="AK89" s="69">
        <f t="shared" si="66"/>
        <v>918.096995208866</v>
      </c>
      <c r="AL89" s="70">
        <f t="shared" si="57"/>
        <v>0</v>
      </c>
      <c r="AM89" s="70">
        <f t="shared" si="58"/>
        <v>0</v>
      </c>
      <c r="AN89" s="70">
        <f t="shared" si="59"/>
        <v>35.2081956023385</v>
      </c>
      <c r="AO89" s="87">
        <f t="shared" si="60"/>
        <v>663.177143476148</v>
      </c>
      <c r="AP89" s="87">
        <f t="shared" si="61"/>
        <v>423.030211291653</v>
      </c>
      <c r="AQ89" s="70">
        <f t="shared" si="62"/>
        <v>0.7986765205132</v>
      </c>
      <c r="AR89" s="48">
        <f t="shared" si="63"/>
        <v>0.686086196986943</v>
      </c>
      <c r="AS89" s="48">
        <f t="shared" si="67"/>
        <v>330.868115318267</v>
      </c>
      <c r="AV89" s="11"/>
    </row>
    <row r="90" ht="15.5" spans="1:48">
      <c r="A90" s="25"/>
      <c r="B90" s="26" t="s">
        <v>208</v>
      </c>
      <c r="C90" s="27">
        <v>345</v>
      </c>
      <c r="D90" s="28">
        <v>30.8843821073145</v>
      </c>
      <c r="E90" s="27">
        <v>140.1</v>
      </c>
      <c r="F90" s="27">
        <v>3.94</v>
      </c>
      <c r="G90" s="27">
        <v>2101.5</v>
      </c>
      <c r="H90" s="27">
        <v>2</v>
      </c>
      <c r="I90" s="28">
        <v>57.2548831679624</v>
      </c>
      <c r="J90" s="27">
        <v>210</v>
      </c>
      <c r="K90" s="27">
        <f t="shared" si="68"/>
        <v>1050.75</v>
      </c>
      <c r="L90" s="27">
        <v>934</v>
      </c>
      <c r="M90" s="51">
        <f t="shared" si="69"/>
        <v>835.471625603226</v>
      </c>
      <c r="N90" s="48">
        <f t="shared" si="37"/>
        <v>0.894509235121227</v>
      </c>
      <c r="O90" s="49"/>
      <c r="P90" s="48">
        <f t="shared" si="38"/>
        <v>1</v>
      </c>
      <c r="Q90" s="27">
        <f t="shared" si="39"/>
        <v>136.1</v>
      </c>
      <c r="R90" s="27">
        <f t="shared" si="40"/>
        <v>1.94</v>
      </c>
      <c r="S90" s="28">
        <f t="shared" si="41"/>
        <v>0.999286224125625</v>
      </c>
      <c r="T90" s="58">
        <f t="shared" si="42"/>
        <v>66.11</v>
      </c>
      <c r="U90" s="48">
        <f t="shared" si="43"/>
        <v>43.8410896177797</v>
      </c>
      <c r="V90" s="48">
        <f t="shared" si="64"/>
        <v>43.8410896177797</v>
      </c>
      <c r="W90" s="59">
        <f t="shared" si="44"/>
        <v>1.16279678953641</v>
      </c>
      <c r="X90" s="48">
        <f t="shared" si="45"/>
        <v>52.5</v>
      </c>
      <c r="Y90" s="48">
        <f t="shared" si="46"/>
        <v>52.9946398730796</v>
      </c>
      <c r="Z90" s="48">
        <f t="shared" si="47"/>
        <v>0</v>
      </c>
      <c r="AA90" s="48">
        <f t="shared" si="65"/>
        <v>3783.54108067105</v>
      </c>
      <c r="AB90" s="69">
        <f t="shared" si="48"/>
        <v>9946.89045696732</v>
      </c>
      <c r="AC90" s="70">
        <f t="shared" si="49"/>
        <v>13730.4315376384</v>
      </c>
      <c r="AD90" s="70">
        <f t="shared" si="50"/>
        <v>1685.37146750837</v>
      </c>
      <c r="AE90" s="70">
        <f t="shared" si="51"/>
        <v>1.37117102809099</v>
      </c>
      <c r="AF90" s="70">
        <f t="shared" si="52"/>
        <v>78.4029209677007</v>
      </c>
      <c r="AG90" s="70">
        <f t="shared" si="53"/>
        <v>2412.31527519936</v>
      </c>
      <c r="AH90" s="70">
        <f t="shared" si="54"/>
        <v>1005.50905039713</v>
      </c>
      <c r="AI90" s="70">
        <f t="shared" si="55"/>
        <v>0.645618488215485</v>
      </c>
      <c r="AJ90" s="48">
        <f t="shared" si="56"/>
        <v>0.763676212742842</v>
      </c>
      <c r="AK90" s="69">
        <f t="shared" si="66"/>
        <v>923.012660764273</v>
      </c>
      <c r="AL90" s="70">
        <f t="shared" si="57"/>
        <v>817.663576586874</v>
      </c>
      <c r="AM90" s="70">
        <f t="shared" si="58"/>
        <v>0.665228187705514</v>
      </c>
      <c r="AN90" s="70">
        <f t="shared" si="59"/>
        <v>56.164260370745</v>
      </c>
      <c r="AO90" s="87">
        <f t="shared" si="60"/>
        <v>1487.54694789671</v>
      </c>
      <c r="AP90" s="87">
        <f t="shared" si="61"/>
        <v>706.149828029217</v>
      </c>
      <c r="AQ90" s="70">
        <f t="shared" si="62"/>
        <v>0.688990269110228</v>
      </c>
      <c r="AR90" s="48">
        <f t="shared" si="63"/>
        <v>0.740839236819867</v>
      </c>
      <c r="AS90" s="48">
        <f t="shared" si="67"/>
        <v>605.327147541423</v>
      </c>
      <c r="AV90" s="11"/>
    </row>
    <row r="91" ht="15.5" spans="1:48">
      <c r="A91" s="25"/>
      <c r="B91" s="26" t="s">
        <v>209</v>
      </c>
      <c r="C91" s="27">
        <v>345</v>
      </c>
      <c r="D91" s="28">
        <v>30.8843821073145</v>
      </c>
      <c r="E91" s="27">
        <v>140.1</v>
      </c>
      <c r="F91" s="27">
        <v>3.95</v>
      </c>
      <c r="G91" s="27">
        <v>2099.4</v>
      </c>
      <c r="H91" s="27">
        <v>3.95</v>
      </c>
      <c r="I91" s="28">
        <v>81.7926902399462</v>
      </c>
      <c r="J91" s="27">
        <v>210</v>
      </c>
      <c r="K91" s="27">
        <f t="shared" si="68"/>
        <v>1049.7</v>
      </c>
      <c r="L91" s="27">
        <v>658</v>
      </c>
      <c r="M91" s="51">
        <f t="shared" si="69"/>
        <v>722.616166365633</v>
      </c>
      <c r="N91" s="48">
        <f t="shared" si="37"/>
        <v>1.09820086073804</v>
      </c>
      <c r="O91" s="49"/>
      <c r="P91" s="48">
        <f t="shared" si="38"/>
        <v>1</v>
      </c>
      <c r="Q91" s="27">
        <f t="shared" si="39"/>
        <v>132.2</v>
      </c>
      <c r="R91" s="27">
        <f t="shared" si="40"/>
        <v>0</v>
      </c>
      <c r="S91" s="28">
        <f t="shared" si="41"/>
        <v>1.42755174875089</v>
      </c>
      <c r="T91" s="58">
        <f t="shared" si="42"/>
        <v>66.1</v>
      </c>
      <c r="U91" s="48">
        <f t="shared" si="43"/>
        <v>43.896690261071</v>
      </c>
      <c r="V91" s="48">
        <f t="shared" si="64"/>
        <v>43.896690261071</v>
      </c>
      <c r="W91" s="59">
        <f t="shared" si="44"/>
        <v>1.37787103717531</v>
      </c>
      <c r="X91" s="48">
        <f t="shared" si="45"/>
        <v>52.5</v>
      </c>
      <c r="Y91" s="48">
        <f t="shared" si="46"/>
        <v>59.7632993863072</v>
      </c>
      <c r="Z91" s="48">
        <f t="shared" si="47"/>
        <v>0</v>
      </c>
      <c r="AA91" s="48">
        <f t="shared" si="65"/>
        <v>4681.05551023931</v>
      </c>
      <c r="AB91" s="69">
        <f t="shared" si="48"/>
        <v>9045.22252775174</v>
      </c>
      <c r="AC91" s="70">
        <f t="shared" si="49"/>
        <v>13726.2780379911</v>
      </c>
      <c r="AD91" s="70">
        <f t="shared" si="50"/>
        <v>1689.52496715569</v>
      </c>
      <c r="AE91" s="70">
        <f t="shared" si="51"/>
        <v>1.37496613075909</v>
      </c>
      <c r="AF91" s="70">
        <f t="shared" si="52"/>
        <v>78.5224745566575</v>
      </c>
      <c r="AG91" s="70">
        <f t="shared" si="53"/>
        <v>2420.80490636801</v>
      </c>
      <c r="AH91" s="70">
        <f t="shared" si="54"/>
        <v>1006.81372950527</v>
      </c>
      <c r="AI91" s="70">
        <f t="shared" si="55"/>
        <v>0.644903403819609</v>
      </c>
      <c r="AJ91" s="48">
        <f t="shared" si="56"/>
        <v>0.764058573492194</v>
      </c>
      <c r="AK91" s="69">
        <f t="shared" si="66"/>
        <v>924.882969871751</v>
      </c>
      <c r="AL91" s="70">
        <f t="shared" si="57"/>
        <v>0</v>
      </c>
      <c r="AM91" s="70">
        <f t="shared" si="58"/>
        <v>0</v>
      </c>
      <c r="AN91" s="70">
        <f t="shared" si="59"/>
        <v>35.2081956023385</v>
      </c>
      <c r="AO91" s="87">
        <f t="shared" si="60"/>
        <v>666.057266699016</v>
      </c>
      <c r="AP91" s="87">
        <f t="shared" si="61"/>
        <v>423.927615836555</v>
      </c>
      <c r="AQ91" s="70">
        <f t="shared" si="62"/>
        <v>0.797792719882748</v>
      </c>
      <c r="AR91" s="48">
        <f t="shared" si="63"/>
        <v>0.686510782700002</v>
      </c>
      <c r="AS91" s="48">
        <f t="shared" si="67"/>
        <v>331.775202465953</v>
      </c>
      <c r="AV91" s="11"/>
    </row>
    <row r="92" ht="16.5" spans="1:48">
      <c r="A92" s="25"/>
      <c r="B92" s="35" t="s">
        <v>210</v>
      </c>
      <c r="C92" s="27">
        <v>345</v>
      </c>
      <c r="D92" s="28">
        <v>30.8843821073145</v>
      </c>
      <c r="E92" s="27">
        <v>139.9</v>
      </c>
      <c r="F92" s="27">
        <v>4.01</v>
      </c>
      <c r="G92" s="27">
        <v>2100.3</v>
      </c>
      <c r="H92" s="27">
        <v>4.01</v>
      </c>
      <c r="I92" s="28">
        <v>57.3367343233133</v>
      </c>
      <c r="J92" s="27">
        <v>210</v>
      </c>
      <c r="K92" s="27">
        <f t="shared" si="68"/>
        <v>1050.15</v>
      </c>
      <c r="L92" s="27">
        <v>796</v>
      </c>
      <c r="M92" s="51">
        <f t="shared" si="69"/>
        <v>764.163856856704</v>
      </c>
      <c r="N92" s="48">
        <f t="shared" si="37"/>
        <v>0.960004845297367</v>
      </c>
      <c r="O92" s="49"/>
      <c r="P92" s="48">
        <f t="shared" si="38"/>
        <v>1</v>
      </c>
      <c r="Q92" s="27">
        <f t="shared" si="39"/>
        <v>131.88</v>
      </c>
      <c r="R92" s="27">
        <f t="shared" si="40"/>
        <v>0</v>
      </c>
      <c r="S92" s="28">
        <f t="shared" si="41"/>
        <v>1.00071479628306</v>
      </c>
      <c r="T92" s="58">
        <f t="shared" si="42"/>
        <v>65.94</v>
      </c>
      <c r="U92" s="48">
        <f t="shared" si="43"/>
        <v>44.1972455787767</v>
      </c>
      <c r="V92" s="48">
        <f t="shared" si="64"/>
        <v>44.1972455787767</v>
      </c>
      <c r="W92" s="59">
        <f t="shared" si="44"/>
        <v>1.17062196560857</v>
      </c>
      <c r="X92" s="48">
        <f t="shared" si="45"/>
        <v>52.5</v>
      </c>
      <c r="Y92" s="48">
        <f t="shared" si="46"/>
        <v>53.0955825567051</v>
      </c>
      <c r="Z92" s="48">
        <f t="shared" si="47"/>
        <v>0</v>
      </c>
      <c r="AA92" s="48">
        <f t="shared" si="65"/>
        <v>3789.76426041035</v>
      </c>
      <c r="AB92" s="69">
        <f t="shared" si="48"/>
        <v>9870.14323454391</v>
      </c>
      <c r="AC92" s="70">
        <f t="shared" si="49"/>
        <v>13659.9074949543</v>
      </c>
      <c r="AD92" s="70">
        <f t="shared" si="50"/>
        <v>1711.91321304223</v>
      </c>
      <c r="AE92" s="70">
        <f t="shared" si="51"/>
        <v>1.39995528284507</v>
      </c>
      <c r="AF92" s="70">
        <f t="shared" si="52"/>
        <v>79.3096845686501</v>
      </c>
      <c r="AG92" s="70">
        <f t="shared" si="53"/>
        <v>2428.81617414742</v>
      </c>
      <c r="AH92" s="70">
        <f t="shared" si="54"/>
        <v>1012.48786112431</v>
      </c>
      <c r="AI92" s="70">
        <f t="shared" si="55"/>
        <v>0.645650645256255</v>
      </c>
      <c r="AJ92" s="48">
        <f t="shared" si="56"/>
        <v>0.763659022639341</v>
      </c>
      <c r="AK92" s="69">
        <f t="shared" si="66"/>
        <v>931.002871040744</v>
      </c>
      <c r="AL92" s="70">
        <f t="shared" si="57"/>
        <v>0</v>
      </c>
      <c r="AM92" s="70">
        <f t="shared" si="58"/>
        <v>0</v>
      </c>
      <c r="AN92" s="70">
        <f t="shared" si="59"/>
        <v>35.2081956023385</v>
      </c>
      <c r="AO92" s="87">
        <f t="shared" si="60"/>
        <v>659.066481573299</v>
      </c>
      <c r="AP92" s="87">
        <f t="shared" si="61"/>
        <v>421.877802624737</v>
      </c>
      <c r="AQ92" s="70">
        <f t="shared" si="62"/>
        <v>0.800071361410102</v>
      </c>
      <c r="AR92" s="48">
        <f t="shared" si="63"/>
        <v>0.685416637154989</v>
      </c>
      <c r="AS92" s="48">
        <f t="shared" si="67"/>
        <v>329.644753832537</v>
      </c>
      <c r="AV92" s="11"/>
    </row>
    <row r="93" ht="15.5" spans="1:48">
      <c r="A93" s="25"/>
      <c r="B93" s="26" t="s">
        <v>211</v>
      </c>
      <c r="C93" s="27">
        <v>345</v>
      </c>
      <c r="D93" s="28">
        <v>30.8843821073145</v>
      </c>
      <c r="E93" s="27">
        <v>140.1</v>
      </c>
      <c r="F93" s="27">
        <v>3.93</v>
      </c>
      <c r="G93" s="27">
        <v>1681</v>
      </c>
      <c r="H93" s="27">
        <v>3.93</v>
      </c>
      <c r="I93" s="28">
        <v>57.2548831679624</v>
      </c>
      <c r="J93" s="27">
        <v>210</v>
      </c>
      <c r="K93" s="27">
        <f t="shared" si="68"/>
        <v>840.5</v>
      </c>
      <c r="L93" s="27">
        <v>830</v>
      </c>
      <c r="M93" s="51">
        <f t="shared" si="69"/>
        <v>833.196325649429</v>
      </c>
      <c r="N93" s="48">
        <f t="shared" si="37"/>
        <v>1.00385099475835</v>
      </c>
      <c r="O93" s="49"/>
      <c r="P93" s="48">
        <f t="shared" si="38"/>
        <v>1</v>
      </c>
      <c r="Q93" s="27">
        <f t="shared" si="39"/>
        <v>132.24</v>
      </c>
      <c r="R93" s="27">
        <f t="shared" si="40"/>
        <v>0</v>
      </c>
      <c r="S93" s="28">
        <f t="shared" si="41"/>
        <v>0.999286224125625</v>
      </c>
      <c r="T93" s="58">
        <f t="shared" si="42"/>
        <v>66.12</v>
      </c>
      <c r="U93" s="48">
        <f t="shared" si="43"/>
        <v>43.7854183704115</v>
      </c>
      <c r="V93" s="48">
        <f t="shared" si="64"/>
        <v>43.7854183704115</v>
      </c>
      <c r="W93" s="59">
        <f t="shared" si="44"/>
        <v>1.1618545211737</v>
      </c>
      <c r="X93" s="48">
        <f t="shared" si="45"/>
        <v>52.5</v>
      </c>
      <c r="Y93" s="48">
        <f t="shared" si="46"/>
        <v>52.9740674578654</v>
      </c>
      <c r="Z93" s="48">
        <f t="shared" si="47"/>
        <v>0</v>
      </c>
      <c r="AA93" s="48">
        <f t="shared" si="65"/>
        <v>3782.00867451014</v>
      </c>
      <c r="AB93" s="69">
        <f t="shared" si="48"/>
        <v>9952.57699109407</v>
      </c>
      <c r="AC93" s="70">
        <f t="shared" si="49"/>
        <v>13734.5856656042</v>
      </c>
      <c r="AD93" s="70">
        <f t="shared" si="50"/>
        <v>1681.21733954254</v>
      </c>
      <c r="AE93" s="70">
        <f t="shared" si="51"/>
        <v>1.3673776472086</v>
      </c>
      <c r="AF93" s="70">
        <f t="shared" si="52"/>
        <v>78.2834216185573</v>
      </c>
      <c r="AG93" s="70">
        <f t="shared" si="53"/>
        <v>3764.42641490696</v>
      </c>
      <c r="AH93" s="70">
        <f t="shared" si="54"/>
        <v>1004.20417392434</v>
      </c>
      <c r="AI93" s="70">
        <f t="shared" si="55"/>
        <v>0.516489628503731</v>
      </c>
      <c r="AJ93" s="48">
        <f t="shared" si="56"/>
        <v>0.835920987303709</v>
      </c>
      <c r="AK93" s="69">
        <f t="shared" si="66"/>
        <v>1008.79095735248</v>
      </c>
      <c r="AL93" s="70">
        <f t="shared" si="57"/>
        <v>0</v>
      </c>
      <c r="AM93" s="70">
        <f t="shared" si="58"/>
        <v>0</v>
      </c>
      <c r="AN93" s="70">
        <f t="shared" si="59"/>
        <v>35.2081956023385</v>
      </c>
      <c r="AO93" s="87">
        <f t="shared" si="60"/>
        <v>1040.14065444075</v>
      </c>
      <c r="AP93" s="87">
        <f t="shared" si="61"/>
        <v>424.184191782165</v>
      </c>
      <c r="AQ93" s="70">
        <f t="shared" si="62"/>
        <v>0.638603367103847</v>
      </c>
      <c r="AR93" s="48">
        <f t="shared" si="63"/>
        <v>0.767435532202727</v>
      </c>
      <c r="AS93" s="48">
        <f t="shared" si="67"/>
        <v>371.108783908455</v>
      </c>
      <c r="AV93" s="11"/>
    </row>
    <row r="94" ht="15.5" spans="1:48">
      <c r="A94" s="25"/>
      <c r="B94" s="32" t="s">
        <v>212</v>
      </c>
      <c r="C94" s="33">
        <v>345</v>
      </c>
      <c r="D94" s="34">
        <v>30.8843821073145</v>
      </c>
      <c r="E94" s="33">
        <v>139.9</v>
      </c>
      <c r="F94" s="33">
        <v>4.02</v>
      </c>
      <c r="G94" s="33">
        <v>1260.4</v>
      </c>
      <c r="H94" s="33">
        <v>4.02</v>
      </c>
      <c r="I94" s="34">
        <v>57.3367343233133</v>
      </c>
      <c r="J94" s="33">
        <v>210</v>
      </c>
      <c r="K94" s="33">
        <f t="shared" si="68"/>
        <v>630.2</v>
      </c>
      <c r="L94" s="33">
        <v>855</v>
      </c>
      <c r="M94" s="52">
        <f t="shared" si="69"/>
        <v>921.449261176362</v>
      </c>
      <c r="N94" s="48">
        <f t="shared" si="37"/>
        <v>1.0777184341244</v>
      </c>
      <c r="O94" s="49"/>
      <c r="P94" s="54">
        <f t="shared" si="38"/>
        <v>1</v>
      </c>
      <c r="Q94" s="33">
        <f t="shared" si="39"/>
        <v>131.86</v>
      </c>
      <c r="R94" s="33">
        <f t="shared" si="40"/>
        <v>0</v>
      </c>
      <c r="S94" s="34">
        <f t="shared" si="41"/>
        <v>1.00071479628306</v>
      </c>
      <c r="T94" s="52">
        <f t="shared" si="42"/>
        <v>65.93</v>
      </c>
      <c r="U94" s="54">
        <f t="shared" si="43"/>
        <v>44.2523200494623</v>
      </c>
      <c r="V94" s="48">
        <f t="shared" si="64"/>
        <v>44.2523200494623</v>
      </c>
      <c r="W94" s="62">
        <f t="shared" si="44"/>
        <v>1.17155897632236</v>
      </c>
      <c r="X94" s="54">
        <f t="shared" si="45"/>
        <v>52.5</v>
      </c>
      <c r="Y94" s="54">
        <f t="shared" si="46"/>
        <v>53.1159842333365</v>
      </c>
      <c r="Z94" s="54">
        <f t="shared" si="47"/>
        <v>0</v>
      </c>
      <c r="AA94" s="48">
        <f t="shared" si="65"/>
        <v>3791.26941626</v>
      </c>
      <c r="AB94" s="73">
        <f t="shared" si="48"/>
        <v>9864.49526046197</v>
      </c>
      <c r="AC94" s="74">
        <f t="shared" si="49"/>
        <v>13655.764676722</v>
      </c>
      <c r="AD94" s="74">
        <f t="shared" si="50"/>
        <v>1716.05603127452</v>
      </c>
      <c r="AE94" s="74">
        <f t="shared" si="51"/>
        <v>1.40376890432299</v>
      </c>
      <c r="AF94" s="74">
        <f t="shared" si="52"/>
        <v>79.4298215384456</v>
      </c>
      <c r="AG94" s="74">
        <f t="shared" si="53"/>
        <v>6754.43614921471</v>
      </c>
      <c r="AH94" s="74">
        <f t="shared" si="54"/>
        <v>1013.78918503316</v>
      </c>
      <c r="AI94" s="74">
        <f t="shared" si="55"/>
        <v>0.387417537792827</v>
      </c>
      <c r="AJ94" s="54">
        <f t="shared" si="56"/>
        <v>0.914963852765737</v>
      </c>
      <c r="AK94" s="48">
        <f t="shared" si="66"/>
        <v>1117.15345754943</v>
      </c>
      <c r="AL94" s="74">
        <f t="shared" si="57"/>
        <v>0</v>
      </c>
      <c r="AM94" s="74">
        <f t="shared" si="58"/>
        <v>0</v>
      </c>
      <c r="AN94" s="74">
        <f t="shared" si="59"/>
        <v>35.2081956023385</v>
      </c>
      <c r="AO94" s="89">
        <f t="shared" si="60"/>
        <v>1828.99127019455</v>
      </c>
      <c r="AP94" s="89">
        <f t="shared" si="61"/>
        <v>421.74985424345</v>
      </c>
      <c r="AQ94" s="74">
        <f t="shared" si="62"/>
        <v>0.480199445568793</v>
      </c>
      <c r="AR94" s="54">
        <f t="shared" si="63"/>
        <v>0.857428011470396</v>
      </c>
      <c r="AS94" s="48">
        <f t="shared" si="67"/>
        <v>412.246958302555</v>
      </c>
      <c r="AV94" s="11"/>
    </row>
    <row r="95" ht="15.5" spans="1:48">
      <c r="A95" s="93" t="s">
        <v>213</v>
      </c>
      <c r="B95" s="22" t="s">
        <v>214</v>
      </c>
      <c r="C95" s="23">
        <v>310</v>
      </c>
      <c r="D95" s="24">
        <v>28.5421776085365</v>
      </c>
      <c r="E95" s="94">
        <v>140</v>
      </c>
      <c r="F95" s="94">
        <v>4</v>
      </c>
      <c r="G95" s="23">
        <v>420</v>
      </c>
      <c r="H95" s="23">
        <v>4</v>
      </c>
      <c r="I95" s="24">
        <v>4.91106681540706</v>
      </c>
      <c r="J95" s="94">
        <v>50</v>
      </c>
      <c r="K95" s="23">
        <f t="shared" si="68"/>
        <v>210</v>
      </c>
      <c r="L95" s="94">
        <v>1011</v>
      </c>
      <c r="M95" s="51">
        <f t="shared" si="69"/>
        <v>1080.59016738907</v>
      </c>
      <c r="N95" s="53">
        <f t="shared" si="37"/>
        <v>1.06883300434131</v>
      </c>
      <c r="O95" s="49"/>
      <c r="P95" s="48">
        <f t="shared" si="38"/>
        <v>1</v>
      </c>
      <c r="Q95" s="27">
        <f t="shared" si="39"/>
        <v>132</v>
      </c>
      <c r="R95" s="27">
        <f t="shared" si="40"/>
        <v>0</v>
      </c>
      <c r="S95" s="28">
        <f t="shared" si="41"/>
        <v>0.0857142857142858</v>
      </c>
      <c r="T95" s="58">
        <f t="shared" si="42"/>
        <v>66</v>
      </c>
      <c r="U95" s="48">
        <f t="shared" si="43"/>
        <v>44.1578758809164</v>
      </c>
      <c r="V95" s="53">
        <f t="shared" si="64"/>
        <v>44.1578758809164</v>
      </c>
      <c r="W95" s="59">
        <f t="shared" si="44"/>
        <v>0.711915868325574</v>
      </c>
      <c r="X95" s="48">
        <f t="shared" si="45"/>
        <v>12.5</v>
      </c>
      <c r="Y95" s="48">
        <f t="shared" si="46"/>
        <v>41.0153153098809</v>
      </c>
      <c r="Z95" s="48">
        <f t="shared" si="47"/>
        <v>0</v>
      </c>
      <c r="AA95" s="53">
        <f t="shared" si="65"/>
        <v>581.144497036165</v>
      </c>
      <c r="AB95" s="69">
        <f t="shared" si="48"/>
        <v>13103.633102001</v>
      </c>
      <c r="AC95" s="70">
        <f t="shared" si="49"/>
        <v>13684.7775990371</v>
      </c>
      <c r="AD95" s="70">
        <f t="shared" si="50"/>
        <v>1709.02640355285</v>
      </c>
      <c r="AE95" s="70">
        <f t="shared" si="51"/>
        <v>1.35639324466456</v>
      </c>
      <c r="AF95" s="70">
        <f t="shared" si="52"/>
        <v>72.0267877078914</v>
      </c>
      <c r="AG95" s="70">
        <f t="shared" si="53"/>
        <v>60489.0581800956</v>
      </c>
      <c r="AH95" s="70">
        <f t="shared" si="54"/>
        <v>920.391537866422</v>
      </c>
      <c r="AI95" s="70">
        <f t="shared" si="55"/>
        <v>0.123352483370323</v>
      </c>
      <c r="AJ95" s="48">
        <f t="shared" si="56"/>
        <v>1</v>
      </c>
      <c r="AK95" s="53">
        <f t="shared" si="66"/>
        <v>1108.76625291144</v>
      </c>
      <c r="AL95" s="70">
        <f t="shared" si="57"/>
        <v>0</v>
      </c>
      <c r="AM95" s="70">
        <f t="shared" si="58"/>
        <v>0</v>
      </c>
      <c r="AN95" s="70">
        <f t="shared" si="59"/>
        <v>32.5380824737316</v>
      </c>
      <c r="AO95" s="87">
        <f t="shared" si="60"/>
        <v>16236.0001465488</v>
      </c>
      <c r="AP95" s="87">
        <f t="shared" si="61"/>
        <v>390.59335276504</v>
      </c>
      <c r="AQ95" s="70">
        <f t="shared" si="62"/>
        <v>0.155103965252095</v>
      </c>
      <c r="AR95" s="48">
        <f t="shared" si="63"/>
        <v>1</v>
      </c>
      <c r="AS95" s="53">
        <f t="shared" si="67"/>
        <v>445.276422152145</v>
      </c>
      <c r="AV95" s="11"/>
    </row>
    <row r="96" ht="15.5" spans="1:48">
      <c r="A96" s="91"/>
      <c r="B96" s="26" t="s">
        <v>215</v>
      </c>
      <c r="C96" s="27">
        <v>310</v>
      </c>
      <c r="D96" s="28">
        <v>28.5421776085365</v>
      </c>
      <c r="E96" s="95">
        <v>140</v>
      </c>
      <c r="F96" s="95">
        <v>4</v>
      </c>
      <c r="G96" s="27">
        <v>420</v>
      </c>
      <c r="H96" s="27">
        <v>4</v>
      </c>
      <c r="I96" s="28">
        <v>4.91106681540706</v>
      </c>
      <c r="J96" s="95">
        <v>100</v>
      </c>
      <c r="K96" s="27">
        <f t="shared" si="68"/>
        <v>210</v>
      </c>
      <c r="L96" s="27">
        <v>930</v>
      </c>
      <c r="M96" s="51">
        <f t="shared" si="69"/>
        <v>1056.44242872328</v>
      </c>
      <c r="N96" s="48">
        <f t="shared" si="37"/>
        <v>1.13595960077772</v>
      </c>
      <c r="O96" s="49"/>
      <c r="P96" s="48">
        <f t="shared" si="38"/>
        <v>1</v>
      </c>
      <c r="Q96" s="27">
        <f t="shared" si="39"/>
        <v>132</v>
      </c>
      <c r="R96" s="27">
        <f t="shared" si="40"/>
        <v>0</v>
      </c>
      <c r="S96" s="28">
        <f t="shared" si="41"/>
        <v>0.0857142857142858</v>
      </c>
      <c r="T96" s="58">
        <f t="shared" si="42"/>
        <v>66</v>
      </c>
      <c r="U96" s="48">
        <f t="shared" si="43"/>
        <v>44.1578758809164</v>
      </c>
      <c r="V96" s="48">
        <f t="shared" si="64"/>
        <v>44.1578758809164</v>
      </c>
      <c r="W96" s="59">
        <f t="shared" si="44"/>
        <v>0.711915868325574</v>
      </c>
      <c r="X96" s="48">
        <f t="shared" si="45"/>
        <v>25</v>
      </c>
      <c r="Y96" s="48">
        <f t="shared" si="46"/>
        <v>41.0153153098809</v>
      </c>
      <c r="Z96" s="48">
        <f t="shared" si="47"/>
        <v>0</v>
      </c>
      <c r="AA96" s="48">
        <f t="shared" si="65"/>
        <v>1079.20251969318</v>
      </c>
      <c r="AB96" s="69">
        <f t="shared" si="48"/>
        <v>12605.575079344</v>
      </c>
      <c r="AC96" s="70">
        <f t="shared" si="49"/>
        <v>13684.7775990371</v>
      </c>
      <c r="AD96" s="70">
        <f t="shared" si="50"/>
        <v>1709.02640355285</v>
      </c>
      <c r="AE96" s="70">
        <f t="shared" si="51"/>
        <v>1.35639324466456</v>
      </c>
      <c r="AF96" s="70">
        <f t="shared" si="52"/>
        <v>72.0267877078914</v>
      </c>
      <c r="AG96" s="70">
        <f t="shared" si="53"/>
        <v>60489.0581800956</v>
      </c>
      <c r="AH96" s="70">
        <f t="shared" si="54"/>
        <v>920.391537866422</v>
      </c>
      <c r="AI96" s="70">
        <f t="shared" si="55"/>
        <v>0.123352483370323</v>
      </c>
      <c r="AJ96" s="48">
        <f t="shared" si="56"/>
        <v>1</v>
      </c>
      <c r="AK96" s="69">
        <f t="shared" si="66"/>
        <v>1108.76625291144</v>
      </c>
      <c r="AL96" s="70">
        <f t="shared" si="57"/>
        <v>0</v>
      </c>
      <c r="AM96" s="70">
        <f t="shared" si="58"/>
        <v>0</v>
      </c>
      <c r="AN96" s="70">
        <f t="shared" si="59"/>
        <v>32.5380824737316</v>
      </c>
      <c r="AO96" s="87">
        <f t="shared" si="60"/>
        <v>16236.0001465488</v>
      </c>
      <c r="AP96" s="87">
        <f t="shared" si="61"/>
        <v>390.59335276504</v>
      </c>
      <c r="AQ96" s="70">
        <f t="shared" si="62"/>
        <v>0.155103965252095</v>
      </c>
      <c r="AR96" s="48">
        <f t="shared" si="63"/>
        <v>1</v>
      </c>
      <c r="AS96" s="48">
        <f t="shared" si="67"/>
        <v>445.276422152145</v>
      </c>
      <c r="AV96" s="11"/>
    </row>
    <row r="97" s="1" customFormat="1" ht="15.5" spans="1:55">
      <c r="A97" s="91"/>
      <c r="B97" s="26" t="s">
        <v>216</v>
      </c>
      <c r="C97" s="27">
        <v>310</v>
      </c>
      <c r="D97" s="28">
        <v>28.5421776085365</v>
      </c>
      <c r="E97" s="95">
        <v>140</v>
      </c>
      <c r="F97" s="95">
        <v>4</v>
      </c>
      <c r="G97" s="27">
        <v>420</v>
      </c>
      <c r="H97" s="27">
        <v>4</v>
      </c>
      <c r="I97" s="28">
        <v>4.91106681540706</v>
      </c>
      <c r="J97" s="27">
        <v>140</v>
      </c>
      <c r="K97" s="27">
        <f t="shared" si="68"/>
        <v>210</v>
      </c>
      <c r="L97" s="27">
        <v>914</v>
      </c>
      <c r="M97" s="51">
        <f t="shared" si="69"/>
        <v>1040.02464752738</v>
      </c>
      <c r="N97" s="48">
        <f t="shared" si="37"/>
        <v>1.13788254652886</v>
      </c>
      <c r="O97" s="49"/>
      <c r="P97" s="48">
        <f t="shared" si="38"/>
        <v>1</v>
      </c>
      <c r="Q97" s="27">
        <f t="shared" si="39"/>
        <v>132</v>
      </c>
      <c r="R97" s="27">
        <f t="shared" si="40"/>
        <v>0</v>
      </c>
      <c r="S97" s="28">
        <f t="shared" si="41"/>
        <v>0.0857142857142858</v>
      </c>
      <c r="T97" s="58">
        <f t="shared" si="42"/>
        <v>66</v>
      </c>
      <c r="U97" s="48">
        <f t="shared" si="43"/>
        <v>44.1578758809164</v>
      </c>
      <c r="V97" s="48">
        <f t="shared" si="64"/>
        <v>44.1578758809164</v>
      </c>
      <c r="W97" s="59">
        <f t="shared" si="44"/>
        <v>0.711915868325574</v>
      </c>
      <c r="X97" s="48">
        <f t="shared" si="45"/>
        <v>35</v>
      </c>
      <c r="Y97" s="48">
        <f t="shared" si="46"/>
        <v>41.0153153098809</v>
      </c>
      <c r="Z97" s="48">
        <f t="shared" si="47"/>
        <v>0</v>
      </c>
      <c r="AA97" s="48">
        <f t="shared" si="65"/>
        <v>1417.8266762658</v>
      </c>
      <c r="AB97" s="69">
        <f t="shared" si="48"/>
        <v>12266.9509227713</v>
      </c>
      <c r="AC97" s="70">
        <f t="shared" si="49"/>
        <v>13684.7775990371</v>
      </c>
      <c r="AD97" s="70">
        <f t="shared" si="50"/>
        <v>1709.02640355285</v>
      </c>
      <c r="AE97" s="70">
        <f t="shared" si="51"/>
        <v>1.35639324466456</v>
      </c>
      <c r="AF97" s="70">
        <f t="shared" si="52"/>
        <v>72.0267877078914</v>
      </c>
      <c r="AG97" s="70">
        <f t="shared" si="53"/>
        <v>60489.0581800956</v>
      </c>
      <c r="AH97" s="70">
        <f t="shared" si="54"/>
        <v>920.391537866422</v>
      </c>
      <c r="AI97" s="70">
        <f t="shared" si="55"/>
        <v>0.123352483370323</v>
      </c>
      <c r="AJ97" s="48">
        <f t="shared" si="56"/>
        <v>1</v>
      </c>
      <c r="AK97" s="69">
        <f t="shared" si="66"/>
        <v>1108.76625291144</v>
      </c>
      <c r="AL97" s="70">
        <f t="shared" si="57"/>
        <v>0</v>
      </c>
      <c r="AM97" s="70">
        <f t="shared" si="58"/>
        <v>0</v>
      </c>
      <c r="AN97" s="70">
        <f t="shared" si="59"/>
        <v>32.5380824737316</v>
      </c>
      <c r="AO97" s="87">
        <f t="shared" si="60"/>
        <v>16236.0001465488</v>
      </c>
      <c r="AP97" s="87">
        <f t="shared" si="61"/>
        <v>390.59335276504</v>
      </c>
      <c r="AQ97" s="70">
        <f t="shared" si="62"/>
        <v>0.155103965252095</v>
      </c>
      <c r="AR97" s="48">
        <f t="shared" si="63"/>
        <v>1</v>
      </c>
      <c r="AS97" s="48">
        <f t="shared" si="67"/>
        <v>445.276422152145</v>
      </c>
      <c r="AT97" s="9"/>
      <c r="AU97" s="11"/>
      <c r="AV97" s="11"/>
      <c r="AW97" s="2"/>
      <c r="AX97" s="2"/>
      <c r="AY97" s="2"/>
      <c r="AZ97" s="2"/>
      <c r="BA97" s="2"/>
      <c r="BB97" s="2"/>
      <c r="BC97" s="2"/>
    </row>
    <row r="98" ht="15.5" spans="1:48">
      <c r="A98" s="92"/>
      <c r="B98" s="32" t="s">
        <v>217</v>
      </c>
      <c r="C98" s="33">
        <v>310</v>
      </c>
      <c r="D98" s="34">
        <v>28.5421776085365</v>
      </c>
      <c r="E98" s="96">
        <v>140</v>
      </c>
      <c r="F98" s="96">
        <v>4</v>
      </c>
      <c r="G98" s="33">
        <v>420</v>
      </c>
      <c r="H98" s="33">
        <v>4</v>
      </c>
      <c r="I98" s="34">
        <v>4.91106681540706</v>
      </c>
      <c r="J98" s="33">
        <v>280</v>
      </c>
      <c r="K98" s="33">
        <f t="shared" si="68"/>
        <v>210</v>
      </c>
      <c r="L98" s="33">
        <v>887</v>
      </c>
      <c r="M98" s="52">
        <f t="shared" si="69"/>
        <v>993.232701477584</v>
      </c>
      <c r="N98" s="54">
        <f t="shared" si="37"/>
        <v>1.11976629253392</v>
      </c>
      <c r="O98" s="49"/>
      <c r="P98" s="54">
        <f t="shared" si="38"/>
        <v>1</v>
      </c>
      <c r="Q98" s="33">
        <f t="shared" si="39"/>
        <v>132</v>
      </c>
      <c r="R98" s="33">
        <f t="shared" si="40"/>
        <v>0</v>
      </c>
      <c r="S98" s="34">
        <f t="shared" si="41"/>
        <v>0.0857142857142858</v>
      </c>
      <c r="T98" s="52">
        <f t="shared" si="42"/>
        <v>66</v>
      </c>
      <c r="U98" s="54">
        <f t="shared" si="43"/>
        <v>44.1578758809164</v>
      </c>
      <c r="V98" s="48">
        <f t="shared" si="64"/>
        <v>44.1578758809164</v>
      </c>
      <c r="W98" s="62">
        <f t="shared" si="44"/>
        <v>0.711915868325574</v>
      </c>
      <c r="X98" s="54">
        <f t="shared" si="45"/>
        <v>70</v>
      </c>
      <c r="Y98" s="54">
        <f t="shared" si="46"/>
        <v>41.0153153098809</v>
      </c>
      <c r="Z98" s="54">
        <f t="shared" si="47"/>
        <v>2.52330719319522</v>
      </c>
      <c r="AA98" s="48">
        <f t="shared" si="65"/>
        <v>2382.93170942798</v>
      </c>
      <c r="AB98" s="73">
        <f t="shared" si="48"/>
        <v>11301.8458896092</v>
      </c>
      <c r="AC98" s="74">
        <f t="shared" si="49"/>
        <v>13684.7775990371</v>
      </c>
      <c r="AD98" s="74">
        <f t="shared" si="50"/>
        <v>1709.02640355285</v>
      </c>
      <c r="AE98" s="74">
        <f t="shared" si="51"/>
        <v>1.35639324466456</v>
      </c>
      <c r="AF98" s="74">
        <f t="shared" si="52"/>
        <v>72.0267877078914</v>
      </c>
      <c r="AG98" s="74">
        <f t="shared" si="53"/>
        <v>60489.0581800956</v>
      </c>
      <c r="AH98" s="74">
        <f t="shared" si="54"/>
        <v>920.391537866422</v>
      </c>
      <c r="AI98" s="74">
        <f t="shared" si="55"/>
        <v>0.123352483370323</v>
      </c>
      <c r="AJ98" s="54">
        <f t="shared" si="56"/>
        <v>1</v>
      </c>
      <c r="AK98" s="48">
        <f t="shared" si="66"/>
        <v>1108.76625291144</v>
      </c>
      <c r="AL98" s="74">
        <f t="shared" si="57"/>
        <v>0</v>
      </c>
      <c r="AM98" s="74">
        <f t="shared" si="58"/>
        <v>0</v>
      </c>
      <c r="AN98" s="74">
        <f t="shared" si="59"/>
        <v>32.5380824737316</v>
      </c>
      <c r="AO98" s="89">
        <f t="shared" si="60"/>
        <v>16236.0001465488</v>
      </c>
      <c r="AP98" s="89">
        <f t="shared" si="61"/>
        <v>390.59335276504</v>
      </c>
      <c r="AQ98" s="74">
        <f t="shared" si="62"/>
        <v>0.155103965252095</v>
      </c>
      <c r="AR98" s="54">
        <f t="shared" si="63"/>
        <v>1</v>
      </c>
      <c r="AS98" s="48">
        <f t="shared" si="67"/>
        <v>445.276422152145</v>
      </c>
      <c r="AV98" s="11"/>
    </row>
    <row r="99" ht="15.5" spans="1:48">
      <c r="A99" s="93" t="s">
        <v>218</v>
      </c>
      <c r="B99" s="22" t="s">
        <v>219</v>
      </c>
      <c r="C99" s="23">
        <v>340.26</v>
      </c>
      <c r="D99" s="24">
        <v>46.3921424798962</v>
      </c>
      <c r="E99" s="23">
        <v>114.6</v>
      </c>
      <c r="F99" s="97">
        <v>3.7</v>
      </c>
      <c r="G99" s="23">
        <v>342</v>
      </c>
      <c r="H99" s="23">
        <v>0</v>
      </c>
      <c r="I99" s="23">
        <v>0</v>
      </c>
      <c r="J99" s="23">
        <v>0</v>
      </c>
      <c r="K99" s="23">
        <v>0</v>
      </c>
      <c r="L99" s="111">
        <v>1114</v>
      </c>
      <c r="M99" s="51">
        <f t="shared" si="69"/>
        <v>1056.81488065456</v>
      </c>
      <c r="N99" s="53">
        <f t="shared" si="37"/>
        <v>0.948666858756338</v>
      </c>
      <c r="O99" s="49"/>
      <c r="P99" s="48">
        <f t="shared" si="38"/>
        <v>1</v>
      </c>
      <c r="Q99" s="27">
        <f t="shared" si="39"/>
        <v>114.6</v>
      </c>
      <c r="R99" s="27">
        <f t="shared" si="40"/>
        <v>3.7</v>
      </c>
      <c r="S99" s="57">
        <f t="shared" si="41"/>
        <v>0</v>
      </c>
      <c r="T99" s="58">
        <f t="shared" si="42"/>
        <v>53.6</v>
      </c>
      <c r="U99" s="48">
        <f t="shared" si="43"/>
        <v>38.4244209767081</v>
      </c>
      <c r="V99" s="53">
        <f t="shared" si="64"/>
        <v>38.4244209767081</v>
      </c>
      <c r="W99" s="59">
        <f t="shared" si="44"/>
        <v>0.716873525684853</v>
      </c>
      <c r="X99" s="48">
        <f t="shared" si="45"/>
        <v>0</v>
      </c>
      <c r="Y99" s="48">
        <f t="shared" si="46"/>
        <v>33.3964555029798</v>
      </c>
      <c r="Z99" s="48">
        <f t="shared" si="47"/>
        <v>0</v>
      </c>
      <c r="AA99" s="53">
        <f t="shared" si="65"/>
        <v>0</v>
      </c>
      <c r="AB99" s="69">
        <f t="shared" si="48"/>
        <v>9025.67003005733</v>
      </c>
      <c r="AC99" s="70">
        <f t="shared" si="49"/>
        <v>9025.67003005733</v>
      </c>
      <c r="AD99" s="70">
        <f t="shared" si="50"/>
        <v>1289.0897135475</v>
      </c>
      <c r="AE99" s="70">
        <f t="shared" si="51"/>
        <v>1.04753889911776</v>
      </c>
      <c r="AF99" s="70">
        <f t="shared" si="52"/>
        <v>102.456567765409</v>
      </c>
      <c r="AG99" s="70">
        <f t="shared" si="53"/>
        <v>45483.8114483211</v>
      </c>
      <c r="AH99" s="70">
        <f t="shared" si="54"/>
        <v>857.345835942621</v>
      </c>
      <c r="AI99" s="70">
        <f t="shared" si="55"/>
        <v>0.137293379749329</v>
      </c>
      <c r="AJ99" s="48">
        <f t="shared" si="56"/>
        <v>1</v>
      </c>
      <c r="AK99" s="53">
        <f t="shared" si="66"/>
        <v>1056.81488065456</v>
      </c>
      <c r="AL99" s="70">
        <f t="shared" si="57"/>
        <v>1289.0897135475</v>
      </c>
      <c r="AM99" s="70">
        <f t="shared" si="58"/>
        <v>1.04753889911776</v>
      </c>
      <c r="AN99" s="70">
        <f t="shared" si="59"/>
        <v>102.456567765409</v>
      </c>
      <c r="AO99" s="87">
        <f t="shared" si="60"/>
        <v>45483.8114483211</v>
      </c>
      <c r="AP99" s="87">
        <f t="shared" si="61"/>
        <v>857.345835942621</v>
      </c>
      <c r="AQ99" s="70">
        <f t="shared" si="62"/>
        <v>0.137293379749329</v>
      </c>
      <c r="AR99" s="48">
        <f t="shared" si="63"/>
        <v>1</v>
      </c>
      <c r="AS99" s="53">
        <f t="shared" si="67"/>
        <v>1056.81488065456</v>
      </c>
      <c r="AV99" s="11"/>
    </row>
    <row r="100" ht="15.5" spans="1:48">
      <c r="A100" s="98"/>
      <c r="B100" s="99" t="s">
        <v>220</v>
      </c>
      <c r="C100" s="27">
        <v>340.26</v>
      </c>
      <c r="D100" s="28">
        <v>46.3921424798962</v>
      </c>
      <c r="E100" s="27">
        <v>114.6</v>
      </c>
      <c r="F100" s="100">
        <v>3.7</v>
      </c>
      <c r="G100" s="27">
        <v>342</v>
      </c>
      <c r="H100" s="28">
        <v>1.07869178521191</v>
      </c>
      <c r="I100" s="27">
        <v>360</v>
      </c>
      <c r="J100" s="27">
        <v>114.6</v>
      </c>
      <c r="K100" s="27">
        <v>57</v>
      </c>
      <c r="L100" s="112">
        <v>989</v>
      </c>
      <c r="M100" s="51">
        <f t="shared" si="69"/>
        <v>955.365405546076</v>
      </c>
      <c r="N100" s="48">
        <f t="shared" si="37"/>
        <v>0.965991309955587</v>
      </c>
      <c r="O100" s="49"/>
      <c r="P100" s="48">
        <f t="shared" si="38"/>
        <v>1.0488454554233</v>
      </c>
      <c r="Q100" s="28">
        <f t="shared" si="39"/>
        <v>112.442616429576</v>
      </c>
      <c r="R100" s="28">
        <f t="shared" si="40"/>
        <v>2.62130821478809</v>
      </c>
      <c r="S100" s="28">
        <f t="shared" si="41"/>
        <v>6.28318530717959</v>
      </c>
      <c r="T100" s="58">
        <f t="shared" si="42"/>
        <v>53.6</v>
      </c>
      <c r="U100" s="48">
        <f t="shared" si="43"/>
        <v>38.4244209767081</v>
      </c>
      <c r="V100" s="48">
        <f t="shared" si="64"/>
        <v>0</v>
      </c>
      <c r="W100" s="59">
        <f t="shared" si="44"/>
        <v>3.14159265358979</v>
      </c>
      <c r="X100" s="48">
        <f t="shared" si="45"/>
        <v>28.65</v>
      </c>
      <c r="Y100" s="48">
        <f t="shared" si="46"/>
        <v>80.4</v>
      </c>
      <c r="Z100" s="48">
        <f t="shared" si="47"/>
        <v>0</v>
      </c>
      <c r="AA100" s="48">
        <f t="shared" si="65"/>
        <v>7070.02074921605</v>
      </c>
      <c r="AB100" s="69">
        <f t="shared" si="48"/>
        <v>1955.64928084128</v>
      </c>
      <c r="AC100" s="70">
        <f t="shared" si="49"/>
        <v>9025.67003005733</v>
      </c>
      <c r="AD100" s="70">
        <f t="shared" si="50"/>
        <v>1289.0897135475</v>
      </c>
      <c r="AE100" s="70">
        <f t="shared" si="51"/>
        <v>1.04753889911776</v>
      </c>
      <c r="AF100" s="70">
        <f t="shared" si="52"/>
        <v>102.456567765409</v>
      </c>
      <c r="AG100" s="70">
        <f t="shared" si="53"/>
        <v>45483.8114483211</v>
      </c>
      <c r="AH100" s="70">
        <f t="shared" si="54"/>
        <v>857.345835942621</v>
      </c>
      <c r="AI100" s="70">
        <f t="shared" si="55"/>
        <v>0.137293379749329</v>
      </c>
      <c r="AJ100" s="48">
        <f t="shared" si="56"/>
        <v>1</v>
      </c>
      <c r="AK100" s="69">
        <f t="shared" si="66"/>
        <v>1056.81488065456</v>
      </c>
      <c r="AL100" s="70">
        <f t="shared" si="57"/>
        <v>904.387547724424</v>
      </c>
      <c r="AM100" s="70">
        <f t="shared" si="58"/>
        <v>0.734922578438641</v>
      </c>
      <c r="AN100" s="70">
        <f t="shared" si="59"/>
        <v>87.6635680571121</v>
      </c>
      <c r="AO100" s="87">
        <f t="shared" si="60"/>
        <v>35024.4262250309</v>
      </c>
      <c r="AP100" s="87">
        <f t="shared" si="61"/>
        <v>726.447076999661</v>
      </c>
      <c r="AQ100" s="70">
        <f t="shared" si="62"/>
        <v>0.14401790056037</v>
      </c>
      <c r="AR100" s="48">
        <f t="shared" si="63"/>
        <v>1</v>
      </c>
      <c r="AS100" s="48">
        <f t="shared" si="67"/>
        <v>870.504278280913</v>
      </c>
      <c r="AV100" s="11"/>
    </row>
    <row r="101" ht="15.5" spans="1:48">
      <c r="A101" s="98"/>
      <c r="B101" s="99" t="s">
        <v>221</v>
      </c>
      <c r="C101" s="27">
        <v>340.26</v>
      </c>
      <c r="D101" s="28">
        <v>46.3921424798962</v>
      </c>
      <c r="E101" s="27">
        <v>114.6</v>
      </c>
      <c r="F101" s="100">
        <v>3.7</v>
      </c>
      <c r="G101" s="27">
        <v>342</v>
      </c>
      <c r="H101" s="28">
        <v>2.17848882002237</v>
      </c>
      <c r="I101" s="27">
        <v>360</v>
      </c>
      <c r="J101" s="27">
        <v>114.6</v>
      </c>
      <c r="K101" s="27">
        <v>57</v>
      </c>
      <c r="L101" s="112">
        <v>884</v>
      </c>
      <c r="M101" s="51">
        <f t="shared" si="69"/>
        <v>850.184938801227</v>
      </c>
      <c r="N101" s="48">
        <f t="shared" si="37"/>
        <v>0.96174766832718</v>
      </c>
      <c r="O101" s="49"/>
      <c r="P101" s="48">
        <f t="shared" si="38"/>
        <v>1.09864660138081</v>
      </c>
      <c r="Q101" s="28">
        <f t="shared" si="39"/>
        <v>110.243022359955</v>
      </c>
      <c r="R101" s="28">
        <f t="shared" si="40"/>
        <v>1.52151117997763</v>
      </c>
      <c r="S101" s="28">
        <f t="shared" si="41"/>
        <v>6.28318530717959</v>
      </c>
      <c r="T101" s="58">
        <f t="shared" si="42"/>
        <v>53.6</v>
      </c>
      <c r="U101" s="48">
        <f t="shared" si="43"/>
        <v>38.4244209767081</v>
      </c>
      <c r="V101" s="48">
        <f t="shared" si="64"/>
        <v>0</v>
      </c>
      <c r="W101" s="59">
        <f t="shared" si="44"/>
        <v>3.14159265358979</v>
      </c>
      <c r="X101" s="48">
        <f t="shared" si="45"/>
        <v>28.65</v>
      </c>
      <c r="Y101" s="48">
        <f t="shared" si="46"/>
        <v>80.4</v>
      </c>
      <c r="Z101" s="48">
        <f t="shared" si="47"/>
        <v>0</v>
      </c>
      <c r="AA101" s="48">
        <f t="shared" si="65"/>
        <v>7070.02074921605</v>
      </c>
      <c r="AB101" s="69">
        <f t="shared" si="48"/>
        <v>1955.64928084128</v>
      </c>
      <c r="AC101" s="70">
        <f t="shared" si="49"/>
        <v>9025.67003005733</v>
      </c>
      <c r="AD101" s="70">
        <f t="shared" si="50"/>
        <v>1289.0897135475</v>
      </c>
      <c r="AE101" s="70">
        <f t="shared" si="51"/>
        <v>1.04753889911776</v>
      </c>
      <c r="AF101" s="70">
        <f t="shared" si="52"/>
        <v>102.456567765409</v>
      </c>
      <c r="AG101" s="70">
        <f t="shared" si="53"/>
        <v>45483.8114483211</v>
      </c>
      <c r="AH101" s="70">
        <f t="shared" si="54"/>
        <v>857.345835942621</v>
      </c>
      <c r="AI101" s="70">
        <f t="shared" si="55"/>
        <v>0.137293379749329</v>
      </c>
      <c r="AJ101" s="48">
        <f t="shared" si="56"/>
        <v>1</v>
      </c>
      <c r="AK101" s="69">
        <f t="shared" si="66"/>
        <v>1056.81488065456</v>
      </c>
      <c r="AL101" s="70">
        <f t="shared" si="57"/>
        <v>519.68538190135</v>
      </c>
      <c r="AM101" s="70">
        <f t="shared" si="58"/>
        <v>0.422306257759519</v>
      </c>
      <c r="AN101" s="70">
        <f t="shared" si="59"/>
        <v>72.8705683488157</v>
      </c>
      <c r="AO101" s="87">
        <f t="shared" si="60"/>
        <v>24962.5499626467</v>
      </c>
      <c r="AP101" s="87">
        <f t="shared" si="61"/>
        <v>595.548318056702</v>
      </c>
      <c r="AQ101" s="70">
        <f t="shared" si="62"/>
        <v>0.15445928767768</v>
      </c>
      <c r="AR101" s="48">
        <f t="shared" si="63"/>
        <v>1</v>
      </c>
      <c r="AS101" s="48">
        <f t="shared" si="67"/>
        <v>695.575473960873</v>
      </c>
      <c r="AV101" s="11"/>
    </row>
    <row r="102" ht="15.5" spans="1:48">
      <c r="A102" s="98"/>
      <c r="B102" s="99" t="s">
        <v>222</v>
      </c>
      <c r="C102" s="27">
        <v>340.26</v>
      </c>
      <c r="D102" s="28">
        <v>46.3921424798962</v>
      </c>
      <c r="E102" s="27">
        <v>114.6</v>
      </c>
      <c r="F102" s="100">
        <v>3.7</v>
      </c>
      <c r="G102" s="27">
        <v>342</v>
      </c>
      <c r="H102" s="28">
        <v>2.73669966492589</v>
      </c>
      <c r="I102" s="27">
        <v>360</v>
      </c>
      <c r="J102" s="27">
        <v>114.6</v>
      </c>
      <c r="K102" s="27">
        <v>57</v>
      </c>
      <c r="L102" s="112">
        <v>830</v>
      </c>
      <c r="M102" s="51">
        <f t="shared" si="69"/>
        <v>796.499842466933</v>
      </c>
      <c r="N102" s="48">
        <f t="shared" si="37"/>
        <v>0.959638364417992</v>
      </c>
      <c r="O102" s="49"/>
      <c r="P102" s="48">
        <f t="shared" si="38"/>
        <v>1.12392357420598</v>
      </c>
      <c r="Q102" s="28">
        <f t="shared" si="39"/>
        <v>109.126600670148</v>
      </c>
      <c r="R102" s="28">
        <f t="shared" si="40"/>
        <v>0.96330033507411</v>
      </c>
      <c r="S102" s="28">
        <f t="shared" si="41"/>
        <v>6.28318530717959</v>
      </c>
      <c r="T102" s="58">
        <f t="shared" si="42"/>
        <v>53.6</v>
      </c>
      <c r="U102" s="48">
        <f t="shared" si="43"/>
        <v>38.4244209767081</v>
      </c>
      <c r="V102" s="48">
        <f t="shared" si="64"/>
        <v>0</v>
      </c>
      <c r="W102" s="59">
        <f t="shared" si="44"/>
        <v>3.14159265358979</v>
      </c>
      <c r="X102" s="48">
        <f t="shared" si="45"/>
        <v>28.65</v>
      </c>
      <c r="Y102" s="48">
        <f t="shared" si="46"/>
        <v>80.4</v>
      </c>
      <c r="Z102" s="48">
        <f t="shared" si="47"/>
        <v>0</v>
      </c>
      <c r="AA102" s="48">
        <f t="shared" si="65"/>
        <v>7070.02074921605</v>
      </c>
      <c r="AB102" s="69">
        <f t="shared" si="48"/>
        <v>1955.64928084128</v>
      </c>
      <c r="AC102" s="70">
        <f t="shared" si="49"/>
        <v>9025.67003005733</v>
      </c>
      <c r="AD102" s="70">
        <f t="shared" si="50"/>
        <v>1289.0897135475</v>
      </c>
      <c r="AE102" s="70">
        <f t="shared" si="51"/>
        <v>1.04753889911776</v>
      </c>
      <c r="AF102" s="70">
        <f t="shared" si="52"/>
        <v>102.456567765409</v>
      </c>
      <c r="AG102" s="70">
        <f t="shared" si="53"/>
        <v>45483.8114483211</v>
      </c>
      <c r="AH102" s="70">
        <f t="shared" si="54"/>
        <v>857.345835942621</v>
      </c>
      <c r="AI102" s="70">
        <f t="shared" si="55"/>
        <v>0.137293379749329</v>
      </c>
      <c r="AJ102" s="48">
        <f t="shared" si="56"/>
        <v>1</v>
      </c>
      <c r="AK102" s="69">
        <f t="shared" si="66"/>
        <v>1056.81488065456</v>
      </c>
      <c r="AL102" s="70">
        <f t="shared" si="57"/>
        <v>327.334298989814</v>
      </c>
      <c r="AM102" s="70">
        <f t="shared" si="58"/>
        <v>0.265998097419959</v>
      </c>
      <c r="AN102" s="70">
        <f t="shared" si="59"/>
        <v>65.4740684946675</v>
      </c>
      <c r="AO102" s="87">
        <f t="shared" si="60"/>
        <v>20080.6776917944</v>
      </c>
      <c r="AP102" s="87">
        <f t="shared" si="61"/>
        <v>530.098938585223</v>
      </c>
      <c r="AQ102" s="70">
        <f t="shared" si="62"/>
        <v>0.162476024674248</v>
      </c>
      <c r="AR102" s="48">
        <f t="shared" si="63"/>
        <v>1</v>
      </c>
      <c r="AS102" s="48">
        <f t="shared" si="67"/>
        <v>612.379246070954</v>
      </c>
      <c r="AV102" s="11"/>
    </row>
    <row r="103" s="1" customFormat="1" ht="15.5" spans="1:55">
      <c r="A103" s="98"/>
      <c r="B103" s="99" t="s">
        <v>223</v>
      </c>
      <c r="C103" s="27">
        <v>340.26</v>
      </c>
      <c r="D103" s="28">
        <v>46.3921424798962</v>
      </c>
      <c r="E103" s="27">
        <v>114.6</v>
      </c>
      <c r="F103" s="100">
        <v>3.7</v>
      </c>
      <c r="G103" s="27">
        <v>342</v>
      </c>
      <c r="H103" s="28">
        <v>1.07869178521191</v>
      </c>
      <c r="I103" s="27">
        <v>360</v>
      </c>
      <c r="J103" s="27">
        <v>114.6</v>
      </c>
      <c r="K103" s="27">
        <v>171</v>
      </c>
      <c r="L103" s="112">
        <v>956</v>
      </c>
      <c r="M103" s="51">
        <f t="shared" si="69"/>
        <v>910.873380445267</v>
      </c>
      <c r="N103" s="48">
        <f t="shared" si="37"/>
        <v>0.952796423059902</v>
      </c>
      <c r="O103" s="49"/>
      <c r="P103" s="48">
        <f t="shared" si="38"/>
        <v>1</v>
      </c>
      <c r="Q103" s="28">
        <f t="shared" si="39"/>
        <v>112.442616429576</v>
      </c>
      <c r="R103" s="28">
        <f t="shared" si="40"/>
        <v>2.62130821478809</v>
      </c>
      <c r="S103" s="28">
        <f t="shared" si="41"/>
        <v>6.28318530717959</v>
      </c>
      <c r="T103" s="58">
        <f t="shared" si="42"/>
        <v>53.6</v>
      </c>
      <c r="U103" s="48">
        <f t="shared" si="43"/>
        <v>38.4244209767081</v>
      </c>
      <c r="V103" s="48">
        <f t="shared" si="64"/>
        <v>0</v>
      </c>
      <c r="W103" s="59">
        <f t="shared" si="44"/>
        <v>3.14159265358979</v>
      </c>
      <c r="X103" s="48">
        <f t="shared" si="45"/>
        <v>28.65</v>
      </c>
      <c r="Y103" s="48">
        <f t="shared" si="46"/>
        <v>80.4</v>
      </c>
      <c r="Z103" s="48">
        <f t="shared" si="47"/>
        <v>0</v>
      </c>
      <c r="AA103" s="48">
        <f t="shared" si="65"/>
        <v>7070.02074921605</v>
      </c>
      <c r="AB103" s="69">
        <f t="shared" si="48"/>
        <v>1955.64928084128</v>
      </c>
      <c r="AC103" s="70">
        <f t="shared" si="49"/>
        <v>9025.67003005733</v>
      </c>
      <c r="AD103" s="70">
        <f t="shared" si="50"/>
        <v>1289.0897135475</v>
      </c>
      <c r="AE103" s="70">
        <f t="shared" si="51"/>
        <v>1.04753889911776</v>
      </c>
      <c r="AF103" s="70">
        <f t="shared" si="52"/>
        <v>102.456567765409</v>
      </c>
      <c r="AG103" s="70">
        <f t="shared" si="53"/>
        <v>45483.8114483211</v>
      </c>
      <c r="AH103" s="70">
        <f t="shared" si="54"/>
        <v>857.345835942621</v>
      </c>
      <c r="AI103" s="70">
        <f t="shared" si="55"/>
        <v>0.137293379749329</v>
      </c>
      <c r="AJ103" s="48">
        <f t="shared" si="56"/>
        <v>1</v>
      </c>
      <c r="AK103" s="69">
        <f t="shared" si="66"/>
        <v>1056.81488065456</v>
      </c>
      <c r="AL103" s="70">
        <f t="shared" si="57"/>
        <v>904.387547724424</v>
      </c>
      <c r="AM103" s="70">
        <f t="shared" si="58"/>
        <v>0.734922578438641</v>
      </c>
      <c r="AN103" s="70">
        <f t="shared" si="59"/>
        <v>87.6635680571121</v>
      </c>
      <c r="AO103" s="87">
        <f t="shared" si="60"/>
        <v>35024.4262250309</v>
      </c>
      <c r="AP103" s="87">
        <f t="shared" si="61"/>
        <v>726.447076999661</v>
      </c>
      <c r="AQ103" s="70">
        <f t="shared" si="62"/>
        <v>0.14401790056037</v>
      </c>
      <c r="AR103" s="48">
        <f t="shared" si="63"/>
        <v>1</v>
      </c>
      <c r="AS103" s="48">
        <f t="shared" si="67"/>
        <v>870.504278280913</v>
      </c>
      <c r="AT103" s="9"/>
      <c r="AU103" s="11"/>
      <c r="AV103" s="11"/>
      <c r="AW103" s="2"/>
      <c r="AX103" s="2"/>
      <c r="AY103" s="2"/>
      <c r="AZ103" s="2"/>
      <c r="BA103" s="2"/>
      <c r="BB103" s="2"/>
      <c r="BC103" s="2"/>
    </row>
    <row r="104" ht="15.5" spans="1:48">
      <c r="A104" s="98"/>
      <c r="B104" s="99" t="s">
        <v>224</v>
      </c>
      <c r="C104" s="27">
        <v>340.26</v>
      </c>
      <c r="D104" s="28">
        <v>46.3921424798962</v>
      </c>
      <c r="E104" s="27">
        <v>114.6</v>
      </c>
      <c r="F104" s="100">
        <v>3.7</v>
      </c>
      <c r="G104" s="27">
        <v>342</v>
      </c>
      <c r="H104" s="28">
        <v>2.17848882002237</v>
      </c>
      <c r="I104" s="27">
        <v>360</v>
      </c>
      <c r="J104" s="27">
        <v>114.6</v>
      </c>
      <c r="K104" s="27">
        <v>171</v>
      </c>
      <c r="L104" s="112">
        <v>867</v>
      </c>
      <c r="M104" s="51">
        <f t="shared" si="69"/>
        <v>773.847511777389</v>
      </c>
      <c r="N104" s="48">
        <f t="shared" si="37"/>
        <v>0.892557683710944</v>
      </c>
      <c r="O104" s="49"/>
      <c r="P104" s="48">
        <f t="shared" si="38"/>
        <v>1</v>
      </c>
      <c r="Q104" s="28">
        <f t="shared" si="39"/>
        <v>110.243022359955</v>
      </c>
      <c r="R104" s="28">
        <f t="shared" si="40"/>
        <v>1.52151117997763</v>
      </c>
      <c r="S104" s="28">
        <f t="shared" si="41"/>
        <v>6.28318530717959</v>
      </c>
      <c r="T104" s="58">
        <f t="shared" si="42"/>
        <v>53.6</v>
      </c>
      <c r="U104" s="48">
        <f t="shared" si="43"/>
        <v>38.4244209767081</v>
      </c>
      <c r="V104" s="48">
        <f t="shared" si="64"/>
        <v>0</v>
      </c>
      <c r="W104" s="59">
        <f t="shared" si="44"/>
        <v>3.14159265358979</v>
      </c>
      <c r="X104" s="48">
        <f t="shared" si="45"/>
        <v>28.65</v>
      </c>
      <c r="Y104" s="48">
        <f t="shared" si="46"/>
        <v>80.4</v>
      </c>
      <c r="Z104" s="48">
        <f t="shared" si="47"/>
        <v>0</v>
      </c>
      <c r="AA104" s="48">
        <f t="shared" si="65"/>
        <v>7070.02074921605</v>
      </c>
      <c r="AB104" s="69">
        <f t="shared" si="48"/>
        <v>1955.64928084128</v>
      </c>
      <c r="AC104" s="70">
        <f t="shared" si="49"/>
        <v>9025.67003005733</v>
      </c>
      <c r="AD104" s="70">
        <f t="shared" si="50"/>
        <v>1289.0897135475</v>
      </c>
      <c r="AE104" s="70">
        <f t="shared" si="51"/>
        <v>1.04753889911776</v>
      </c>
      <c r="AF104" s="70">
        <f t="shared" si="52"/>
        <v>102.456567765409</v>
      </c>
      <c r="AG104" s="70">
        <f t="shared" si="53"/>
        <v>45483.8114483211</v>
      </c>
      <c r="AH104" s="70">
        <f t="shared" si="54"/>
        <v>857.345835942621</v>
      </c>
      <c r="AI104" s="70">
        <f t="shared" si="55"/>
        <v>0.137293379749329</v>
      </c>
      <c r="AJ104" s="48">
        <f t="shared" si="56"/>
        <v>1</v>
      </c>
      <c r="AK104" s="69">
        <f t="shared" si="66"/>
        <v>1056.81488065456</v>
      </c>
      <c r="AL104" s="70">
        <f t="shared" si="57"/>
        <v>519.68538190135</v>
      </c>
      <c r="AM104" s="70">
        <f t="shared" si="58"/>
        <v>0.422306257759519</v>
      </c>
      <c r="AN104" s="70">
        <f t="shared" si="59"/>
        <v>72.8705683488157</v>
      </c>
      <c r="AO104" s="87">
        <f t="shared" si="60"/>
        <v>24962.5499626467</v>
      </c>
      <c r="AP104" s="87">
        <f t="shared" si="61"/>
        <v>595.548318056702</v>
      </c>
      <c r="AQ104" s="70">
        <f t="shared" si="62"/>
        <v>0.15445928767768</v>
      </c>
      <c r="AR104" s="48">
        <f t="shared" si="63"/>
        <v>1</v>
      </c>
      <c r="AS104" s="48">
        <f t="shared" si="67"/>
        <v>695.575473960873</v>
      </c>
      <c r="AV104" s="11"/>
    </row>
    <row r="105" ht="15.5" spans="1:48">
      <c r="A105" s="98"/>
      <c r="B105" s="99" t="s">
        <v>225</v>
      </c>
      <c r="C105" s="27">
        <v>340.26</v>
      </c>
      <c r="D105" s="28">
        <v>46.3921424798962</v>
      </c>
      <c r="E105" s="27">
        <v>114.6</v>
      </c>
      <c r="F105" s="100">
        <v>3.7</v>
      </c>
      <c r="G105" s="27">
        <v>342</v>
      </c>
      <c r="H105" s="28">
        <v>2.73669966492589</v>
      </c>
      <c r="I105" s="27">
        <v>360</v>
      </c>
      <c r="J105" s="27">
        <v>114.6</v>
      </c>
      <c r="K105" s="27">
        <v>171</v>
      </c>
      <c r="L105" s="112">
        <v>772</v>
      </c>
      <c r="M105" s="51">
        <f t="shared" si="69"/>
        <v>708.677939271479</v>
      </c>
      <c r="N105" s="48">
        <f t="shared" si="37"/>
        <v>0.917976605273937</v>
      </c>
      <c r="O105" s="49"/>
      <c r="P105" s="48">
        <f t="shared" si="38"/>
        <v>1</v>
      </c>
      <c r="Q105" s="28">
        <f t="shared" si="39"/>
        <v>109.126600670148</v>
      </c>
      <c r="R105" s="28">
        <f t="shared" si="40"/>
        <v>0.96330033507411</v>
      </c>
      <c r="S105" s="28">
        <f t="shared" si="41"/>
        <v>6.28318530717959</v>
      </c>
      <c r="T105" s="58">
        <f t="shared" si="42"/>
        <v>53.6</v>
      </c>
      <c r="U105" s="48">
        <f t="shared" si="43"/>
        <v>38.4244209767081</v>
      </c>
      <c r="V105" s="48">
        <f t="shared" si="64"/>
        <v>0</v>
      </c>
      <c r="W105" s="59">
        <f t="shared" si="44"/>
        <v>3.14159265358979</v>
      </c>
      <c r="X105" s="48">
        <f t="shared" si="45"/>
        <v>28.65</v>
      </c>
      <c r="Y105" s="48">
        <f t="shared" si="46"/>
        <v>80.4</v>
      </c>
      <c r="Z105" s="48">
        <f t="shared" si="47"/>
        <v>0</v>
      </c>
      <c r="AA105" s="48">
        <f t="shared" si="65"/>
        <v>7070.02074921605</v>
      </c>
      <c r="AB105" s="69">
        <f t="shared" si="48"/>
        <v>1955.64928084128</v>
      </c>
      <c r="AC105" s="70">
        <f t="shared" si="49"/>
        <v>9025.67003005733</v>
      </c>
      <c r="AD105" s="70">
        <f t="shared" si="50"/>
        <v>1289.0897135475</v>
      </c>
      <c r="AE105" s="70">
        <f t="shared" si="51"/>
        <v>1.04753889911776</v>
      </c>
      <c r="AF105" s="70">
        <f t="shared" si="52"/>
        <v>102.456567765409</v>
      </c>
      <c r="AG105" s="70">
        <f t="shared" si="53"/>
        <v>45483.8114483211</v>
      </c>
      <c r="AH105" s="70">
        <f t="shared" si="54"/>
        <v>857.345835942621</v>
      </c>
      <c r="AI105" s="70">
        <f t="shared" si="55"/>
        <v>0.137293379749329</v>
      </c>
      <c r="AJ105" s="48">
        <f t="shared" si="56"/>
        <v>1</v>
      </c>
      <c r="AK105" s="69">
        <f t="shared" si="66"/>
        <v>1056.81488065456</v>
      </c>
      <c r="AL105" s="70">
        <f t="shared" si="57"/>
        <v>327.334298989814</v>
      </c>
      <c r="AM105" s="70">
        <f t="shared" si="58"/>
        <v>0.265998097419959</v>
      </c>
      <c r="AN105" s="70">
        <f t="shared" si="59"/>
        <v>65.4740684946675</v>
      </c>
      <c r="AO105" s="87">
        <f t="shared" si="60"/>
        <v>20080.6776917944</v>
      </c>
      <c r="AP105" s="87">
        <f t="shared" si="61"/>
        <v>530.098938585223</v>
      </c>
      <c r="AQ105" s="70">
        <f t="shared" si="62"/>
        <v>0.162476024674248</v>
      </c>
      <c r="AR105" s="48">
        <f t="shared" si="63"/>
        <v>1</v>
      </c>
      <c r="AS105" s="48">
        <f t="shared" si="67"/>
        <v>612.379246070954</v>
      </c>
      <c r="AV105" s="11"/>
    </row>
    <row r="106" ht="20.25" customHeight="1" spans="1:48">
      <c r="A106" s="98"/>
      <c r="B106" s="101" t="s">
        <v>226</v>
      </c>
      <c r="C106" s="27">
        <v>340.26</v>
      </c>
      <c r="D106" s="28">
        <v>46.3921424798962</v>
      </c>
      <c r="E106" s="27">
        <v>114.6</v>
      </c>
      <c r="F106" s="100">
        <v>3.7</v>
      </c>
      <c r="G106" s="27">
        <v>342</v>
      </c>
      <c r="H106" s="28">
        <v>1.07869178521191</v>
      </c>
      <c r="I106" s="27">
        <v>360</v>
      </c>
      <c r="J106" s="27">
        <v>57.3</v>
      </c>
      <c r="K106" s="27">
        <v>28.5</v>
      </c>
      <c r="L106" s="112">
        <v>1096</v>
      </c>
      <c r="M106" s="51">
        <f t="shared" si="69"/>
        <v>1000.16554584101</v>
      </c>
      <c r="N106" s="48">
        <f t="shared" si="37"/>
        <v>0.912559804599458</v>
      </c>
      <c r="O106" s="49"/>
      <c r="P106" s="48">
        <f t="shared" si="38"/>
        <v>1.03052840963956</v>
      </c>
      <c r="Q106" s="28">
        <f t="shared" si="39"/>
        <v>112.442616429576</v>
      </c>
      <c r="R106" s="28">
        <f t="shared" si="40"/>
        <v>2.62130821478809</v>
      </c>
      <c r="S106" s="28">
        <f t="shared" si="41"/>
        <v>6.28318530717959</v>
      </c>
      <c r="T106" s="58">
        <f t="shared" si="42"/>
        <v>53.6</v>
      </c>
      <c r="U106" s="48">
        <f t="shared" si="43"/>
        <v>38.4244209767081</v>
      </c>
      <c r="V106" s="48">
        <f t="shared" ref="V106:V125" si="70">MIN((PI()-S106/2)*T106,U106)</f>
        <v>0</v>
      </c>
      <c r="W106" s="59">
        <f t="shared" si="44"/>
        <v>3.14159265358979</v>
      </c>
      <c r="X106" s="48">
        <f t="shared" si="45"/>
        <v>14.325</v>
      </c>
      <c r="Y106" s="48">
        <f t="shared" si="46"/>
        <v>80.4</v>
      </c>
      <c r="Z106" s="48">
        <f t="shared" si="47"/>
        <v>0</v>
      </c>
      <c r="AA106" s="48">
        <f t="shared" si="65"/>
        <v>4179.68285858333</v>
      </c>
      <c r="AB106" s="69">
        <f t="shared" si="48"/>
        <v>4845.987171474</v>
      </c>
      <c r="AC106" s="70">
        <f t="shared" si="49"/>
        <v>9025.67003005733</v>
      </c>
      <c r="AD106" s="70">
        <f t="shared" si="50"/>
        <v>1289.0897135475</v>
      </c>
      <c r="AE106" s="70">
        <f t="shared" si="51"/>
        <v>1.04753889911776</v>
      </c>
      <c r="AF106" s="70">
        <f t="shared" si="52"/>
        <v>102.456567765409</v>
      </c>
      <c r="AG106" s="70">
        <f t="shared" si="53"/>
        <v>45483.8114483211</v>
      </c>
      <c r="AH106" s="70">
        <f t="shared" si="54"/>
        <v>857.345835942621</v>
      </c>
      <c r="AI106" s="70">
        <f t="shared" si="55"/>
        <v>0.137293379749329</v>
      </c>
      <c r="AJ106" s="48">
        <f t="shared" si="56"/>
        <v>1</v>
      </c>
      <c r="AK106" s="69">
        <f t="shared" si="66"/>
        <v>1056.81488065456</v>
      </c>
      <c r="AL106" s="70">
        <f t="shared" si="57"/>
        <v>904.387547724424</v>
      </c>
      <c r="AM106" s="70">
        <f t="shared" si="58"/>
        <v>0.734922578438641</v>
      </c>
      <c r="AN106" s="70">
        <f t="shared" si="59"/>
        <v>87.6635680571121</v>
      </c>
      <c r="AO106" s="87">
        <f t="shared" si="60"/>
        <v>35024.4262250309</v>
      </c>
      <c r="AP106" s="87">
        <f t="shared" si="61"/>
        <v>726.447076999661</v>
      </c>
      <c r="AQ106" s="70">
        <f t="shared" si="62"/>
        <v>0.14401790056037</v>
      </c>
      <c r="AR106" s="48">
        <f t="shared" si="63"/>
        <v>1</v>
      </c>
      <c r="AS106" s="48">
        <f t="shared" si="67"/>
        <v>870.504278280913</v>
      </c>
      <c r="AV106" s="11"/>
    </row>
    <row r="107" ht="17.5" spans="1:48">
      <c r="A107" s="98"/>
      <c r="B107" s="101" t="s">
        <v>227</v>
      </c>
      <c r="C107" s="27">
        <v>340.26</v>
      </c>
      <c r="D107" s="28">
        <v>46.3921424798962</v>
      </c>
      <c r="E107" s="27">
        <v>114.6</v>
      </c>
      <c r="F107" s="100">
        <v>3.7</v>
      </c>
      <c r="G107" s="27">
        <v>342</v>
      </c>
      <c r="H107" s="28">
        <v>2.17848882002237</v>
      </c>
      <c r="I107" s="27">
        <v>360</v>
      </c>
      <c r="J107" s="27">
        <v>57.3</v>
      </c>
      <c r="K107" s="27">
        <v>28.5</v>
      </c>
      <c r="L107" s="112">
        <v>1037</v>
      </c>
      <c r="M107" s="51">
        <f t="shared" si="69"/>
        <v>944.372250959408</v>
      </c>
      <c r="N107" s="48">
        <f t="shared" si="37"/>
        <v>0.910677194753527</v>
      </c>
      <c r="O107" s="49"/>
      <c r="P107" s="48">
        <f t="shared" si="38"/>
        <v>1.06165412586301</v>
      </c>
      <c r="Q107" s="28">
        <f t="shared" si="39"/>
        <v>110.243022359955</v>
      </c>
      <c r="R107" s="28">
        <f t="shared" si="40"/>
        <v>1.52151117997763</v>
      </c>
      <c r="S107" s="28">
        <f t="shared" si="41"/>
        <v>6.28318530717959</v>
      </c>
      <c r="T107" s="58">
        <f t="shared" si="42"/>
        <v>53.6</v>
      </c>
      <c r="U107" s="48">
        <f t="shared" si="43"/>
        <v>38.4244209767081</v>
      </c>
      <c r="V107" s="48">
        <f t="shared" si="70"/>
        <v>0</v>
      </c>
      <c r="W107" s="59">
        <f t="shared" si="44"/>
        <v>3.14159265358979</v>
      </c>
      <c r="X107" s="48">
        <f t="shared" si="45"/>
        <v>14.325</v>
      </c>
      <c r="Y107" s="48">
        <f t="shared" si="46"/>
        <v>80.4</v>
      </c>
      <c r="Z107" s="48">
        <f t="shared" si="47"/>
        <v>0</v>
      </c>
      <c r="AA107" s="48">
        <f t="shared" si="65"/>
        <v>4179.68285858333</v>
      </c>
      <c r="AB107" s="69">
        <f t="shared" si="48"/>
        <v>4845.987171474</v>
      </c>
      <c r="AC107" s="70">
        <f t="shared" si="49"/>
        <v>9025.67003005733</v>
      </c>
      <c r="AD107" s="70">
        <f t="shared" si="50"/>
        <v>1289.0897135475</v>
      </c>
      <c r="AE107" s="70">
        <f t="shared" si="51"/>
        <v>1.04753889911776</v>
      </c>
      <c r="AF107" s="70">
        <f t="shared" si="52"/>
        <v>102.456567765409</v>
      </c>
      <c r="AG107" s="70">
        <f t="shared" si="53"/>
        <v>45483.8114483211</v>
      </c>
      <c r="AH107" s="70">
        <f t="shared" si="54"/>
        <v>857.345835942621</v>
      </c>
      <c r="AI107" s="70">
        <f t="shared" si="55"/>
        <v>0.137293379749329</v>
      </c>
      <c r="AJ107" s="48">
        <f t="shared" si="56"/>
        <v>1</v>
      </c>
      <c r="AK107" s="69">
        <f t="shared" ref="AK107:AK125" si="71">AJ107*AF107*(AC107+AD107)/1000</f>
        <v>1056.81488065456</v>
      </c>
      <c r="AL107" s="70">
        <f t="shared" si="57"/>
        <v>519.68538190135</v>
      </c>
      <c r="AM107" s="70">
        <f t="shared" si="58"/>
        <v>0.422306257759519</v>
      </c>
      <c r="AN107" s="70">
        <f t="shared" si="59"/>
        <v>72.8705683488157</v>
      </c>
      <c r="AO107" s="87">
        <f t="shared" si="60"/>
        <v>24962.5499626467</v>
      </c>
      <c r="AP107" s="87">
        <f t="shared" si="61"/>
        <v>595.548318056702</v>
      </c>
      <c r="AQ107" s="70">
        <f t="shared" si="62"/>
        <v>0.15445928767768</v>
      </c>
      <c r="AR107" s="48">
        <f t="shared" si="63"/>
        <v>1</v>
      </c>
      <c r="AS107" s="48">
        <f t="shared" ref="AS107:AS125" si="72">AR107*AN107*(AC107+AL107)/1000</f>
        <v>695.575473960873</v>
      </c>
      <c r="AV107" s="11"/>
    </row>
    <row r="108" ht="17.5" spans="1:48">
      <c r="A108" s="98"/>
      <c r="B108" s="101" t="s">
        <v>228</v>
      </c>
      <c r="C108" s="27">
        <v>340.26</v>
      </c>
      <c r="D108" s="28">
        <v>46.3921424798962</v>
      </c>
      <c r="E108" s="27">
        <v>114.6</v>
      </c>
      <c r="F108" s="100">
        <v>3.7</v>
      </c>
      <c r="G108" s="27">
        <v>342</v>
      </c>
      <c r="H108" s="28">
        <v>2.73669966492589</v>
      </c>
      <c r="I108" s="27">
        <v>360</v>
      </c>
      <c r="J108" s="27">
        <v>57.3</v>
      </c>
      <c r="K108" s="27">
        <v>28.5</v>
      </c>
      <c r="L108" s="112">
        <v>947</v>
      </c>
      <c r="M108" s="51">
        <f t="shared" si="69"/>
        <v>916.913903881673</v>
      </c>
      <c r="N108" s="48">
        <f t="shared" si="37"/>
        <v>0.968230099135875</v>
      </c>
      <c r="O108" s="49"/>
      <c r="P108" s="48">
        <f t="shared" si="38"/>
        <v>1.07745223387874</v>
      </c>
      <c r="Q108" s="28">
        <f t="shared" si="39"/>
        <v>109.126600670148</v>
      </c>
      <c r="R108" s="28">
        <f t="shared" si="40"/>
        <v>0.96330033507411</v>
      </c>
      <c r="S108" s="28">
        <f t="shared" si="41"/>
        <v>6.28318530717959</v>
      </c>
      <c r="T108" s="58">
        <f t="shared" si="42"/>
        <v>53.6</v>
      </c>
      <c r="U108" s="48">
        <f t="shared" si="43"/>
        <v>38.4244209767081</v>
      </c>
      <c r="V108" s="48">
        <f t="shared" si="70"/>
        <v>0</v>
      </c>
      <c r="W108" s="59">
        <f t="shared" si="44"/>
        <v>3.14159265358979</v>
      </c>
      <c r="X108" s="48">
        <f t="shared" si="45"/>
        <v>14.325</v>
      </c>
      <c r="Y108" s="48">
        <f t="shared" si="46"/>
        <v>80.4</v>
      </c>
      <c r="Z108" s="48">
        <f t="shared" si="47"/>
        <v>0</v>
      </c>
      <c r="AA108" s="48">
        <f t="shared" si="65"/>
        <v>4179.68285858333</v>
      </c>
      <c r="AB108" s="69">
        <f t="shared" si="48"/>
        <v>4845.987171474</v>
      </c>
      <c r="AC108" s="70">
        <f t="shared" si="49"/>
        <v>9025.67003005733</v>
      </c>
      <c r="AD108" s="70">
        <f t="shared" si="50"/>
        <v>1289.0897135475</v>
      </c>
      <c r="AE108" s="70">
        <f t="shared" si="51"/>
        <v>1.04753889911776</v>
      </c>
      <c r="AF108" s="70">
        <f t="shared" si="52"/>
        <v>102.456567765409</v>
      </c>
      <c r="AG108" s="70">
        <f t="shared" si="53"/>
        <v>45483.8114483211</v>
      </c>
      <c r="AH108" s="70">
        <f t="shared" si="54"/>
        <v>857.345835942621</v>
      </c>
      <c r="AI108" s="70">
        <f t="shared" si="55"/>
        <v>0.137293379749329</v>
      </c>
      <c r="AJ108" s="48">
        <f t="shared" si="56"/>
        <v>1</v>
      </c>
      <c r="AK108" s="69">
        <f t="shared" si="71"/>
        <v>1056.81488065456</v>
      </c>
      <c r="AL108" s="70">
        <f t="shared" si="57"/>
        <v>327.334298989814</v>
      </c>
      <c r="AM108" s="70">
        <f t="shared" si="58"/>
        <v>0.265998097419959</v>
      </c>
      <c r="AN108" s="70">
        <f t="shared" si="59"/>
        <v>65.4740684946675</v>
      </c>
      <c r="AO108" s="87">
        <f t="shared" si="60"/>
        <v>20080.6776917944</v>
      </c>
      <c r="AP108" s="87">
        <f t="shared" si="61"/>
        <v>530.098938585223</v>
      </c>
      <c r="AQ108" s="70">
        <f t="shared" si="62"/>
        <v>0.162476024674248</v>
      </c>
      <c r="AR108" s="48">
        <f t="shared" si="63"/>
        <v>1</v>
      </c>
      <c r="AS108" s="48">
        <f t="shared" si="72"/>
        <v>612.379246070954</v>
      </c>
      <c r="AV108" s="11"/>
    </row>
    <row r="109" ht="15.5" spans="1:48">
      <c r="A109" s="98"/>
      <c r="B109" s="99" t="s">
        <v>229</v>
      </c>
      <c r="C109" s="27">
        <v>340.26</v>
      </c>
      <c r="D109" s="28">
        <v>46.3921424798962</v>
      </c>
      <c r="E109" s="27">
        <v>114.6</v>
      </c>
      <c r="F109" s="100">
        <v>3.7</v>
      </c>
      <c r="G109" s="27">
        <v>342</v>
      </c>
      <c r="H109" s="28">
        <v>0.716842921930679</v>
      </c>
      <c r="I109" s="27">
        <v>360</v>
      </c>
      <c r="J109" s="27">
        <v>171.9</v>
      </c>
      <c r="K109" s="27">
        <v>85.5</v>
      </c>
      <c r="L109" s="112">
        <v>981</v>
      </c>
      <c r="M109" s="51">
        <f t="shared" si="69"/>
        <v>970.46402301774</v>
      </c>
      <c r="N109" s="48">
        <f t="shared" si="37"/>
        <v>0.989259962301468</v>
      </c>
      <c r="O109" s="49"/>
      <c r="P109" s="48">
        <f t="shared" si="38"/>
        <v>1.03651769152438</v>
      </c>
      <c r="Q109" s="28">
        <f t="shared" si="39"/>
        <v>113.166314156139</v>
      </c>
      <c r="R109" s="28">
        <f t="shared" si="40"/>
        <v>2.98315707806932</v>
      </c>
      <c r="S109" s="28">
        <f t="shared" si="41"/>
        <v>6.28318530717959</v>
      </c>
      <c r="T109" s="58">
        <f t="shared" si="42"/>
        <v>53.6</v>
      </c>
      <c r="U109" s="48">
        <f t="shared" si="43"/>
        <v>38.4244209767081</v>
      </c>
      <c r="V109" s="48">
        <f t="shared" si="70"/>
        <v>0</v>
      </c>
      <c r="W109" s="59">
        <f t="shared" si="44"/>
        <v>3.14159265358979</v>
      </c>
      <c r="X109" s="48">
        <f t="shared" si="45"/>
        <v>42.975</v>
      </c>
      <c r="Y109" s="48">
        <f t="shared" si="46"/>
        <v>80.4</v>
      </c>
      <c r="Z109" s="48">
        <f t="shared" si="47"/>
        <v>0</v>
      </c>
      <c r="AA109" s="48">
        <f t="shared" si="65"/>
        <v>8671.01367189817</v>
      </c>
      <c r="AB109" s="69">
        <f t="shared" si="48"/>
        <v>354.65635815916</v>
      </c>
      <c r="AC109" s="70">
        <f t="shared" si="49"/>
        <v>9025.67003005733</v>
      </c>
      <c r="AD109" s="70">
        <f t="shared" si="50"/>
        <v>1289.0897135475</v>
      </c>
      <c r="AE109" s="70">
        <f t="shared" si="51"/>
        <v>1.04753889911776</v>
      </c>
      <c r="AF109" s="70">
        <f t="shared" si="52"/>
        <v>102.456567765409</v>
      </c>
      <c r="AG109" s="70">
        <f t="shared" si="53"/>
        <v>45483.8114483211</v>
      </c>
      <c r="AH109" s="70">
        <f t="shared" si="54"/>
        <v>857.345835942621</v>
      </c>
      <c r="AI109" s="70">
        <f t="shared" si="55"/>
        <v>0.137293379749329</v>
      </c>
      <c r="AJ109" s="48">
        <f t="shared" si="56"/>
        <v>1</v>
      </c>
      <c r="AK109" s="69">
        <f t="shared" si="71"/>
        <v>1056.81488065456</v>
      </c>
      <c r="AL109" s="70">
        <f t="shared" si="57"/>
        <v>1032.62160299879</v>
      </c>
      <c r="AM109" s="70">
        <f t="shared" si="58"/>
        <v>0.839128018665018</v>
      </c>
      <c r="AN109" s="70">
        <f t="shared" si="59"/>
        <v>92.5945679598778</v>
      </c>
      <c r="AO109" s="87">
        <f t="shared" si="60"/>
        <v>38466.7203038047</v>
      </c>
      <c r="AP109" s="87">
        <f t="shared" si="61"/>
        <v>770.079996647316</v>
      </c>
      <c r="AQ109" s="70">
        <f t="shared" si="62"/>
        <v>0.141489867988685</v>
      </c>
      <c r="AR109" s="48">
        <f t="shared" si="63"/>
        <v>1</v>
      </c>
      <c r="AS109" s="48">
        <f t="shared" si="72"/>
        <v>931.343168177285</v>
      </c>
      <c r="AV109" s="11"/>
    </row>
    <row r="110" ht="15.5" spans="1:48">
      <c r="A110" s="98"/>
      <c r="B110" s="99" t="s">
        <v>230</v>
      </c>
      <c r="C110" s="27">
        <v>340.26</v>
      </c>
      <c r="D110" s="28">
        <v>46.3921424798962</v>
      </c>
      <c r="E110" s="27">
        <v>114.6</v>
      </c>
      <c r="F110" s="100">
        <v>3.7</v>
      </c>
      <c r="G110" s="27">
        <v>342</v>
      </c>
      <c r="H110" s="28">
        <v>1.44288469816103</v>
      </c>
      <c r="I110" s="27">
        <v>360</v>
      </c>
      <c r="J110" s="27">
        <v>171.9</v>
      </c>
      <c r="K110" s="27">
        <v>85.5</v>
      </c>
      <c r="L110" s="112">
        <v>865</v>
      </c>
      <c r="M110" s="51">
        <f t="shared" si="69"/>
        <v>880.908658596779</v>
      </c>
      <c r="N110" s="48">
        <f t="shared" si="37"/>
        <v>1.01839151282865</v>
      </c>
      <c r="O110" s="49"/>
      <c r="P110" s="48">
        <f t="shared" si="38"/>
        <v>1.07350399466983</v>
      </c>
      <c r="Q110" s="28">
        <f t="shared" si="39"/>
        <v>111.714230603678</v>
      </c>
      <c r="R110" s="28">
        <f t="shared" si="40"/>
        <v>2.25711530183897</v>
      </c>
      <c r="S110" s="28">
        <f t="shared" si="41"/>
        <v>6.28318530717959</v>
      </c>
      <c r="T110" s="58">
        <f t="shared" si="42"/>
        <v>53.6</v>
      </c>
      <c r="U110" s="48">
        <f t="shared" si="43"/>
        <v>38.4244209767081</v>
      </c>
      <c r="V110" s="48">
        <f t="shared" si="70"/>
        <v>0</v>
      </c>
      <c r="W110" s="59">
        <f t="shared" si="44"/>
        <v>3.14159265358979</v>
      </c>
      <c r="X110" s="48">
        <f t="shared" si="45"/>
        <v>42.975</v>
      </c>
      <c r="Y110" s="48">
        <f t="shared" si="46"/>
        <v>80.4</v>
      </c>
      <c r="Z110" s="48">
        <f t="shared" si="47"/>
        <v>0</v>
      </c>
      <c r="AA110" s="48">
        <f t="shared" si="65"/>
        <v>8671.01367189817</v>
      </c>
      <c r="AB110" s="69">
        <f t="shared" si="48"/>
        <v>354.65635815916</v>
      </c>
      <c r="AC110" s="70">
        <f t="shared" si="49"/>
        <v>9025.67003005733</v>
      </c>
      <c r="AD110" s="70">
        <f t="shared" si="50"/>
        <v>1289.0897135475</v>
      </c>
      <c r="AE110" s="70">
        <f t="shared" si="51"/>
        <v>1.04753889911776</v>
      </c>
      <c r="AF110" s="70">
        <f t="shared" si="52"/>
        <v>102.456567765409</v>
      </c>
      <c r="AG110" s="70">
        <f t="shared" si="53"/>
        <v>45483.8114483211</v>
      </c>
      <c r="AH110" s="70">
        <f t="shared" si="54"/>
        <v>857.345835942621</v>
      </c>
      <c r="AI110" s="70">
        <f t="shared" si="55"/>
        <v>0.137293379749329</v>
      </c>
      <c r="AJ110" s="48">
        <f t="shared" si="56"/>
        <v>1</v>
      </c>
      <c r="AK110" s="69">
        <f t="shared" si="71"/>
        <v>1056.81488065456</v>
      </c>
      <c r="AL110" s="70">
        <f t="shared" si="57"/>
        <v>776.15349245007</v>
      </c>
      <c r="AM110" s="70">
        <f t="shared" si="58"/>
        <v>0.63071713821227</v>
      </c>
      <c r="AN110" s="70">
        <f t="shared" si="59"/>
        <v>82.7325681543468</v>
      </c>
      <c r="AO110" s="87">
        <f t="shared" si="60"/>
        <v>31626.29980858</v>
      </c>
      <c r="AP110" s="87">
        <f t="shared" si="61"/>
        <v>682.81415735201</v>
      </c>
      <c r="AQ110" s="70">
        <f t="shared" si="62"/>
        <v>0.146935612194113</v>
      </c>
      <c r="AR110" s="48">
        <f t="shared" si="63"/>
        <v>1</v>
      </c>
      <c r="AS110" s="48">
        <f t="shared" si="72"/>
        <v>810.930032612723</v>
      </c>
      <c r="AV110" s="11"/>
    </row>
    <row r="111" s="1" customFormat="1" ht="15.5" spans="1:55">
      <c r="A111" s="98"/>
      <c r="B111" s="99" t="s">
        <v>231</v>
      </c>
      <c r="C111" s="27">
        <v>340.26</v>
      </c>
      <c r="D111" s="28">
        <v>46.3921424798962</v>
      </c>
      <c r="E111" s="27">
        <v>114.6</v>
      </c>
      <c r="F111" s="100">
        <v>3.7</v>
      </c>
      <c r="G111" s="27">
        <v>342</v>
      </c>
      <c r="H111" s="28">
        <v>2.17848882002237</v>
      </c>
      <c r="I111" s="27">
        <v>360</v>
      </c>
      <c r="J111" s="27">
        <v>171.9</v>
      </c>
      <c r="K111" s="27">
        <v>85.5</v>
      </c>
      <c r="L111" s="112">
        <v>804</v>
      </c>
      <c r="M111" s="51">
        <f t="shared" si="69"/>
        <v>788.538539641564</v>
      </c>
      <c r="N111" s="48">
        <f t="shared" si="37"/>
        <v>0.980769327912393</v>
      </c>
      <c r="O111" s="49"/>
      <c r="P111" s="48">
        <f t="shared" si="38"/>
        <v>1.11097742655342</v>
      </c>
      <c r="Q111" s="28">
        <f t="shared" si="39"/>
        <v>110.243022359955</v>
      </c>
      <c r="R111" s="28">
        <f t="shared" si="40"/>
        <v>1.52151117997763</v>
      </c>
      <c r="S111" s="28">
        <f t="shared" si="41"/>
        <v>6.28318530717959</v>
      </c>
      <c r="T111" s="58">
        <f t="shared" si="42"/>
        <v>53.6</v>
      </c>
      <c r="U111" s="48">
        <f t="shared" si="43"/>
        <v>38.4244209767081</v>
      </c>
      <c r="V111" s="48">
        <f t="shared" si="70"/>
        <v>0</v>
      </c>
      <c r="W111" s="59">
        <f t="shared" si="44"/>
        <v>3.14159265358979</v>
      </c>
      <c r="X111" s="48">
        <f t="shared" si="45"/>
        <v>42.975</v>
      </c>
      <c r="Y111" s="48">
        <f t="shared" si="46"/>
        <v>80.4</v>
      </c>
      <c r="Z111" s="48">
        <f t="shared" si="47"/>
        <v>0</v>
      </c>
      <c r="AA111" s="48">
        <f t="shared" si="65"/>
        <v>8671.01367189817</v>
      </c>
      <c r="AB111" s="69">
        <f t="shared" si="48"/>
        <v>354.65635815916</v>
      </c>
      <c r="AC111" s="70">
        <f t="shared" si="49"/>
        <v>9025.67003005733</v>
      </c>
      <c r="AD111" s="70">
        <f t="shared" si="50"/>
        <v>1289.0897135475</v>
      </c>
      <c r="AE111" s="70">
        <f t="shared" si="51"/>
        <v>1.04753889911776</v>
      </c>
      <c r="AF111" s="70">
        <f t="shared" si="52"/>
        <v>102.456567765409</v>
      </c>
      <c r="AG111" s="70">
        <f t="shared" si="53"/>
        <v>45483.8114483211</v>
      </c>
      <c r="AH111" s="70">
        <f t="shared" si="54"/>
        <v>857.345835942621</v>
      </c>
      <c r="AI111" s="70">
        <f t="shared" si="55"/>
        <v>0.137293379749329</v>
      </c>
      <c r="AJ111" s="48">
        <f t="shared" si="56"/>
        <v>1</v>
      </c>
      <c r="AK111" s="69">
        <f t="shared" si="71"/>
        <v>1056.81488065456</v>
      </c>
      <c r="AL111" s="70">
        <f t="shared" si="57"/>
        <v>519.68538190135</v>
      </c>
      <c r="AM111" s="70">
        <f t="shared" si="58"/>
        <v>0.422306257759519</v>
      </c>
      <c r="AN111" s="70">
        <f t="shared" si="59"/>
        <v>72.8705683488157</v>
      </c>
      <c r="AO111" s="87">
        <f t="shared" si="60"/>
        <v>24962.5499626467</v>
      </c>
      <c r="AP111" s="87">
        <f t="shared" si="61"/>
        <v>595.548318056702</v>
      </c>
      <c r="AQ111" s="70">
        <f t="shared" si="62"/>
        <v>0.15445928767768</v>
      </c>
      <c r="AR111" s="48">
        <f t="shared" si="63"/>
        <v>1</v>
      </c>
      <c r="AS111" s="48">
        <f t="shared" si="72"/>
        <v>695.575473960873</v>
      </c>
      <c r="AT111" s="9"/>
      <c r="AU111" s="11"/>
      <c r="AV111" s="11"/>
      <c r="AW111" s="2"/>
      <c r="AX111" s="2"/>
      <c r="AY111" s="2"/>
      <c r="AZ111" s="2"/>
      <c r="BA111" s="2"/>
      <c r="BB111" s="2"/>
      <c r="BC111" s="2"/>
    </row>
    <row r="112" ht="15.5" spans="1:48">
      <c r="A112" s="98"/>
      <c r="B112" s="99" t="s">
        <v>232</v>
      </c>
      <c r="C112" s="27">
        <v>340.26</v>
      </c>
      <c r="D112" s="28">
        <v>46.3921424798962</v>
      </c>
      <c r="E112" s="27">
        <v>114.6</v>
      </c>
      <c r="F112" s="100">
        <v>3.7</v>
      </c>
      <c r="G112" s="27">
        <v>342</v>
      </c>
      <c r="H112" s="28">
        <v>2.54999701164272</v>
      </c>
      <c r="I112" s="27">
        <v>360</v>
      </c>
      <c r="J112" s="27">
        <v>171.9</v>
      </c>
      <c r="K112" s="27">
        <v>85.5</v>
      </c>
      <c r="L112" s="112">
        <v>722</v>
      </c>
      <c r="M112" s="51">
        <f t="shared" si="69"/>
        <v>741.421533049815</v>
      </c>
      <c r="N112" s="48">
        <f t="shared" si="37"/>
        <v>1.0268996302629</v>
      </c>
      <c r="O112" s="49"/>
      <c r="P112" s="48">
        <f t="shared" si="38"/>
        <v>1.1299029416493</v>
      </c>
      <c r="Q112" s="28">
        <f t="shared" si="39"/>
        <v>109.500005976715</v>
      </c>
      <c r="R112" s="28">
        <f t="shared" si="40"/>
        <v>1.15000298835728</v>
      </c>
      <c r="S112" s="28">
        <f t="shared" si="41"/>
        <v>6.28318530717959</v>
      </c>
      <c r="T112" s="58">
        <f t="shared" si="42"/>
        <v>53.6</v>
      </c>
      <c r="U112" s="48">
        <f t="shared" si="43"/>
        <v>38.4244209767081</v>
      </c>
      <c r="V112" s="48">
        <f t="shared" si="70"/>
        <v>0</v>
      </c>
      <c r="W112" s="59">
        <f t="shared" si="44"/>
        <v>3.14159265358979</v>
      </c>
      <c r="X112" s="48">
        <f t="shared" si="45"/>
        <v>42.975</v>
      </c>
      <c r="Y112" s="48">
        <f t="shared" si="46"/>
        <v>80.4</v>
      </c>
      <c r="Z112" s="48">
        <f t="shared" si="47"/>
        <v>0</v>
      </c>
      <c r="AA112" s="48">
        <f t="shared" si="65"/>
        <v>8671.01367189817</v>
      </c>
      <c r="AB112" s="69">
        <f t="shared" si="48"/>
        <v>354.65635815916</v>
      </c>
      <c r="AC112" s="70">
        <f t="shared" si="49"/>
        <v>9025.67003005733</v>
      </c>
      <c r="AD112" s="70">
        <f t="shared" si="50"/>
        <v>1289.0897135475</v>
      </c>
      <c r="AE112" s="70">
        <f t="shared" si="51"/>
        <v>1.04753889911776</v>
      </c>
      <c r="AF112" s="70">
        <f t="shared" si="52"/>
        <v>102.456567765409</v>
      </c>
      <c r="AG112" s="70">
        <f t="shared" si="53"/>
        <v>45483.8114483211</v>
      </c>
      <c r="AH112" s="70">
        <f t="shared" si="54"/>
        <v>857.345835942621</v>
      </c>
      <c r="AI112" s="70">
        <f t="shared" si="55"/>
        <v>0.137293379749329</v>
      </c>
      <c r="AJ112" s="48">
        <f t="shared" si="56"/>
        <v>1</v>
      </c>
      <c r="AK112" s="69">
        <f t="shared" si="71"/>
        <v>1056.81488065456</v>
      </c>
      <c r="AL112" s="70">
        <f t="shared" si="57"/>
        <v>391.451326626991</v>
      </c>
      <c r="AM112" s="70">
        <f t="shared" si="58"/>
        <v>0.318100817533145</v>
      </c>
      <c r="AN112" s="70">
        <f t="shared" si="59"/>
        <v>67.9395684460502</v>
      </c>
      <c r="AO112" s="87">
        <f t="shared" si="60"/>
        <v>21696.9265331644</v>
      </c>
      <c r="AP112" s="87">
        <f t="shared" si="61"/>
        <v>551.915398409049</v>
      </c>
      <c r="AQ112" s="70">
        <f t="shared" si="62"/>
        <v>0.159491354474032</v>
      </c>
      <c r="AR112" s="48">
        <f t="shared" si="63"/>
        <v>1</v>
      </c>
      <c r="AS112" s="48">
        <f t="shared" si="72"/>
        <v>639.795160977215</v>
      </c>
      <c r="AV112" s="11"/>
    </row>
    <row r="113" ht="15.5" spans="1:48">
      <c r="A113" s="98"/>
      <c r="B113" s="99" t="s">
        <v>233</v>
      </c>
      <c r="C113" s="27">
        <v>340.26</v>
      </c>
      <c r="D113" s="28">
        <v>46.3921424798962</v>
      </c>
      <c r="E113" s="27">
        <v>114.6</v>
      </c>
      <c r="F113" s="100">
        <v>3.7</v>
      </c>
      <c r="G113" s="27">
        <v>342</v>
      </c>
      <c r="H113" s="28">
        <v>0.716842921930679</v>
      </c>
      <c r="I113" s="27">
        <v>360</v>
      </c>
      <c r="J113" s="27">
        <v>171.9</v>
      </c>
      <c r="K113" s="27">
        <v>171</v>
      </c>
      <c r="L113" s="112">
        <v>947</v>
      </c>
      <c r="M113" s="51">
        <f t="shared" si="69"/>
        <v>936.273477002114</v>
      </c>
      <c r="N113" s="48">
        <f t="shared" si="37"/>
        <v>0.988673154173298</v>
      </c>
      <c r="O113" s="49"/>
      <c r="P113" s="48">
        <f t="shared" si="38"/>
        <v>1</v>
      </c>
      <c r="Q113" s="28">
        <f t="shared" si="39"/>
        <v>113.166314156139</v>
      </c>
      <c r="R113" s="28">
        <f t="shared" si="40"/>
        <v>2.98315707806932</v>
      </c>
      <c r="S113" s="28">
        <f t="shared" si="41"/>
        <v>6.28318530717959</v>
      </c>
      <c r="T113" s="58">
        <f t="shared" si="42"/>
        <v>53.6</v>
      </c>
      <c r="U113" s="48">
        <f t="shared" si="43"/>
        <v>38.4244209767081</v>
      </c>
      <c r="V113" s="48">
        <f t="shared" si="70"/>
        <v>0</v>
      </c>
      <c r="W113" s="59">
        <f t="shared" si="44"/>
        <v>3.14159265358979</v>
      </c>
      <c r="X113" s="48">
        <f t="shared" si="45"/>
        <v>42.975</v>
      </c>
      <c r="Y113" s="48">
        <f t="shared" si="46"/>
        <v>80.4</v>
      </c>
      <c r="Z113" s="48">
        <f t="shared" si="47"/>
        <v>0</v>
      </c>
      <c r="AA113" s="48">
        <f t="shared" si="65"/>
        <v>8671.01367189817</v>
      </c>
      <c r="AB113" s="69">
        <f t="shared" si="48"/>
        <v>354.65635815916</v>
      </c>
      <c r="AC113" s="70">
        <f t="shared" si="49"/>
        <v>9025.67003005733</v>
      </c>
      <c r="AD113" s="70">
        <f t="shared" si="50"/>
        <v>1289.0897135475</v>
      </c>
      <c r="AE113" s="70">
        <f t="shared" si="51"/>
        <v>1.04753889911776</v>
      </c>
      <c r="AF113" s="70">
        <f t="shared" si="52"/>
        <v>102.456567765409</v>
      </c>
      <c r="AG113" s="70">
        <f t="shared" si="53"/>
        <v>45483.8114483211</v>
      </c>
      <c r="AH113" s="70">
        <f t="shared" si="54"/>
        <v>857.345835942621</v>
      </c>
      <c r="AI113" s="70">
        <f t="shared" si="55"/>
        <v>0.137293379749329</v>
      </c>
      <c r="AJ113" s="48">
        <f t="shared" si="56"/>
        <v>1</v>
      </c>
      <c r="AK113" s="69">
        <f t="shared" si="71"/>
        <v>1056.81488065456</v>
      </c>
      <c r="AL113" s="70">
        <f t="shared" si="57"/>
        <v>1032.62160299879</v>
      </c>
      <c r="AM113" s="70">
        <f t="shared" si="58"/>
        <v>0.839128018665018</v>
      </c>
      <c r="AN113" s="70">
        <f t="shared" si="59"/>
        <v>92.5945679598778</v>
      </c>
      <c r="AO113" s="87">
        <f t="shared" si="60"/>
        <v>38466.7203038047</v>
      </c>
      <c r="AP113" s="87">
        <f t="shared" si="61"/>
        <v>770.079996647316</v>
      </c>
      <c r="AQ113" s="70">
        <f t="shared" si="62"/>
        <v>0.141489867988685</v>
      </c>
      <c r="AR113" s="48">
        <f t="shared" si="63"/>
        <v>1</v>
      </c>
      <c r="AS113" s="48">
        <f t="shared" si="72"/>
        <v>931.343168177285</v>
      </c>
      <c r="AV113" s="11"/>
    </row>
    <row r="114" ht="15.5" spans="1:48">
      <c r="A114" s="98"/>
      <c r="B114" s="99" t="s">
        <v>234</v>
      </c>
      <c r="C114" s="27">
        <v>340.26</v>
      </c>
      <c r="D114" s="28">
        <v>46.3921424798962</v>
      </c>
      <c r="E114" s="27">
        <v>114.6</v>
      </c>
      <c r="F114" s="100">
        <v>3.7</v>
      </c>
      <c r="G114" s="27">
        <v>342</v>
      </c>
      <c r="H114" s="28">
        <v>1.44288469816103</v>
      </c>
      <c r="I114" s="27">
        <v>360</v>
      </c>
      <c r="J114" s="27">
        <v>171.9</v>
      </c>
      <c r="K114" s="27">
        <v>171</v>
      </c>
      <c r="L114" s="112">
        <v>860</v>
      </c>
      <c r="M114" s="51">
        <f t="shared" si="69"/>
        <v>820.591877599591</v>
      </c>
      <c r="N114" s="48">
        <f t="shared" si="37"/>
        <v>0.95417660185999</v>
      </c>
      <c r="O114" s="49"/>
      <c r="P114" s="48">
        <f t="shared" si="38"/>
        <v>1</v>
      </c>
      <c r="Q114" s="28">
        <f t="shared" si="39"/>
        <v>111.714230603678</v>
      </c>
      <c r="R114" s="28">
        <f t="shared" si="40"/>
        <v>2.25711530183897</v>
      </c>
      <c r="S114" s="28">
        <f t="shared" si="41"/>
        <v>6.28318530717959</v>
      </c>
      <c r="T114" s="58">
        <f t="shared" si="42"/>
        <v>53.6</v>
      </c>
      <c r="U114" s="48">
        <f t="shared" si="43"/>
        <v>38.4244209767081</v>
      </c>
      <c r="V114" s="48">
        <f t="shared" si="70"/>
        <v>0</v>
      </c>
      <c r="W114" s="59">
        <f t="shared" si="44"/>
        <v>3.14159265358979</v>
      </c>
      <c r="X114" s="48">
        <f t="shared" si="45"/>
        <v>42.975</v>
      </c>
      <c r="Y114" s="48">
        <f t="shared" si="46"/>
        <v>80.4</v>
      </c>
      <c r="Z114" s="48">
        <f t="shared" si="47"/>
        <v>0</v>
      </c>
      <c r="AA114" s="48">
        <f t="shared" si="65"/>
        <v>8671.01367189817</v>
      </c>
      <c r="AB114" s="69">
        <f t="shared" si="48"/>
        <v>354.65635815916</v>
      </c>
      <c r="AC114" s="70">
        <f t="shared" si="49"/>
        <v>9025.67003005733</v>
      </c>
      <c r="AD114" s="70">
        <f t="shared" si="50"/>
        <v>1289.0897135475</v>
      </c>
      <c r="AE114" s="70">
        <f t="shared" si="51"/>
        <v>1.04753889911776</v>
      </c>
      <c r="AF114" s="70">
        <f t="shared" si="52"/>
        <v>102.456567765409</v>
      </c>
      <c r="AG114" s="70">
        <f t="shared" si="53"/>
        <v>45483.8114483211</v>
      </c>
      <c r="AH114" s="70">
        <f t="shared" si="54"/>
        <v>857.345835942621</v>
      </c>
      <c r="AI114" s="70">
        <f t="shared" si="55"/>
        <v>0.137293379749329</v>
      </c>
      <c r="AJ114" s="48">
        <f t="shared" si="56"/>
        <v>1</v>
      </c>
      <c r="AK114" s="69">
        <f t="shared" si="71"/>
        <v>1056.81488065456</v>
      </c>
      <c r="AL114" s="70">
        <f t="shared" si="57"/>
        <v>776.15349245007</v>
      </c>
      <c r="AM114" s="70">
        <f t="shared" si="58"/>
        <v>0.63071713821227</v>
      </c>
      <c r="AN114" s="70">
        <f t="shared" si="59"/>
        <v>82.7325681543468</v>
      </c>
      <c r="AO114" s="87">
        <f t="shared" si="60"/>
        <v>31626.29980858</v>
      </c>
      <c r="AP114" s="87">
        <f t="shared" si="61"/>
        <v>682.81415735201</v>
      </c>
      <c r="AQ114" s="70">
        <f t="shared" si="62"/>
        <v>0.146935612194113</v>
      </c>
      <c r="AR114" s="48">
        <f t="shared" si="63"/>
        <v>1</v>
      </c>
      <c r="AS114" s="48">
        <f t="shared" si="72"/>
        <v>810.930032612723</v>
      </c>
      <c r="AV114" s="11"/>
    </row>
    <row r="115" ht="15.5" spans="1:48">
      <c r="A115" s="98"/>
      <c r="B115" s="99" t="s">
        <v>235</v>
      </c>
      <c r="C115" s="27">
        <v>340.26</v>
      </c>
      <c r="D115" s="28">
        <v>46.3921424798962</v>
      </c>
      <c r="E115" s="27">
        <v>114.6</v>
      </c>
      <c r="F115" s="100">
        <v>3.7</v>
      </c>
      <c r="G115" s="27">
        <v>342</v>
      </c>
      <c r="H115" s="28">
        <v>2.17848882002237</v>
      </c>
      <c r="I115" s="27">
        <v>360</v>
      </c>
      <c r="J115" s="27">
        <v>171.9</v>
      </c>
      <c r="K115" s="27">
        <v>171</v>
      </c>
      <c r="L115" s="112">
        <v>751</v>
      </c>
      <c r="M115" s="51">
        <f t="shared" si="69"/>
        <v>709.770082446992</v>
      </c>
      <c r="N115" s="48">
        <f t="shared" si="37"/>
        <v>0.945099976627153</v>
      </c>
      <c r="O115" s="49"/>
      <c r="P115" s="48">
        <f t="shared" si="38"/>
        <v>1</v>
      </c>
      <c r="Q115" s="28">
        <f t="shared" si="39"/>
        <v>110.243022359955</v>
      </c>
      <c r="R115" s="28">
        <f t="shared" si="40"/>
        <v>1.52151117997763</v>
      </c>
      <c r="S115" s="28">
        <f t="shared" si="41"/>
        <v>6.28318530717959</v>
      </c>
      <c r="T115" s="58">
        <f t="shared" si="42"/>
        <v>53.6</v>
      </c>
      <c r="U115" s="48">
        <f t="shared" si="43"/>
        <v>38.4244209767081</v>
      </c>
      <c r="V115" s="48">
        <f t="shared" si="70"/>
        <v>0</v>
      </c>
      <c r="W115" s="59">
        <f t="shared" si="44"/>
        <v>3.14159265358979</v>
      </c>
      <c r="X115" s="48">
        <f t="shared" si="45"/>
        <v>42.975</v>
      </c>
      <c r="Y115" s="48">
        <f t="shared" si="46"/>
        <v>80.4</v>
      </c>
      <c r="Z115" s="48">
        <f t="shared" si="47"/>
        <v>0</v>
      </c>
      <c r="AA115" s="48">
        <f t="shared" si="65"/>
        <v>8671.01367189817</v>
      </c>
      <c r="AB115" s="69">
        <f t="shared" si="48"/>
        <v>354.65635815916</v>
      </c>
      <c r="AC115" s="70">
        <f t="shared" si="49"/>
        <v>9025.67003005733</v>
      </c>
      <c r="AD115" s="70">
        <f t="shared" si="50"/>
        <v>1289.0897135475</v>
      </c>
      <c r="AE115" s="70">
        <f t="shared" si="51"/>
        <v>1.04753889911776</v>
      </c>
      <c r="AF115" s="70">
        <f t="shared" si="52"/>
        <v>102.456567765409</v>
      </c>
      <c r="AG115" s="70">
        <f t="shared" si="53"/>
        <v>45483.8114483211</v>
      </c>
      <c r="AH115" s="70">
        <f t="shared" si="54"/>
        <v>857.345835942621</v>
      </c>
      <c r="AI115" s="70">
        <f t="shared" si="55"/>
        <v>0.137293379749329</v>
      </c>
      <c r="AJ115" s="48">
        <f t="shared" si="56"/>
        <v>1</v>
      </c>
      <c r="AK115" s="69">
        <f t="shared" si="71"/>
        <v>1056.81488065456</v>
      </c>
      <c r="AL115" s="70">
        <f t="shared" si="57"/>
        <v>519.68538190135</v>
      </c>
      <c r="AM115" s="70">
        <f t="shared" si="58"/>
        <v>0.422306257759519</v>
      </c>
      <c r="AN115" s="70">
        <f t="shared" si="59"/>
        <v>72.8705683488157</v>
      </c>
      <c r="AO115" s="87">
        <f t="shared" si="60"/>
        <v>24962.5499626467</v>
      </c>
      <c r="AP115" s="87">
        <f t="shared" si="61"/>
        <v>595.548318056702</v>
      </c>
      <c r="AQ115" s="70">
        <f t="shared" si="62"/>
        <v>0.15445928767768</v>
      </c>
      <c r="AR115" s="48">
        <f t="shared" si="63"/>
        <v>1</v>
      </c>
      <c r="AS115" s="48">
        <f t="shared" si="72"/>
        <v>695.575473960873</v>
      </c>
      <c r="AV115" s="11"/>
    </row>
    <row r="116" ht="15.5" spans="1:48">
      <c r="A116" s="98"/>
      <c r="B116" s="99" t="s">
        <v>236</v>
      </c>
      <c r="C116" s="27">
        <v>340.26</v>
      </c>
      <c r="D116" s="28">
        <v>46.3921424798962</v>
      </c>
      <c r="E116" s="27">
        <v>114.6</v>
      </c>
      <c r="F116" s="100">
        <v>3.7</v>
      </c>
      <c r="G116" s="27">
        <v>342</v>
      </c>
      <c r="H116" s="28">
        <v>2.54999701164272</v>
      </c>
      <c r="I116" s="27">
        <v>360</v>
      </c>
      <c r="J116" s="27">
        <v>171.9</v>
      </c>
      <c r="K116" s="27">
        <v>171</v>
      </c>
      <c r="L116" s="112">
        <v>719</v>
      </c>
      <c r="M116" s="51">
        <f t="shared" si="69"/>
        <v>656.181611464413</v>
      </c>
      <c r="N116" s="48">
        <f t="shared" si="37"/>
        <v>0.91263089216191</v>
      </c>
      <c r="O116" s="49"/>
      <c r="P116" s="48">
        <f t="shared" si="38"/>
        <v>1</v>
      </c>
      <c r="Q116" s="28">
        <f t="shared" si="39"/>
        <v>109.500005976715</v>
      </c>
      <c r="R116" s="28">
        <f t="shared" si="40"/>
        <v>1.15000298835728</v>
      </c>
      <c r="S116" s="28">
        <f t="shared" si="41"/>
        <v>6.28318530717959</v>
      </c>
      <c r="T116" s="58">
        <f t="shared" si="42"/>
        <v>53.6</v>
      </c>
      <c r="U116" s="48">
        <f t="shared" si="43"/>
        <v>38.4244209767081</v>
      </c>
      <c r="V116" s="48">
        <f t="shared" si="70"/>
        <v>0</v>
      </c>
      <c r="W116" s="59">
        <f t="shared" si="44"/>
        <v>3.14159265358979</v>
      </c>
      <c r="X116" s="48">
        <f t="shared" si="45"/>
        <v>42.975</v>
      </c>
      <c r="Y116" s="48">
        <f t="shared" si="46"/>
        <v>80.4</v>
      </c>
      <c r="Z116" s="48">
        <f t="shared" si="47"/>
        <v>0</v>
      </c>
      <c r="AA116" s="48">
        <f t="shared" si="65"/>
        <v>8671.01367189817</v>
      </c>
      <c r="AB116" s="69">
        <f t="shared" si="48"/>
        <v>354.65635815916</v>
      </c>
      <c r="AC116" s="70">
        <f t="shared" si="49"/>
        <v>9025.67003005733</v>
      </c>
      <c r="AD116" s="70">
        <f t="shared" si="50"/>
        <v>1289.0897135475</v>
      </c>
      <c r="AE116" s="70">
        <f t="shared" si="51"/>
        <v>1.04753889911776</v>
      </c>
      <c r="AF116" s="70">
        <f t="shared" si="52"/>
        <v>102.456567765409</v>
      </c>
      <c r="AG116" s="70">
        <f t="shared" si="53"/>
        <v>45483.8114483211</v>
      </c>
      <c r="AH116" s="70">
        <f t="shared" si="54"/>
        <v>857.345835942621</v>
      </c>
      <c r="AI116" s="70">
        <f t="shared" si="55"/>
        <v>0.137293379749329</v>
      </c>
      <c r="AJ116" s="48">
        <f t="shared" si="56"/>
        <v>1</v>
      </c>
      <c r="AK116" s="69">
        <f t="shared" si="71"/>
        <v>1056.81488065456</v>
      </c>
      <c r="AL116" s="70">
        <f t="shared" si="57"/>
        <v>391.451326626991</v>
      </c>
      <c r="AM116" s="70">
        <f t="shared" si="58"/>
        <v>0.318100817533145</v>
      </c>
      <c r="AN116" s="70">
        <f t="shared" si="59"/>
        <v>67.9395684460502</v>
      </c>
      <c r="AO116" s="87">
        <f t="shared" si="60"/>
        <v>21696.9265331644</v>
      </c>
      <c r="AP116" s="87">
        <f t="shared" si="61"/>
        <v>551.915398409049</v>
      </c>
      <c r="AQ116" s="70">
        <f t="shared" si="62"/>
        <v>0.159491354474032</v>
      </c>
      <c r="AR116" s="48">
        <f t="shared" si="63"/>
        <v>1</v>
      </c>
      <c r="AS116" s="48">
        <f t="shared" si="72"/>
        <v>639.795160977215</v>
      </c>
      <c r="AV116" s="11"/>
    </row>
    <row r="117" ht="17.5" spans="1:48">
      <c r="A117" s="98"/>
      <c r="B117" s="101" t="s">
        <v>237</v>
      </c>
      <c r="C117" s="27">
        <v>340.26</v>
      </c>
      <c r="D117" s="28">
        <v>46.3921424798962</v>
      </c>
      <c r="E117" s="27">
        <v>114.6</v>
      </c>
      <c r="F117" s="100">
        <v>3.7</v>
      </c>
      <c r="G117" s="27">
        <v>342</v>
      </c>
      <c r="H117" s="28">
        <v>0.716842921930679</v>
      </c>
      <c r="I117" s="27">
        <v>360</v>
      </c>
      <c r="J117" s="27">
        <v>85.95</v>
      </c>
      <c r="K117" s="27">
        <v>42.75</v>
      </c>
      <c r="L117" s="112">
        <v>1065</v>
      </c>
      <c r="M117" s="51">
        <f t="shared" si="69"/>
        <v>1003.12100068766</v>
      </c>
      <c r="N117" s="48">
        <f t="shared" si="37"/>
        <v>0.941897653227852</v>
      </c>
      <c r="O117" s="49"/>
      <c r="P117" s="48">
        <f t="shared" si="38"/>
        <v>1.02738826864329</v>
      </c>
      <c r="Q117" s="28">
        <f t="shared" si="39"/>
        <v>113.166314156139</v>
      </c>
      <c r="R117" s="28">
        <f t="shared" si="40"/>
        <v>2.98315707806932</v>
      </c>
      <c r="S117" s="28">
        <f t="shared" si="41"/>
        <v>6.28318530717959</v>
      </c>
      <c r="T117" s="58">
        <f t="shared" si="42"/>
        <v>53.6</v>
      </c>
      <c r="U117" s="48">
        <f t="shared" si="43"/>
        <v>38.4244209767081</v>
      </c>
      <c r="V117" s="48">
        <f t="shared" si="70"/>
        <v>0</v>
      </c>
      <c r="W117" s="59">
        <f t="shared" si="44"/>
        <v>3.14159265358979</v>
      </c>
      <c r="X117" s="48">
        <f t="shared" si="45"/>
        <v>21.4875</v>
      </c>
      <c r="Y117" s="48">
        <f t="shared" si="46"/>
        <v>80.4</v>
      </c>
      <c r="Z117" s="48">
        <f t="shared" si="47"/>
        <v>0</v>
      </c>
      <c r="AA117" s="48">
        <f t="shared" si="65"/>
        <v>5786.01992489352</v>
      </c>
      <c r="AB117" s="69">
        <f t="shared" si="48"/>
        <v>3239.65010516382</v>
      </c>
      <c r="AC117" s="70">
        <f t="shared" si="49"/>
        <v>9025.67003005733</v>
      </c>
      <c r="AD117" s="70">
        <f t="shared" si="50"/>
        <v>1289.0897135475</v>
      </c>
      <c r="AE117" s="70">
        <f t="shared" si="51"/>
        <v>1.04753889911776</v>
      </c>
      <c r="AF117" s="70">
        <f t="shared" si="52"/>
        <v>102.456567765409</v>
      </c>
      <c r="AG117" s="70">
        <f t="shared" si="53"/>
        <v>45483.8114483211</v>
      </c>
      <c r="AH117" s="70">
        <f t="shared" si="54"/>
        <v>857.345835942621</v>
      </c>
      <c r="AI117" s="70">
        <f t="shared" si="55"/>
        <v>0.137293379749329</v>
      </c>
      <c r="AJ117" s="48">
        <f t="shared" si="56"/>
        <v>1</v>
      </c>
      <c r="AK117" s="69">
        <f t="shared" si="71"/>
        <v>1056.81488065456</v>
      </c>
      <c r="AL117" s="70">
        <f t="shared" si="57"/>
        <v>1032.62160299879</v>
      </c>
      <c r="AM117" s="70">
        <f t="shared" si="58"/>
        <v>0.839128018665018</v>
      </c>
      <c r="AN117" s="70">
        <f t="shared" si="59"/>
        <v>92.5945679598778</v>
      </c>
      <c r="AO117" s="87">
        <f t="shared" si="60"/>
        <v>38466.7203038047</v>
      </c>
      <c r="AP117" s="87">
        <f t="shared" si="61"/>
        <v>770.079996647316</v>
      </c>
      <c r="AQ117" s="70">
        <f t="shared" si="62"/>
        <v>0.141489867988685</v>
      </c>
      <c r="AR117" s="48">
        <f t="shared" si="63"/>
        <v>1</v>
      </c>
      <c r="AS117" s="48">
        <f t="shared" si="72"/>
        <v>931.343168177285</v>
      </c>
      <c r="AV117" s="11"/>
    </row>
    <row r="118" ht="17.5" spans="1:48">
      <c r="A118" s="98"/>
      <c r="B118" s="101" t="s">
        <v>238</v>
      </c>
      <c r="C118" s="27">
        <v>340.26</v>
      </c>
      <c r="D118" s="28">
        <v>46.3921424798962</v>
      </c>
      <c r="E118" s="27">
        <v>114.6</v>
      </c>
      <c r="F118" s="100">
        <v>3.7</v>
      </c>
      <c r="G118" s="27">
        <v>342</v>
      </c>
      <c r="H118" s="28">
        <v>1.44288469816103</v>
      </c>
      <c r="I118" s="27">
        <v>360</v>
      </c>
      <c r="J118" s="27">
        <v>85.95</v>
      </c>
      <c r="K118" s="27">
        <v>42.75</v>
      </c>
      <c r="L118" s="112">
        <v>970</v>
      </c>
      <c r="M118" s="51">
        <f t="shared" si="69"/>
        <v>948.757682262529</v>
      </c>
      <c r="N118" s="48">
        <f t="shared" si="37"/>
        <v>0.978100703363432</v>
      </c>
      <c r="O118" s="49"/>
      <c r="P118" s="48">
        <f t="shared" si="38"/>
        <v>1.05512799600237</v>
      </c>
      <c r="Q118" s="28">
        <f t="shared" si="39"/>
        <v>111.714230603678</v>
      </c>
      <c r="R118" s="28">
        <f t="shared" si="40"/>
        <v>2.25711530183897</v>
      </c>
      <c r="S118" s="28">
        <f t="shared" si="41"/>
        <v>6.28318530717959</v>
      </c>
      <c r="T118" s="58">
        <f t="shared" si="42"/>
        <v>53.6</v>
      </c>
      <c r="U118" s="48">
        <f t="shared" si="43"/>
        <v>38.4244209767081</v>
      </c>
      <c r="V118" s="48">
        <f t="shared" si="70"/>
        <v>0</v>
      </c>
      <c r="W118" s="59">
        <f t="shared" si="44"/>
        <v>3.14159265358979</v>
      </c>
      <c r="X118" s="48">
        <f t="shared" si="45"/>
        <v>21.4875</v>
      </c>
      <c r="Y118" s="48">
        <f t="shared" si="46"/>
        <v>80.4</v>
      </c>
      <c r="Z118" s="48">
        <f t="shared" si="47"/>
        <v>0</v>
      </c>
      <c r="AA118" s="48">
        <f t="shared" si="65"/>
        <v>5786.01992489352</v>
      </c>
      <c r="AB118" s="69">
        <f t="shared" si="48"/>
        <v>3239.65010516382</v>
      </c>
      <c r="AC118" s="70">
        <f t="shared" si="49"/>
        <v>9025.67003005733</v>
      </c>
      <c r="AD118" s="70">
        <f t="shared" si="50"/>
        <v>1289.0897135475</v>
      </c>
      <c r="AE118" s="70">
        <f t="shared" si="51"/>
        <v>1.04753889911776</v>
      </c>
      <c r="AF118" s="70">
        <f t="shared" si="52"/>
        <v>102.456567765409</v>
      </c>
      <c r="AG118" s="70">
        <f t="shared" si="53"/>
        <v>45483.8114483211</v>
      </c>
      <c r="AH118" s="70">
        <f t="shared" si="54"/>
        <v>857.345835942621</v>
      </c>
      <c r="AI118" s="70">
        <f t="shared" si="55"/>
        <v>0.137293379749329</v>
      </c>
      <c r="AJ118" s="48">
        <f t="shared" si="56"/>
        <v>1</v>
      </c>
      <c r="AK118" s="69">
        <f t="shared" si="71"/>
        <v>1056.81488065456</v>
      </c>
      <c r="AL118" s="70">
        <f t="shared" si="57"/>
        <v>776.15349245007</v>
      </c>
      <c r="AM118" s="70">
        <f t="shared" si="58"/>
        <v>0.63071713821227</v>
      </c>
      <c r="AN118" s="70">
        <f t="shared" si="59"/>
        <v>82.7325681543468</v>
      </c>
      <c r="AO118" s="87">
        <f t="shared" si="60"/>
        <v>31626.29980858</v>
      </c>
      <c r="AP118" s="87">
        <f t="shared" si="61"/>
        <v>682.81415735201</v>
      </c>
      <c r="AQ118" s="70">
        <f t="shared" si="62"/>
        <v>0.146935612194113</v>
      </c>
      <c r="AR118" s="48">
        <f t="shared" si="63"/>
        <v>1</v>
      </c>
      <c r="AS118" s="48">
        <f t="shared" si="72"/>
        <v>810.930032612723</v>
      </c>
      <c r="AV118" s="11"/>
    </row>
    <row r="119" ht="17.5" spans="1:48">
      <c r="A119" s="98"/>
      <c r="B119" s="101" t="s">
        <v>239</v>
      </c>
      <c r="C119" s="27">
        <v>340.26</v>
      </c>
      <c r="D119" s="28">
        <v>46.3921424798962</v>
      </c>
      <c r="E119" s="27">
        <v>114.6</v>
      </c>
      <c r="F119" s="100">
        <v>3.7</v>
      </c>
      <c r="G119" s="27">
        <v>342</v>
      </c>
      <c r="H119" s="28">
        <v>2.17848882002237</v>
      </c>
      <c r="I119" s="27">
        <v>360</v>
      </c>
      <c r="J119" s="27">
        <v>85.95</v>
      </c>
      <c r="K119" s="27">
        <v>42.75</v>
      </c>
      <c r="L119" s="112">
        <v>856</v>
      </c>
      <c r="M119" s="51">
        <f t="shared" si="69"/>
        <v>893.924864909537</v>
      </c>
      <c r="N119" s="48">
        <f t="shared" si="37"/>
        <v>1.0443047487261</v>
      </c>
      <c r="O119" s="49"/>
      <c r="P119" s="48">
        <f t="shared" si="38"/>
        <v>1.08323306991506</v>
      </c>
      <c r="Q119" s="28">
        <f t="shared" si="39"/>
        <v>110.243022359955</v>
      </c>
      <c r="R119" s="28">
        <f t="shared" si="40"/>
        <v>1.52151117997763</v>
      </c>
      <c r="S119" s="28">
        <f t="shared" si="41"/>
        <v>6.28318530717959</v>
      </c>
      <c r="T119" s="58">
        <f t="shared" si="42"/>
        <v>53.6</v>
      </c>
      <c r="U119" s="48">
        <f t="shared" si="43"/>
        <v>38.4244209767081</v>
      </c>
      <c r="V119" s="48">
        <f t="shared" si="70"/>
        <v>0</v>
      </c>
      <c r="W119" s="59">
        <f t="shared" si="44"/>
        <v>3.14159265358979</v>
      </c>
      <c r="X119" s="48">
        <f t="shared" si="45"/>
        <v>21.4875</v>
      </c>
      <c r="Y119" s="48">
        <f t="shared" si="46"/>
        <v>80.4</v>
      </c>
      <c r="Z119" s="48">
        <f t="shared" si="47"/>
        <v>0</v>
      </c>
      <c r="AA119" s="48">
        <f t="shared" si="65"/>
        <v>5786.01992489352</v>
      </c>
      <c r="AB119" s="69">
        <f t="shared" si="48"/>
        <v>3239.65010516382</v>
      </c>
      <c r="AC119" s="70">
        <f t="shared" si="49"/>
        <v>9025.67003005733</v>
      </c>
      <c r="AD119" s="70">
        <f t="shared" si="50"/>
        <v>1289.0897135475</v>
      </c>
      <c r="AE119" s="70">
        <f t="shared" si="51"/>
        <v>1.04753889911776</v>
      </c>
      <c r="AF119" s="70">
        <f t="shared" si="52"/>
        <v>102.456567765409</v>
      </c>
      <c r="AG119" s="70">
        <f t="shared" si="53"/>
        <v>45483.8114483211</v>
      </c>
      <c r="AH119" s="70">
        <f t="shared" si="54"/>
        <v>857.345835942621</v>
      </c>
      <c r="AI119" s="70">
        <f t="shared" si="55"/>
        <v>0.137293379749329</v>
      </c>
      <c r="AJ119" s="48">
        <f t="shared" si="56"/>
        <v>1</v>
      </c>
      <c r="AK119" s="69">
        <f t="shared" si="71"/>
        <v>1056.81488065456</v>
      </c>
      <c r="AL119" s="70">
        <f t="shared" si="57"/>
        <v>519.68538190135</v>
      </c>
      <c r="AM119" s="70">
        <f t="shared" si="58"/>
        <v>0.422306257759519</v>
      </c>
      <c r="AN119" s="70">
        <f t="shared" si="59"/>
        <v>72.8705683488157</v>
      </c>
      <c r="AO119" s="87">
        <f t="shared" si="60"/>
        <v>24962.5499626467</v>
      </c>
      <c r="AP119" s="87">
        <f t="shared" si="61"/>
        <v>595.548318056702</v>
      </c>
      <c r="AQ119" s="70">
        <f t="shared" si="62"/>
        <v>0.15445928767768</v>
      </c>
      <c r="AR119" s="48">
        <f t="shared" si="63"/>
        <v>1</v>
      </c>
      <c r="AS119" s="48">
        <f t="shared" si="72"/>
        <v>695.575473960873</v>
      </c>
      <c r="AV119" s="11"/>
    </row>
    <row r="120" ht="17.5" spans="1:48">
      <c r="A120" s="102"/>
      <c r="B120" s="103" t="s">
        <v>240</v>
      </c>
      <c r="C120" s="33">
        <v>340.26</v>
      </c>
      <c r="D120" s="34">
        <v>46.3921424798962</v>
      </c>
      <c r="E120" s="33">
        <v>114.6</v>
      </c>
      <c r="F120" s="104">
        <v>3.7</v>
      </c>
      <c r="G120" s="33">
        <v>342</v>
      </c>
      <c r="H120" s="34">
        <v>2.54999701164272</v>
      </c>
      <c r="I120" s="33">
        <v>360</v>
      </c>
      <c r="J120" s="33">
        <v>85.95</v>
      </c>
      <c r="K120" s="33">
        <v>42.75</v>
      </c>
      <c r="L120" s="113">
        <v>711</v>
      </c>
      <c r="M120" s="52">
        <f t="shared" si="69"/>
        <v>866.395859666825</v>
      </c>
      <c r="N120" s="54">
        <f t="shared" si="37"/>
        <v>1.21855957759047</v>
      </c>
      <c r="O120" s="49"/>
      <c r="P120" s="48">
        <f t="shared" si="38"/>
        <v>1.09742720623697</v>
      </c>
      <c r="Q120" s="28">
        <f t="shared" si="39"/>
        <v>109.500005976715</v>
      </c>
      <c r="R120" s="28">
        <f t="shared" si="40"/>
        <v>1.15000298835728</v>
      </c>
      <c r="S120" s="28">
        <f t="shared" si="41"/>
        <v>6.28318530717959</v>
      </c>
      <c r="T120" s="58">
        <f t="shared" si="42"/>
        <v>53.6</v>
      </c>
      <c r="U120" s="48">
        <f t="shared" si="43"/>
        <v>38.4244209767081</v>
      </c>
      <c r="V120" s="48">
        <f t="shared" si="70"/>
        <v>0</v>
      </c>
      <c r="W120" s="59">
        <f t="shared" si="44"/>
        <v>3.14159265358979</v>
      </c>
      <c r="X120" s="48">
        <f t="shared" si="45"/>
        <v>21.4875</v>
      </c>
      <c r="Y120" s="48">
        <f t="shared" si="46"/>
        <v>80.4</v>
      </c>
      <c r="Z120" s="48">
        <f t="shared" si="47"/>
        <v>0</v>
      </c>
      <c r="AA120" s="48">
        <f t="shared" si="65"/>
        <v>5786.01992489352</v>
      </c>
      <c r="AB120" s="69">
        <f t="shared" si="48"/>
        <v>3239.65010516382</v>
      </c>
      <c r="AC120" s="70">
        <f t="shared" si="49"/>
        <v>9025.67003005733</v>
      </c>
      <c r="AD120" s="70">
        <f t="shared" si="50"/>
        <v>1289.0897135475</v>
      </c>
      <c r="AE120" s="70">
        <f t="shared" si="51"/>
        <v>1.04753889911776</v>
      </c>
      <c r="AF120" s="70">
        <f t="shared" si="52"/>
        <v>102.456567765409</v>
      </c>
      <c r="AG120" s="70">
        <f t="shared" si="53"/>
        <v>45483.8114483211</v>
      </c>
      <c r="AH120" s="70">
        <f t="shared" si="54"/>
        <v>857.345835942621</v>
      </c>
      <c r="AI120" s="70">
        <f t="shared" si="55"/>
        <v>0.137293379749329</v>
      </c>
      <c r="AJ120" s="48">
        <f t="shared" si="56"/>
        <v>1</v>
      </c>
      <c r="AK120" s="48">
        <f t="shared" si="71"/>
        <v>1056.81488065456</v>
      </c>
      <c r="AL120" s="70">
        <f t="shared" si="57"/>
        <v>391.451326626991</v>
      </c>
      <c r="AM120" s="70">
        <f t="shared" si="58"/>
        <v>0.318100817533145</v>
      </c>
      <c r="AN120" s="70">
        <f t="shared" si="59"/>
        <v>67.9395684460502</v>
      </c>
      <c r="AO120" s="87">
        <f t="shared" si="60"/>
        <v>21696.9265331644</v>
      </c>
      <c r="AP120" s="87">
        <f t="shared" si="61"/>
        <v>551.915398409049</v>
      </c>
      <c r="AQ120" s="70">
        <f t="shared" si="62"/>
        <v>0.159491354474032</v>
      </c>
      <c r="AR120" s="48">
        <f t="shared" si="63"/>
        <v>1</v>
      </c>
      <c r="AS120" s="48">
        <f t="shared" si="72"/>
        <v>639.795160977215</v>
      </c>
      <c r="AV120" s="11"/>
    </row>
    <row r="121" s="1" customFormat="1" ht="15.5" spans="1:55">
      <c r="A121" s="93" t="s">
        <v>241</v>
      </c>
      <c r="B121" s="26" t="s">
        <v>242</v>
      </c>
      <c r="C121" s="27">
        <v>345</v>
      </c>
      <c r="D121" s="28">
        <v>30.8843821073145</v>
      </c>
      <c r="E121" s="27">
        <v>140.1</v>
      </c>
      <c r="F121" s="27">
        <v>3.94</v>
      </c>
      <c r="G121" s="27">
        <v>2099.2</v>
      </c>
      <c r="H121" s="27">
        <v>0</v>
      </c>
      <c r="I121" s="27">
        <v>0</v>
      </c>
      <c r="J121" s="27">
        <v>0</v>
      </c>
      <c r="K121" s="27">
        <v>0</v>
      </c>
      <c r="L121" s="27">
        <v>982</v>
      </c>
      <c r="M121" s="51">
        <f t="shared" si="69"/>
        <v>923.469315019006</v>
      </c>
      <c r="N121" s="53">
        <f t="shared" si="37"/>
        <v>0.940396451139517</v>
      </c>
      <c r="O121" s="49"/>
      <c r="P121" s="53">
        <f t="shared" si="38"/>
        <v>1</v>
      </c>
      <c r="Q121" s="23">
        <f t="shared" si="39"/>
        <v>140.1</v>
      </c>
      <c r="R121" s="23">
        <f t="shared" si="40"/>
        <v>3.94</v>
      </c>
      <c r="S121" s="24">
        <f t="shared" si="41"/>
        <v>0</v>
      </c>
      <c r="T121" s="46">
        <f t="shared" si="42"/>
        <v>66.11</v>
      </c>
      <c r="U121" s="53">
        <f t="shared" si="43"/>
        <v>43.8410896177797</v>
      </c>
      <c r="V121" s="53">
        <f t="shared" si="70"/>
        <v>43.8410896177797</v>
      </c>
      <c r="W121" s="60">
        <f t="shared" si="44"/>
        <v>0.6631536774736</v>
      </c>
      <c r="X121" s="53">
        <f t="shared" si="45"/>
        <v>0</v>
      </c>
      <c r="Y121" s="53">
        <f t="shared" si="46"/>
        <v>40.0608507876157</v>
      </c>
      <c r="Z121" s="53">
        <f t="shared" si="47"/>
        <v>0</v>
      </c>
      <c r="AA121" s="53">
        <f t="shared" si="65"/>
        <v>0</v>
      </c>
      <c r="AB121" s="47">
        <f t="shared" si="48"/>
        <v>13730.4315376384</v>
      </c>
      <c r="AC121" s="72">
        <f t="shared" si="49"/>
        <v>13730.4315376384</v>
      </c>
      <c r="AD121" s="72">
        <f t="shared" si="50"/>
        <v>1685.37146750837</v>
      </c>
      <c r="AE121" s="72">
        <f t="shared" si="51"/>
        <v>1.37117102809099</v>
      </c>
      <c r="AF121" s="72">
        <f t="shared" si="52"/>
        <v>78.4029209677007</v>
      </c>
      <c r="AG121" s="72">
        <f t="shared" si="53"/>
        <v>2417.60430402882</v>
      </c>
      <c r="AH121" s="72">
        <f t="shared" si="54"/>
        <v>1005.50905039713</v>
      </c>
      <c r="AI121" s="72">
        <f t="shared" si="55"/>
        <v>0.644911886967379</v>
      </c>
      <c r="AJ121" s="53">
        <f t="shared" si="56"/>
        <v>0.764054036370417</v>
      </c>
      <c r="AK121" s="53">
        <f t="shared" si="71"/>
        <v>923.469315019006</v>
      </c>
      <c r="AL121" s="72">
        <f t="shared" si="57"/>
        <v>1685.37146750837</v>
      </c>
      <c r="AM121" s="72">
        <f t="shared" si="58"/>
        <v>1.37117102809099</v>
      </c>
      <c r="AN121" s="72">
        <f t="shared" si="59"/>
        <v>78.4029209677007</v>
      </c>
      <c r="AO121" s="88">
        <f t="shared" si="60"/>
        <v>2417.60430402882</v>
      </c>
      <c r="AP121" s="88">
        <f t="shared" si="61"/>
        <v>1005.50905039713</v>
      </c>
      <c r="AQ121" s="72">
        <f t="shared" si="62"/>
        <v>0.644911886967379</v>
      </c>
      <c r="AR121" s="53">
        <f t="shared" si="63"/>
        <v>0.764054036370417</v>
      </c>
      <c r="AS121" s="53">
        <f t="shared" si="72"/>
        <v>923.469315019006</v>
      </c>
      <c r="AT121" s="9"/>
      <c r="AU121" s="11"/>
      <c r="AV121" s="11"/>
      <c r="AW121" s="2"/>
      <c r="AX121" s="2"/>
      <c r="AY121" s="2"/>
      <c r="AZ121" s="2"/>
      <c r="BA121" s="2"/>
      <c r="BB121" s="2"/>
      <c r="BC121" s="2"/>
    </row>
    <row r="122" s="1" customFormat="1" ht="15.5" spans="1:55">
      <c r="A122" s="91"/>
      <c r="B122" s="26" t="s">
        <v>243</v>
      </c>
      <c r="C122" s="27">
        <v>345</v>
      </c>
      <c r="D122" s="28">
        <v>30.8843821073145</v>
      </c>
      <c r="E122" s="27">
        <v>140.4</v>
      </c>
      <c r="F122" s="27">
        <v>3.95</v>
      </c>
      <c r="G122" s="27">
        <v>2101</v>
      </c>
      <c r="H122" s="27">
        <v>3.95</v>
      </c>
      <c r="I122" s="28">
        <f t="shared" ref="I122:I125" si="73">70/E122*2/2/PI()*360</f>
        <v>57.1325436740137</v>
      </c>
      <c r="J122" s="27">
        <v>210</v>
      </c>
      <c r="K122" s="27">
        <v>1050</v>
      </c>
      <c r="L122" s="27">
        <v>794</v>
      </c>
      <c r="M122" s="51">
        <f t="shared" si="69"/>
        <v>764.706504031227</v>
      </c>
      <c r="N122" s="48">
        <f t="shared" si="37"/>
        <v>0.963106428250915</v>
      </c>
      <c r="O122" s="49"/>
      <c r="P122" s="48">
        <f t="shared" si="38"/>
        <v>1.00003568029639</v>
      </c>
      <c r="Q122" s="27">
        <f t="shared" si="39"/>
        <v>132.5</v>
      </c>
      <c r="R122" s="27">
        <f t="shared" si="40"/>
        <v>0</v>
      </c>
      <c r="S122" s="28">
        <f t="shared" si="41"/>
        <v>0.997150997150997</v>
      </c>
      <c r="T122" s="58">
        <f t="shared" si="42"/>
        <v>66.25</v>
      </c>
      <c r="U122" s="48">
        <f t="shared" si="43"/>
        <v>43.9436637258338</v>
      </c>
      <c r="V122" s="48">
        <f t="shared" si="70"/>
        <v>43.9436637258338</v>
      </c>
      <c r="W122" s="59">
        <f t="shared" si="44"/>
        <v>1.16187608311639</v>
      </c>
      <c r="X122" s="48">
        <f t="shared" si="45"/>
        <v>52.5</v>
      </c>
      <c r="Y122" s="48">
        <f t="shared" si="46"/>
        <v>53.078876295775</v>
      </c>
      <c r="Z122" s="48">
        <f t="shared" si="47"/>
        <v>0</v>
      </c>
      <c r="AA122" s="48">
        <f t="shared" si="65"/>
        <v>3791.65202757643</v>
      </c>
      <c r="AB122" s="69">
        <f t="shared" si="48"/>
        <v>9996.99447857002</v>
      </c>
      <c r="AC122" s="70">
        <f t="shared" si="49"/>
        <v>13788.6465061465</v>
      </c>
      <c r="AD122" s="70">
        <f t="shared" si="50"/>
        <v>1693.24775445019</v>
      </c>
      <c r="AE122" s="70">
        <f t="shared" si="51"/>
        <v>1.37176288586877</v>
      </c>
      <c r="AF122" s="70">
        <f t="shared" si="52"/>
        <v>78.4215657126981</v>
      </c>
      <c r="AG122" s="70">
        <f t="shared" si="53"/>
        <v>2434.77737127863</v>
      </c>
      <c r="AH122" s="70">
        <f t="shared" si="54"/>
        <v>1010.02430272383</v>
      </c>
      <c r="AI122" s="70">
        <f t="shared" si="55"/>
        <v>0.644074764593042</v>
      </c>
      <c r="AJ122" s="48">
        <f t="shared" si="56"/>
        <v>0.764501892286508</v>
      </c>
      <c r="AK122" s="69">
        <f t="shared" si="71"/>
        <v>928.192747165752</v>
      </c>
      <c r="AL122" s="70">
        <f t="shared" si="57"/>
        <v>0</v>
      </c>
      <c r="AM122" s="70">
        <f t="shared" si="58"/>
        <v>0</v>
      </c>
      <c r="AN122" s="70">
        <f t="shared" si="59"/>
        <v>35.2081956023385</v>
      </c>
      <c r="AO122" s="87">
        <f t="shared" si="60"/>
        <v>671.100471959512</v>
      </c>
      <c r="AP122" s="87">
        <f t="shared" si="61"/>
        <v>425.853827438514</v>
      </c>
      <c r="AQ122" s="70">
        <f t="shared" si="62"/>
        <v>0.796593035894953</v>
      </c>
      <c r="AR122" s="48">
        <f t="shared" si="63"/>
        <v>0.687087542036654</v>
      </c>
      <c r="AS122" s="48">
        <f t="shared" si="72"/>
        <v>333.562699900258</v>
      </c>
      <c r="AT122" s="9"/>
      <c r="AU122" s="11"/>
      <c r="AV122" s="11"/>
      <c r="AW122" s="2"/>
      <c r="AX122" s="2"/>
      <c r="AY122" s="2"/>
      <c r="AZ122" s="2"/>
      <c r="BA122" s="2"/>
      <c r="BB122" s="2"/>
      <c r="BC122" s="2"/>
    </row>
    <row r="123" s="1" customFormat="1" ht="15.5" spans="1:55">
      <c r="A123" s="91"/>
      <c r="B123" s="26" t="s">
        <v>244</v>
      </c>
      <c r="C123" s="27">
        <v>345</v>
      </c>
      <c r="D123" s="28">
        <v>30.8843821073145</v>
      </c>
      <c r="E123" s="27">
        <v>140.4</v>
      </c>
      <c r="F123" s="27">
        <v>4.01</v>
      </c>
      <c r="G123" s="27">
        <v>2101</v>
      </c>
      <c r="H123" s="27">
        <v>4.01</v>
      </c>
      <c r="I123" s="28">
        <f t="shared" si="73"/>
        <v>57.1325436740137</v>
      </c>
      <c r="J123" s="27">
        <v>210</v>
      </c>
      <c r="K123" s="27">
        <v>700</v>
      </c>
      <c r="L123" s="27">
        <v>810</v>
      </c>
      <c r="M123" s="51">
        <f t="shared" si="69"/>
        <v>789.371770046103</v>
      </c>
      <c r="N123" s="48">
        <f t="shared" si="37"/>
        <v>0.974533049439633</v>
      </c>
      <c r="O123" s="49"/>
      <c r="P123" s="48">
        <f t="shared" si="38"/>
        <v>1.02501188776859</v>
      </c>
      <c r="Q123" s="27">
        <f t="shared" si="39"/>
        <v>132.38</v>
      </c>
      <c r="R123" s="27">
        <f t="shared" si="40"/>
        <v>0</v>
      </c>
      <c r="S123" s="28">
        <f t="shared" si="41"/>
        <v>0.997150997150997</v>
      </c>
      <c r="T123" s="58">
        <f t="shared" si="42"/>
        <v>66.19</v>
      </c>
      <c r="U123" s="48">
        <f t="shared" si="43"/>
        <v>44.2761552034305</v>
      </c>
      <c r="V123" s="48">
        <f t="shared" si="70"/>
        <v>44.2761552034305</v>
      </c>
      <c r="W123" s="59">
        <f t="shared" si="44"/>
        <v>1.16750064139814</v>
      </c>
      <c r="X123" s="48">
        <f t="shared" si="45"/>
        <v>52.5</v>
      </c>
      <c r="Y123" s="48">
        <f t="shared" si="46"/>
        <v>53.2018093588672</v>
      </c>
      <c r="Z123" s="48">
        <f t="shared" si="47"/>
        <v>0</v>
      </c>
      <c r="AA123" s="48">
        <f t="shared" si="65"/>
        <v>3800.79924158787</v>
      </c>
      <c r="AB123" s="69">
        <f t="shared" si="48"/>
        <v>9962.88291269609</v>
      </c>
      <c r="AC123" s="70">
        <f t="shared" si="49"/>
        <v>13763.682154284</v>
      </c>
      <c r="AD123" s="70">
        <f t="shared" si="50"/>
        <v>1718.21210631268</v>
      </c>
      <c r="AE123" s="70">
        <f t="shared" si="51"/>
        <v>1.39451219946376</v>
      </c>
      <c r="AF123" s="70">
        <f t="shared" si="52"/>
        <v>79.1382161763198</v>
      </c>
      <c r="AG123" s="70">
        <f t="shared" si="53"/>
        <v>2456.82584994604</v>
      </c>
      <c r="AH123" s="70">
        <f t="shared" si="54"/>
        <v>1017.86599553441</v>
      </c>
      <c r="AI123" s="70">
        <f t="shared" si="55"/>
        <v>0.643662364731022</v>
      </c>
      <c r="AJ123" s="48">
        <f t="shared" si="56"/>
        <v>0.764722620477296</v>
      </c>
      <c r="AK123" s="69">
        <f t="shared" si="71"/>
        <v>936.945415507842</v>
      </c>
      <c r="AL123" s="70">
        <f t="shared" si="57"/>
        <v>0</v>
      </c>
      <c r="AM123" s="70">
        <f t="shared" si="58"/>
        <v>0</v>
      </c>
      <c r="AN123" s="70">
        <f t="shared" si="59"/>
        <v>35.2081956023385</v>
      </c>
      <c r="AO123" s="87">
        <f t="shared" si="60"/>
        <v>668.672616242228</v>
      </c>
      <c r="AP123" s="87">
        <f t="shared" si="61"/>
        <v>425.082818856532</v>
      </c>
      <c r="AQ123" s="70">
        <f t="shared" si="62"/>
        <v>0.797315132618834</v>
      </c>
      <c r="AR123" s="48">
        <f t="shared" si="63"/>
        <v>0.68674032923229</v>
      </c>
      <c r="AS123" s="48">
        <f t="shared" si="72"/>
        <v>332.790527068678</v>
      </c>
      <c r="AT123" s="9"/>
      <c r="AU123" s="11"/>
      <c r="AV123" s="11"/>
      <c r="AW123" s="2"/>
      <c r="AX123" s="2"/>
      <c r="AY123" s="2"/>
      <c r="AZ123" s="2"/>
      <c r="BA123" s="2"/>
      <c r="BB123" s="2"/>
      <c r="BC123" s="2"/>
    </row>
    <row r="124" s="1" customFormat="1" ht="15.5" spans="1:55">
      <c r="A124" s="91"/>
      <c r="B124" s="26" t="s">
        <v>245</v>
      </c>
      <c r="C124" s="27">
        <v>345</v>
      </c>
      <c r="D124" s="28">
        <v>30.8843821073145</v>
      </c>
      <c r="E124" s="27">
        <v>140.4</v>
      </c>
      <c r="F124" s="27">
        <v>3.97</v>
      </c>
      <c r="G124" s="27">
        <v>2101</v>
      </c>
      <c r="H124" s="27">
        <v>3.97</v>
      </c>
      <c r="I124" s="28">
        <f t="shared" si="73"/>
        <v>57.1325436740137</v>
      </c>
      <c r="J124" s="27">
        <v>210</v>
      </c>
      <c r="K124" s="27">
        <v>350</v>
      </c>
      <c r="L124" s="51">
        <v>850</v>
      </c>
      <c r="M124" s="51">
        <f t="shared" si="69"/>
        <v>804.805400013411</v>
      </c>
      <c r="N124" s="48">
        <f t="shared" si="37"/>
        <v>0.946829882368719</v>
      </c>
      <c r="O124" s="49"/>
      <c r="P124" s="48">
        <f t="shared" si="38"/>
        <v>1.04998809524079</v>
      </c>
      <c r="Q124" s="27">
        <f t="shared" si="39"/>
        <v>132.46</v>
      </c>
      <c r="R124" s="27">
        <f t="shared" si="40"/>
        <v>0</v>
      </c>
      <c r="S124" s="28">
        <f t="shared" si="41"/>
        <v>0.997150997150997</v>
      </c>
      <c r="T124" s="58">
        <f t="shared" si="42"/>
        <v>66.23</v>
      </c>
      <c r="U124" s="48">
        <f t="shared" si="43"/>
        <v>44.0547730402983</v>
      </c>
      <c r="V124" s="48">
        <f t="shared" si="70"/>
        <v>44.0547730402983</v>
      </c>
      <c r="W124" s="59">
        <f t="shared" si="44"/>
        <v>1.16375401345242</v>
      </c>
      <c r="X124" s="48">
        <f t="shared" si="45"/>
        <v>52.5</v>
      </c>
      <c r="Y124" s="48">
        <f t="shared" si="46"/>
        <v>53.1199360014036</v>
      </c>
      <c r="Z124" s="48">
        <f t="shared" si="47"/>
        <v>0</v>
      </c>
      <c r="AA124" s="48">
        <f t="shared" si="65"/>
        <v>3794.71290954258</v>
      </c>
      <c r="AB124" s="69">
        <f t="shared" si="48"/>
        <v>9985.60963270892</v>
      </c>
      <c r="AC124" s="70">
        <f t="shared" si="49"/>
        <v>13780.3225422515</v>
      </c>
      <c r="AD124" s="70">
        <f t="shared" si="50"/>
        <v>1701.57171834514</v>
      </c>
      <c r="AE124" s="70">
        <f t="shared" si="51"/>
        <v>1.37933912095544</v>
      </c>
      <c r="AF124" s="70">
        <f t="shared" si="52"/>
        <v>78.6602327988368</v>
      </c>
      <c r="AG124" s="70">
        <f t="shared" si="53"/>
        <v>2442.13352399703</v>
      </c>
      <c r="AH124" s="70">
        <f t="shared" si="54"/>
        <v>1012.63898978601</v>
      </c>
      <c r="AI124" s="70">
        <f t="shared" si="55"/>
        <v>0.643935872987264</v>
      </c>
      <c r="AJ124" s="48">
        <f t="shared" si="56"/>
        <v>0.764576223926671</v>
      </c>
      <c r="AK124" s="69">
        <f t="shared" si="71"/>
        <v>931.108117641277</v>
      </c>
      <c r="AL124" s="70">
        <f t="shared" si="57"/>
        <v>0</v>
      </c>
      <c r="AM124" s="70">
        <f t="shared" si="58"/>
        <v>0</v>
      </c>
      <c r="AN124" s="70">
        <f t="shared" si="59"/>
        <v>35.2081956023385</v>
      </c>
      <c r="AO124" s="87">
        <f t="shared" si="60"/>
        <v>670.290453377097</v>
      </c>
      <c r="AP124" s="87">
        <f t="shared" si="61"/>
        <v>425.596746956935</v>
      </c>
      <c r="AQ124" s="70">
        <f t="shared" si="62"/>
        <v>0.796833589431385</v>
      </c>
      <c r="AR124" s="48">
        <f t="shared" si="63"/>
        <v>0.686971854840412</v>
      </c>
      <c r="AS124" s="48">
        <f t="shared" si="72"/>
        <v>333.305204804998</v>
      </c>
      <c r="AT124" s="9"/>
      <c r="AU124" s="11"/>
      <c r="AV124" s="11"/>
      <c r="AW124" s="2"/>
      <c r="AX124" s="2"/>
      <c r="AY124" s="2"/>
      <c r="AZ124" s="2"/>
      <c r="BA124" s="2"/>
      <c r="BB124" s="2"/>
      <c r="BC124" s="2"/>
    </row>
    <row r="125" s="1" customFormat="1" ht="16.25" spans="1:55">
      <c r="A125" s="91"/>
      <c r="B125" s="26" t="s">
        <v>246</v>
      </c>
      <c r="C125" s="27">
        <v>345</v>
      </c>
      <c r="D125" s="28">
        <v>30.8843821073145</v>
      </c>
      <c r="E125" s="27">
        <v>140.1</v>
      </c>
      <c r="F125" s="27">
        <v>3.96</v>
      </c>
      <c r="G125" s="27">
        <v>2101.5</v>
      </c>
      <c r="H125" s="27">
        <v>2</v>
      </c>
      <c r="I125" s="28">
        <f t="shared" si="73"/>
        <v>57.2548831679624</v>
      </c>
      <c r="J125" s="27">
        <v>210</v>
      </c>
      <c r="K125" s="27">
        <v>1050</v>
      </c>
      <c r="L125" s="51">
        <v>925</v>
      </c>
      <c r="M125" s="51">
        <f t="shared" si="69"/>
        <v>838.194918875087</v>
      </c>
      <c r="N125" s="48">
        <f t="shared" si="37"/>
        <v>0.906156669054148</v>
      </c>
      <c r="O125" s="49"/>
      <c r="P125" s="114">
        <f t="shared" si="38"/>
        <v>1.00002701766661</v>
      </c>
      <c r="Q125" s="119">
        <f t="shared" si="39"/>
        <v>136.1</v>
      </c>
      <c r="R125" s="119">
        <f t="shared" si="40"/>
        <v>1.96</v>
      </c>
      <c r="S125" s="120">
        <f t="shared" si="41"/>
        <v>0.999286224125625</v>
      </c>
      <c r="T125" s="121">
        <f t="shared" si="42"/>
        <v>66.09</v>
      </c>
      <c r="U125" s="114">
        <f t="shared" si="43"/>
        <v>43.9522205682333</v>
      </c>
      <c r="V125" s="114">
        <f t="shared" si="70"/>
        <v>43.9522205682333</v>
      </c>
      <c r="W125" s="122">
        <f t="shared" si="44"/>
        <v>1.16467898085133</v>
      </c>
      <c r="X125" s="114">
        <f t="shared" si="45"/>
        <v>52.5</v>
      </c>
      <c r="Y125" s="114">
        <f t="shared" si="46"/>
        <v>53.0357224592623</v>
      </c>
      <c r="Z125" s="114">
        <f t="shared" si="47"/>
        <v>0</v>
      </c>
      <c r="AA125" s="114">
        <f t="shared" si="65"/>
        <v>3786.59694176395</v>
      </c>
      <c r="AB125" s="126">
        <f t="shared" si="48"/>
        <v>9935.52822489833</v>
      </c>
      <c r="AC125" s="127">
        <f t="shared" si="49"/>
        <v>13722.1251666623</v>
      </c>
      <c r="AD125" s="127">
        <f t="shared" si="50"/>
        <v>1693.67783848447</v>
      </c>
      <c r="AE125" s="127">
        <f t="shared" si="51"/>
        <v>1.37876295625504</v>
      </c>
      <c r="AF125" s="127">
        <f t="shared" si="52"/>
        <v>78.6420824182576</v>
      </c>
      <c r="AG125" s="127">
        <f t="shared" si="53"/>
        <v>2419.62140628813</v>
      </c>
      <c r="AH125" s="127">
        <f t="shared" si="54"/>
        <v>1008.11821124874</v>
      </c>
      <c r="AI125" s="127">
        <f t="shared" si="55"/>
        <v>0.645478856664872</v>
      </c>
      <c r="AJ125" s="114">
        <f t="shared" si="56"/>
        <v>0.763750859696483</v>
      </c>
      <c r="AK125" s="114">
        <f t="shared" si="71"/>
        <v>925.918729286371</v>
      </c>
      <c r="AL125" s="127">
        <f t="shared" si="57"/>
        <v>825.969947562968</v>
      </c>
      <c r="AM125" s="127">
        <f t="shared" si="58"/>
        <v>0.672392789704784</v>
      </c>
      <c r="AN125" s="127">
        <f t="shared" si="59"/>
        <v>56.3899601626531</v>
      </c>
      <c r="AO125" s="132">
        <f t="shared" si="60"/>
        <v>1494.85307898548</v>
      </c>
      <c r="AP125" s="132">
        <f t="shared" si="61"/>
        <v>708.758988880818</v>
      </c>
      <c r="AQ125" s="127">
        <f t="shared" si="62"/>
        <v>0.688573072056369</v>
      </c>
      <c r="AR125" s="114">
        <f t="shared" si="63"/>
        <v>0.741055621577498</v>
      </c>
      <c r="AS125" s="114">
        <f t="shared" si="72"/>
        <v>607.93720949391</v>
      </c>
      <c r="AT125" s="9"/>
      <c r="AU125" s="11"/>
      <c r="AV125" s="11"/>
      <c r="AW125" s="2"/>
      <c r="AX125" s="2"/>
      <c r="AY125" s="2"/>
      <c r="AZ125" s="2"/>
      <c r="BA125" s="2"/>
      <c r="BB125" s="2"/>
      <c r="BC125" s="2"/>
    </row>
    <row r="126" s="1" customFormat="1" ht="15.5" spans="1:48">
      <c r="A126" s="105"/>
      <c r="B126" s="106"/>
      <c r="C126" s="107"/>
      <c r="D126" s="106"/>
      <c r="E126" s="107"/>
      <c r="F126" s="107"/>
      <c r="G126" s="107"/>
      <c r="H126" s="107"/>
      <c r="I126" s="107"/>
      <c r="J126" s="107"/>
      <c r="K126" s="107"/>
      <c r="L126" s="115"/>
      <c r="M126" s="116"/>
      <c r="N126" s="117"/>
      <c r="O126" s="11"/>
      <c r="P126" s="6"/>
      <c r="Q126" s="27"/>
      <c r="R126" s="27"/>
      <c r="S126" s="109"/>
      <c r="T126" s="123"/>
      <c r="U126" s="6"/>
      <c r="V126" s="6"/>
      <c r="W126" s="124"/>
      <c r="X126" s="125"/>
      <c r="Y126" s="125"/>
      <c r="Z126" s="125"/>
      <c r="AA126" s="125"/>
      <c r="AB126"/>
      <c r="AC126" s="128"/>
      <c r="AD126" s="129"/>
      <c r="AE126" s="129"/>
      <c r="AF126" s="129"/>
      <c r="AG126" s="129"/>
      <c r="AH126" s="129"/>
      <c r="AI126" s="129"/>
      <c r="AJ126" s="6"/>
      <c r="AK126" s="6"/>
      <c r="AL126" s="129"/>
      <c r="AM126" s="129"/>
      <c r="AN126" s="129"/>
      <c r="AT126" s="125"/>
      <c r="AU126" s="3"/>
      <c r="AV126" s="133"/>
    </row>
    <row r="127" s="1" customFormat="1" ht="15.5" spans="1:48">
      <c r="A127" s="108"/>
      <c r="B127" s="27"/>
      <c r="C127" s="109"/>
      <c r="D127" s="27"/>
      <c r="E127" s="109"/>
      <c r="F127" s="109"/>
      <c r="G127" s="109"/>
      <c r="H127" s="109"/>
      <c r="I127" s="109"/>
      <c r="J127" s="109"/>
      <c r="K127" s="109"/>
      <c r="L127" s="118"/>
      <c r="M127"/>
      <c r="N127" s="7"/>
      <c r="O127" s="8"/>
      <c r="P127" s="6"/>
      <c r="Q127" s="27"/>
      <c r="R127" s="27"/>
      <c r="S127" s="109"/>
      <c r="T127" s="123"/>
      <c r="U127" s="6"/>
      <c r="V127" s="6"/>
      <c r="W127" s="124"/>
      <c r="X127" s="125"/>
      <c r="Y127" s="125"/>
      <c r="Z127" s="125"/>
      <c r="AA127" s="6"/>
      <c r="AB127"/>
      <c r="AC127" s="128"/>
      <c r="AD127" s="129"/>
      <c r="AE127" s="129"/>
      <c r="AF127" s="129"/>
      <c r="AG127" s="129"/>
      <c r="AH127" s="129"/>
      <c r="AI127" s="129"/>
      <c r="AJ127" s="6"/>
      <c r="AK127"/>
      <c r="AL127" s="129"/>
      <c r="AM127" s="129"/>
      <c r="AN127" s="129"/>
      <c r="AS127"/>
      <c r="AT127" s="125"/>
      <c r="AU127" s="3"/>
      <c r="AV127" s="133"/>
    </row>
    <row r="128" s="1" customFormat="1" ht="15.5" spans="1:48">
      <c r="A128" s="108"/>
      <c r="B128" s="27"/>
      <c r="C128" s="109"/>
      <c r="D128" s="27"/>
      <c r="E128" s="109"/>
      <c r="F128" s="109"/>
      <c r="G128" s="109"/>
      <c r="H128" s="109"/>
      <c r="I128" s="109"/>
      <c r="J128" s="109"/>
      <c r="K128" s="109"/>
      <c r="L128" s="118"/>
      <c r="M128"/>
      <c r="N128" s="7"/>
      <c r="O128" s="8"/>
      <c r="P128" s="6"/>
      <c r="Q128" s="27"/>
      <c r="R128" s="27"/>
      <c r="S128" s="109"/>
      <c r="T128" s="123"/>
      <c r="U128" s="6"/>
      <c r="V128" s="6"/>
      <c r="W128" s="124"/>
      <c r="X128" s="125"/>
      <c r="Y128" s="125"/>
      <c r="Z128" s="125"/>
      <c r="AA128" s="6"/>
      <c r="AB128"/>
      <c r="AC128" s="128"/>
      <c r="AD128" s="129"/>
      <c r="AE128" s="129"/>
      <c r="AF128" s="129"/>
      <c r="AG128" s="129"/>
      <c r="AH128" s="129"/>
      <c r="AI128" s="129"/>
      <c r="AJ128" s="6"/>
      <c r="AK128"/>
      <c r="AL128" s="129"/>
      <c r="AM128" s="129"/>
      <c r="AN128" s="129"/>
      <c r="AS128"/>
      <c r="AT128" s="125"/>
      <c r="AU128" s="3"/>
      <c r="AV128" s="133"/>
    </row>
    <row r="129" s="1" customFormat="1" ht="15.5" spans="1:48">
      <c r="A129" s="108"/>
      <c r="B129" s="27"/>
      <c r="C129" s="109"/>
      <c r="D129" s="27"/>
      <c r="E129" s="109"/>
      <c r="F129" s="109"/>
      <c r="G129" s="109"/>
      <c r="H129" s="109"/>
      <c r="I129" s="109"/>
      <c r="J129" s="109"/>
      <c r="K129" s="109"/>
      <c r="L129" s="118"/>
      <c r="M129"/>
      <c r="N129" s="7"/>
      <c r="O129" s="8"/>
      <c r="P129" s="6"/>
      <c r="Q129" s="27"/>
      <c r="R129" s="27"/>
      <c r="S129" s="109"/>
      <c r="T129" s="123"/>
      <c r="U129" s="6"/>
      <c r="V129" s="6"/>
      <c r="W129" s="124"/>
      <c r="X129" s="125"/>
      <c r="Y129" s="125"/>
      <c r="Z129" s="125"/>
      <c r="AA129" s="6"/>
      <c r="AB129"/>
      <c r="AC129" s="128"/>
      <c r="AD129" s="129"/>
      <c r="AE129" s="129"/>
      <c r="AF129" s="129"/>
      <c r="AG129" s="129"/>
      <c r="AH129" s="129"/>
      <c r="AI129" s="129"/>
      <c r="AJ129" s="6"/>
      <c r="AK129"/>
      <c r="AL129" s="129"/>
      <c r="AM129" s="129"/>
      <c r="AN129" s="129"/>
      <c r="AS129"/>
      <c r="AT129" s="125"/>
      <c r="AU129" s="3"/>
      <c r="AV129" s="133"/>
    </row>
    <row r="130" s="3" customFormat="1" ht="15.5" spans="1:48">
      <c r="A130" s="108"/>
      <c r="B130" s="27"/>
      <c r="C130" s="109"/>
      <c r="D130" s="27"/>
      <c r="E130" s="109"/>
      <c r="F130" s="109"/>
      <c r="G130" s="109"/>
      <c r="H130" s="109"/>
      <c r="I130" s="109"/>
      <c r="J130" s="109"/>
      <c r="K130" s="109"/>
      <c r="L130" s="118"/>
      <c r="M130" s="11"/>
      <c r="N130" s="8"/>
      <c r="O130" s="8"/>
      <c r="P130" s="5"/>
      <c r="Q130" s="27"/>
      <c r="R130" s="27"/>
      <c r="S130" s="109"/>
      <c r="T130" s="118"/>
      <c r="U130" s="5"/>
      <c r="V130" s="5"/>
      <c r="W130" s="140"/>
      <c r="X130" s="133"/>
      <c r="Y130" s="133"/>
      <c r="Z130" s="133"/>
      <c r="AA130" s="5"/>
      <c r="AB130" s="11"/>
      <c r="AC130" s="128"/>
      <c r="AD130" s="129"/>
      <c r="AE130" s="129"/>
      <c r="AF130" s="129"/>
      <c r="AG130" s="129"/>
      <c r="AH130" s="129"/>
      <c r="AI130" s="129"/>
      <c r="AJ130" s="5"/>
      <c r="AK130" s="11"/>
      <c r="AL130" s="129"/>
      <c r="AM130" s="129"/>
      <c r="AN130" s="129"/>
      <c r="AS130" s="11"/>
      <c r="AT130" s="133"/>
      <c r="AV130" s="133"/>
    </row>
    <row r="131" s="3" customFormat="1" ht="15.5" spans="1:48">
      <c r="A131" s="134"/>
      <c r="B131" s="109"/>
      <c r="C131" s="135"/>
      <c r="E131" s="109"/>
      <c r="F131" s="109"/>
      <c r="G131" s="109"/>
      <c r="H131" s="109"/>
      <c r="I131" s="109"/>
      <c r="J131" s="109"/>
      <c r="K131" s="109"/>
      <c r="L131" s="118"/>
      <c r="M131" s="11"/>
      <c r="N131" s="8"/>
      <c r="O131" s="8"/>
      <c r="P131" s="5"/>
      <c r="Q131" s="109"/>
      <c r="R131" s="109"/>
      <c r="S131" s="141"/>
      <c r="T131" s="118"/>
      <c r="U131" s="5"/>
      <c r="V131" s="5"/>
      <c r="W131" s="140"/>
      <c r="X131" s="133"/>
      <c r="Y131" s="133"/>
      <c r="Z131" s="133"/>
      <c r="AA131" s="5"/>
      <c r="AB131" s="11"/>
      <c r="AC131" s="128"/>
      <c r="AD131" s="129"/>
      <c r="AE131" s="129"/>
      <c r="AF131" s="129"/>
      <c r="AG131" s="129"/>
      <c r="AH131" s="129"/>
      <c r="AI131" s="129"/>
      <c r="AJ131" s="5"/>
      <c r="AK131" s="11"/>
      <c r="AL131" s="129"/>
      <c r="AM131" s="129"/>
      <c r="AN131" s="129"/>
      <c r="AS131" s="11"/>
      <c r="AT131" s="133"/>
      <c r="AV131" s="133"/>
    </row>
    <row r="132" s="3" customFormat="1" ht="15.5" spans="2:48">
      <c r="B132" s="109"/>
      <c r="C132" s="135"/>
      <c r="E132" s="109"/>
      <c r="F132" s="109"/>
      <c r="G132" s="109"/>
      <c r="H132" s="109"/>
      <c r="I132" s="109"/>
      <c r="J132" s="109"/>
      <c r="K132" s="109"/>
      <c r="L132" s="118"/>
      <c r="M132" s="11"/>
      <c r="N132" s="8"/>
      <c r="O132" s="8"/>
      <c r="P132" s="5"/>
      <c r="Q132" s="109"/>
      <c r="R132" s="109"/>
      <c r="S132" s="141"/>
      <c r="T132" s="118"/>
      <c r="U132" s="5"/>
      <c r="V132" s="5"/>
      <c r="W132" s="140"/>
      <c r="X132" s="133"/>
      <c r="Y132" s="133"/>
      <c r="Z132" s="133"/>
      <c r="AA132" s="5"/>
      <c r="AB132" s="11"/>
      <c r="AC132" s="128"/>
      <c r="AD132" s="129"/>
      <c r="AE132" s="129"/>
      <c r="AF132" s="129"/>
      <c r="AG132" s="129"/>
      <c r="AH132" s="129"/>
      <c r="AI132" s="129"/>
      <c r="AJ132" s="5"/>
      <c r="AK132" s="11"/>
      <c r="AL132" s="129"/>
      <c r="AM132" s="129"/>
      <c r="AN132" s="129"/>
      <c r="AS132" s="11"/>
      <c r="AT132" s="133"/>
      <c r="AV132" s="133"/>
    </row>
    <row r="133" s="3" customFormat="1" ht="15.5" spans="2:48">
      <c r="B133" s="109"/>
      <c r="C133" s="135"/>
      <c r="E133" s="109"/>
      <c r="F133" s="109"/>
      <c r="G133" s="109"/>
      <c r="H133" s="109"/>
      <c r="I133" s="109"/>
      <c r="J133" s="109"/>
      <c r="K133" s="109"/>
      <c r="L133" s="118"/>
      <c r="M133" s="11"/>
      <c r="N133" s="8"/>
      <c r="O133" s="8"/>
      <c r="P133" s="5"/>
      <c r="Q133" s="109"/>
      <c r="R133" s="109"/>
      <c r="S133" s="141"/>
      <c r="T133" s="118"/>
      <c r="U133" s="5"/>
      <c r="V133" s="5"/>
      <c r="W133" s="140"/>
      <c r="X133" s="133"/>
      <c r="Y133" s="133"/>
      <c r="Z133" s="133"/>
      <c r="AA133" s="5"/>
      <c r="AB133" s="11"/>
      <c r="AC133" s="128"/>
      <c r="AD133" s="129"/>
      <c r="AE133" s="129"/>
      <c r="AF133" s="129"/>
      <c r="AG133" s="129"/>
      <c r="AH133" s="129"/>
      <c r="AI133" s="129"/>
      <c r="AJ133" s="5"/>
      <c r="AK133" s="11"/>
      <c r="AL133" s="129"/>
      <c r="AM133" s="129"/>
      <c r="AN133" s="129"/>
      <c r="AS133" s="11"/>
      <c r="AT133" s="133"/>
      <c r="AV133" s="133"/>
    </row>
    <row r="134" s="3" customFormat="1" ht="15.5" spans="2:48">
      <c r="B134" s="109"/>
      <c r="C134" s="135"/>
      <c r="D134" s="134"/>
      <c r="E134" s="109"/>
      <c r="F134" s="109"/>
      <c r="G134" s="109"/>
      <c r="H134" s="109"/>
      <c r="I134" s="109"/>
      <c r="J134" s="109"/>
      <c r="K134" s="109"/>
      <c r="L134" s="118"/>
      <c r="M134" s="11"/>
      <c r="N134" s="8"/>
      <c r="O134" s="8"/>
      <c r="P134" s="5"/>
      <c r="Q134" s="109"/>
      <c r="R134" s="109"/>
      <c r="S134" s="141"/>
      <c r="T134" s="118"/>
      <c r="U134" s="5"/>
      <c r="V134" s="5"/>
      <c r="W134" s="140"/>
      <c r="X134" s="133"/>
      <c r="Y134" s="133"/>
      <c r="Z134" s="133"/>
      <c r="AA134" s="5"/>
      <c r="AB134" s="11"/>
      <c r="AC134" s="128"/>
      <c r="AD134" s="129"/>
      <c r="AE134" s="129"/>
      <c r="AF134" s="129"/>
      <c r="AG134" s="129"/>
      <c r="AH134" s="129"/>
      <c r="AI134" s="129"/>
      <c r="AJ134" s="5"/>
      <c r="AK134" s="11"/>
      <c r="AL134" s="129"/>
      <c r="AM134" s="129"/>
      <c r="AN134" s="129"/>
      <c r="AS134" s="11"/>
      <c r="AT134" s="133"/>
      <c r="AV134" s="133"/>
    </row>
    <row r="135" s="3" customFormat="1" ht="15.5" spans="1:48">
      <c r="A135" s="134"/>
      <c r="B135" s="109"/>
      <c r="C135" s="135"/>
      <c r="D135" s="134"/>
      <c r="E135" s="109"/>
      <c r="F135" s="109"/>
      <c r="G135" s="109"/>
      <c r="H135" s="109"/>
      <c r="I135" s="109"/>
      <c r="J135" s="109"/>
      <c r="K135" s="109"/>
      <c r="L135" s="118"/>
      <c r="M135" s="11"/>
      <c r="N135" s="8"/>
      <c r="O135" s="8"/>
      <c r="P135" s="5"/>
      <c r="Q135" s="109"/>
      <c r="R135" s="109"/>
      <c r="S135" s="141"/>
      <c r="T135" s="118"/>
      <c r="U135" s="5"/>
      <c r="V135" s="5"/>
      <c r="W135" s="140"/>
      <c r="X135" s="133"/>
      <c r="Y135" s="133"/>
      <c r="Z135" s="133"/>
      <c r="AA135" s="5"/>
      <c r="AB135" s="11"/>
      <c r="AC135" s="128"/>
      <c r="AD135" s="129"/>
      <c r="AE135" s="129"/>
      <c r="AF135" s="129"/>
      <c r="AG135" s="129"/>
      <c r="AH135" s="129"/>
      <c r="AI135" s="129"/>
      <c r="AJ135" s="5"/>
      <c r="AK135" s="11"/>
      <c r="AL135" s="129"/>
      <c r="AM135" s="129"/>
      <c r="AN135" s="129"/>
      <c r="AS135" s="11"/>
      <c r="AT135" s="133"/>
      <c r="AV135" s="133"/>
    </row>
    <row r="136" s="3" customFormat="1" ht="15.5" spans="1:48">
      <c r="A136" s="134"/>
      <c r="B136" s="109"/>
      <c r="C136" s="135"/>
      <c r="D136" s="134"/>
      <c r="E136" s="109"/>
      <c r="F136" s="109"/>
      <c r="G136" s="109"/>
      <c r="H136" s="109"/>
      <c r="I136" s="109"/>
      <c r="J136" s="109"/>
      <c r="K136" s="109"/>
      <c r="L136" s="118"/>
      <c r="M136" s="11"/>
      <c r="N136" s="8"/>
      <c r="O136" s="8"/>
      <c r="P136" s="5"/>
      <c r="Q136" s="109"/>
      <c r="R136" s="109"/>
      <c r="S136" s="141"/>
      <c r="T136" s="118"/>
      <c r="U136" s="5"/>
      <c r="V136" s="5"/>
      <c r="W136" s="140"/>
      <c r="X136" s="133"/>
      <c r="Y136" s="133"/>
      <c r="Z136" s="133"/>
      <c r="AA136" s="5"/>
      <c r="AB136" s="11"/>
      <c r="AC136" s="128"/>
      <c r="AD136" s="129"/>
      <c r="AE136" s="129"/>
      <c r="AF136" s="129"/>
      <c r="AG136" s="129"/>
      <c r="AH136" s="129"/>
      <c r="AI136" s="129"/>
      <c r="AJ136" s="5"/>
      <c r="AK136" s="11"/>
      <c r="AL136" s="129"/>
      <c r="AM136" s="129"/>
      <c r="AN136" s="129"/>
      <c r="AS136" s="11"/>
      <c r="AT136" s="133"/>
      <c r="AV136" s="133"/>
    </row>
    <row r="137" s="3" customFormat="1" ht="15.5" spans="1:48">
      <c r="A137" s="136"/>
      <c r="B137" s="109"/>
      <c r="C137" s="135"/>
      <c r="D137" s="134"/>
      <c r="E137" s="109"/>
      <c r="F137" s="109"/>
      <c r="G137" s="109"/>
      <c r="H137" s="109"/>
      <c r="I137" s="109"/>
      <c r="J137" s="109"/>
      <c r="K137" s="109"/>
      <c r="L137" s="118"/>
      <c r="M137" s="11"/>
      <c r="N137" s="8"/>
      <c r="O137" s="8"/>
      <c r="P137" s="5"/>
      <c r="Q137" s="109"/>
      <c r="R137" s="109"/>
      <c r="S137" s="141"/>
      <c r="T137" s="118"/>
      <c r="U137" s="5"/>
      <c r="V137" s="5"/>
      <c r="W137" s="140"/>
      <c r="X137" s="133"/>
      <c r="Y137" s="133"/>
      <c r="Z137" s="133"/>
      <c r="AA137" s="5"/>
      <c r="AB137" s="11"/>
      <c r="AC137" s="128"/>
      <c r="AD137" s="129"/>
      <c r="AE137" s="129"/>
      <c r="AF137" s="129"/>
      <c r="AG137" s="129"/>
      <c r="AH137" s="129"/>
      <c r="AI137" s="129"/>
      <c r="AJ137" s="5"/>
      <c r="AK137" s="11"/>
      <c r="AL137" s="129"/>
      <c r="AM137" s="129"/>
      <c r="AN137" s="129"/>
      <c r="AS137" s="11"/>
      <c r="AT137" s="133"/>
      <c r="AV137" s="133"/>
    </row>
    <row r="138" s="3" customFormat="1" ht="15.5" spans="1:48">
      <c r="A138" s="137"/>
      <c r="B138" s="109"/>
      <c r="C138" s="135"/>
      <c r="D138" s="135"/>
      <c r="E138" s="109"/>
      <c r="F138" s="109"/>
      <c r="G138" s="109"/>
      <c r="H138" s="109"/>
      <c r="I138" s="109"/>
      <c r="J138" s="109"/>
      <c r="K138" s="109"/>
      <c r="L138" s="118"/>
      <c r="M138" s="11"/>
      <c r="N138" s="8"/>
      <c r="O138" s="8"/>
      <c r="P138" s="5"/>
      <c r="Q138" s="109"/>
      <c r="R138" s="109"/>
      <c r="S138" s="141"/>
      <c r="T138" s="118"/>
      <c r="U138" s="5"/>
      <c r="V138" s="5"/>
      <c r="W138" s="140"/>
      <c r="X138" s="133"/>
      <c r="Y138" s="133"/>
      <c r="Z138" s="133"/>
      <c r="AA138" s="5"/>
      <c r="AB138" s="11"/>
      <c r="AC138" s="128"/>
      <c r="AD138" s="129"/>
      <c r="AE138" s="129"/>
      <c r="AF138" s="129"/>
      <c r="AG138" s="129"/>
      <c r="AH138" s="129"/>
      <c r="AI138" s="129"/>
      <c r="AJ138" s="5"/>
      <c r="AK138" s="11"/>
      <c r="AL138" s="129"/>
      <c r="AM138" s="129"/>
      <c r="AN138" s="129"/>
      <c r="AS138" s="11"/>
      <c r="AT138" s="133"/>
      <c r="AV138" s="133"/>
    </row>
    <row r="139" s="4" customFormat="1" ht="15.5" spans="1:46">
      <c r="A139" s="138"/>
      <c r="B139" s="27"/>
      <c r="C139" s="139"/>
      <c r="D139" s="27"/>
      <c r="E139" s="27"/>
      <c r="F139" s="27"/>
      <c r="G139" s="27"/>
      <c r="H139" s="27"/>
      <c r="I139" s="27"/>
      <c r="J139" s="27"/>
      <c r="K139" s="27"/>
      <c r="L139" s="51"/>
      <c r="M139" s="11"/>
      <c r="N139" s="8"/>
      <c r="P139" s="5"/>
      <c r="Q139" s="27"/>
      <c r="R139" s="27"/>
      <c r="S139" s="84"/>
      <c r="T139" s="118"/>
      <c r="U139" s="5"/>
      <c r="V139" s="5"/>
      <c r="W139" s="140"/>
      <c r="X139" s="133"/>
      <c r="Y139" s="133"/>
      <c r="Z139" s="133"/>
      <c r="AA139" s="5"/>
      <c r="AB139" s="11"/>
      <c r="AC139" s="128"/>
      <c r="AD139" s="129"/>
      <c r="AE139" s="129"/>
      <c r="AF139" s="129"/>
      <c r="AG139" s="129"/>
      <c r="AH139" s="129"/>
      <c r="AI139" s="129"/>
      <c r="AJ139" s="5"/>
      <c r="AK139" s="11"/>
      <c r="AL139" s="129"/>
      <c r="AM139" s="129"/>
      <c r="AN139" s="129"/>
      <c r="AO139" s="11"/>
      <c r="AP139" s="11"/>
      <c r="AQ139" s="11"/>
      <c r="AR139" s="11"/>
      <c r="AS139" s="11"/>
      <c r="AT139" s="84"/>
    </row>
    <row r="140" s="4" customFormat="1" ht="15.5" spans="1:46">
      <c r="A140" s="138"/>
      <c r="B140" s="27"/>
      <c r="C140" s="27"/>
      <c r="D140" s="27"/>
      <c r="E140" s="27"/>
      <c r="F140" s="27"/>
      <c r="G140" s="27"/>
      <c r="H140" s="27"/>
      <c r="I140" s="27"/>
      <c r="J140" s="27"/>
      <c r="K140" s="27"/>
      <c r="L140" s="27"/>
      <c r="M140" s="11"/>
      <c r="N140" s="8"/>
      <c r="P140" s="5"/>
      <c r="Q140" s="27"/>
      <c r="R140" s="27"/>
      <c r="S140" s="84"/>
      <c r="T140" s="118"/>
      <c r="U140" s="5"/>
      <c r="V140" s="5"/>
      <c r="W140" s="140"/>
      <c r="X140" s="133"/>
      <c r="Y140" s="133"/>
      <c r="Z140" s="133"/>
      <c r="AA140" s="5"/>
      <c r="AB140" s="11"/>
      <c r="AC140" s="128"/>
      <c r="AD140" s="129"/>
      <c r="AE140" s="129"/>
      <c r="AF140" s="129"/>
      <c r="AG140" s="129"/>
      <c r="AH140" s="129"/>
      <c r="AI140" s="129"/>
      <c r="AJ140" s="5"/>
      <c r="AK140" s="11"/>
      <c r="AL140" s="129"/>
      <c r="AM140" s="129"/>
      <c r="AN140" s="129"/>
      <c r="AO140" s="11"/>
      <c r="AP140" s="11"/>
      <c r="AQ140" s="11"/>
      <c r="AR140" s="11"/>
      <c r="AS140" s="11"/>
      <c r="AT140" s="84"/>
    </row>
    <row r="141" s="4" customFormat="1" ht="15.5" spans="1:46">
      <c r="A141" s="138"/>
      <c r="B141" s="27"/>
      <c r="C141" s="139"/>
      <c r="D141" s="27"/>
      <c r="E141" s="27"/>
      <c r="F141" s="27"/>
      <c r="G141" s="27"/>
      <c r="H141" s="27"/>
      <c r="I141" s="27"/>
      <c r="J141" s="27"/>
      <c r="K141" s="27"/>
      <c r="L141" s="51"/>
      <c r="M141" s="11"/>
      <c r="N141" s="8"/>
      <c r="P141" s="5"/>
      <c r="Q141" s="27"/>
      <c r="R141" s="27"/>
      <c r="S141" s="84"/>
      <c r="T141" s="118"/>
      <c r="U141" s="5"/>
      <c r="V141" s="5"/>
      <c r="W141" s="140"/>
      <c r="X141" s="133"/>
      <c r="Y141" s="133"/>
      <c r="Z141" s="133"/>
      <c r="AA141" s="5"/>
      <c r="AB141" s="11"/>
      <c r="AC141" s="128"/>
      <c r="AD141" s="129"/>
      <c r="AE141" s="129"/>
      <c r="AF141" s="129"/>
      <c r="AG141" s="129"/>
      <c r="AH141" s="129"/>
      <c r="AI141" s="129"/>
      <c r="AJ141" s="5"/>
      <c r="AK141" s="11"/>
      <c r="AL141" s="129"/>
      <c r="AM141" s="129"/>
      <c r="AN141" s="129"/>
      <c r="AO141" s="11"/>
      <c r="AP141" s="11"/>
      <c r="AQ141" s="11"/>
      <c r="AR141" s="11"/>
      <c r="AS141" s="11"/>
      <c r="AT141" s="84"/>
    </row>
    <row r="142" s="4" customFormat="1" ht="15.5" spans="1:46">
      <c r="A142" s="138"/>
      <c r="B142" s="27"/>
      <c r="C142" s="27"/>
      <c r="D142" s="27"/>
      <c r="E142" s="27"/>
      <c r="F142" s="27"/>
      <c r="G142" s="27"/>
      <c r="H142" s="27"/>
      <c r="I142" s="27"/>
      <c r="J142" s="27"/>
      <c r="K142" s="27"/>
      <c r="L142" s="27"/>
      <c r="M142" s="11"/>
      <c r="N142" s="8"/>
      <c r="P142" s="5"/>
      <c r="Q142" s="27"/>
      <c r="R142" s="27"/>
      <c r="S142" s="84"/>
      <c r="T142" s="118"/>
      <c r="U142" s="5"/>
      <c r="V142" s="5"/>
      <c r="W142" s="140"/>
      <c r="X142" s="133"/>
      <c r="Y142" s="133"/>
      <c r="Z142" s="133"/>
      <c r="AA142" s="5"/>
      <c r="AB142" s="11"/>
      <c r="AC142" s="128"/>
      <c r="AD142" s="129"/>
      <c r="AE142" s="129"/>
      <c r="AF142" s="129"/>
      <c r="AG142" s="129"/>
      <c r="AH142" s="129"/>
      <c r="AI142" s="129"/>
      <c r="AJ142" s="5"/>
      <c r="AK142" s="11"/>
      <c r="AL142" s="129"/>
      <c r="AM142" s="129"/>
      <c r="AN142" s="129"/>
      <c r="AO142" s="11"/>
      <c r="AP142" s="11"/>
      <c r="AQ142" s="11"/>
      <c r="AR142" s="11"/>
      <c r="AS142" s="11"/>
      <c r="AT142" s="84"/>
    </row>
    <row r="143" s="4" customFormat="1" ht="15.5" spans="1:46">
      <c r="A143" s="138"/>
      <c r="B143" s="27"/>
      <c r="C143" s="27"/>
      <c r="D143" s="27"/>
      <c r="E143" s="27"/>
      <c r="F143" s="27"/>
      <c r="G143" s="27"/>
      <c r="H143" s="27"/>
      <c r="I143" s="27"/>
      <c r="J143" s="27"/>
      <c r="K143" s="27"/>
      <c r="L143" s="27"/>
      <c r="M143" s="11"/>
      <c r="N143" s="8"/>
      <c r="P143" s="5"/>
      <c r="Q143" s="27"/>
      <c r="R143" s="27"/>
      <c r="S143" s="84"/>
      <c r="T143" s="118"/>
      <c r="U143" s="5"/>
      <c r="V143" s="5"/>
      <c r="W143" s="140"/>
      <c r="X143" s="133"/>
      <c r="Y143" s="133"/>
      <c r="Z143" s="133"/>
      <c r="AA143" s="5"/>
      <c r="AB143" s="11"/>
      <c r="AC143" s="128"/>
      <c r="AD143" s="129"/>
      <c r="AE143" s="129"/>
      <c r="AF143" s="129"/>
      <c r="AG143" s="129"/>
      <c r="AH143" s="129"/>
      <c r="AI143" s="129"/>
      <c r="AJ143" s="5"/>
      <c r="AK143" s="11"/>
      <c r="AL143" s="129"/>
      <c r="AM143" s="129"/>
      <c r="AN143" s="129"/>
      <c r="AO143" s="11"/>
      <c r="AP143" s="11"/>
      <c r="AQ143" s="11"/>
      <c r="AR143" s="11"/>
      <c r="AS143" s="11"/>
      <c r="AT143" s="84"/>
    </row>
    <row r="144" s="4" customFormat="1" ht="15.5" spans="1:46">
      <c r="A144" s="138"/>
      <c r="B144" s="27"/>
      <c r="C144" s="27"/>
      <c r="D144" s="27"/>
      <c r="E144" s="27"/>
      <c r="F144" s="27"/>
      <c r="G144" s="27"/>
      <c r="H144" s="27"/>
      <c r="I144" s="27"/>
      <c r="J144" s="27"/>
      <c r="K144" s="27"/>
      <c r="L144" s="27"/>
      <c r="M144" s="11"/>
      <c r="N144" s="8"/>
      <c r="P144" s="5"/>
      <c r="Q144" s="27"/>
      <c r="R144" s="27"/>
      <c r="S144" s="84"/>
      <c r="T144" s="118"/>
      <c r="U144" s="5"/>
      <c r="V144" s="5"/>
      <c r="W144" s="140"/>
      <c r="X144" s="133"/>
      <c r="Y144" s="133"/>
      <c r="Z144" s="133"/>
      <c r="AA144" s="5"/>
      <c r="AB144" s="11"/>
      <c r="AC144" s="128"/>
      <c r="AD144" s="129"/>
      <c r="AE144" s="129"/>
      <c r="AF144" s="129"/>
      <c r="AG144" s="129"/>
      <c r="AH144" s="129"/>
      <c r="AI144" s="129"/>
      <c r="AJ144" s="5"/>
      <c r="AK144" s="11"/>
      <c r="AL144" s="129"/>
      <c r="AM144" s="129"/>
      <c r="AN144" s="129"/>
      <c r="AO144" s="11"/>
      <c r="AP144" s="11"/>
      <c r="AQ144" s="11"/>
      <c r="AR144" s="11"/>
      <c r="AS144" s="11"/>
      <c r="AT144" s="84"/>
    </row>
    <row r="145" s="4" customFormat="1" ht="15.5" spans="1:46">
      <c r="A145" s="138"/>
      <c r="B145" s="27"/>
      <c r="C145" s="27"/>
      <c r="D145" s="27"/>
      <c r="E145" s="27"/>
      <c r="F145" s="27"/>
      <c r="G145" s="27"/>
      <c r="H145" s="27"/>
      <c r="I145" s="27"/>
      <c r="J145" s="27"/>
      <c r="K145" s="27"/>
      <c r="L145" s="27"/>
      <c r="M145" s="11"/>
      <c r="N145" s="8"/>
      <c r="P145" s="5"/>
      <c r="Q145" s="27"/>
      <c r="R145" s="27"/>
      <c r="S145" s="84"/>
      <c r="T145" s="118"/>
      <c r="U145" s="5"/>
      <c r="V145" s="5"/>
      <c r="W145" s="140"/>
      <c r="X145" s="133"/>
      <c r="Y145" s="133"/>
      <c r="Z145" s="133"/>
      <c r="AA145" s="5"/>
      <c r="AB145" s="11"/>
      <c r="AC145" s="128"/>
      <c r="AD145" s="129"/>
      <c r="AE145" s="129"/>
      <c r="AF145" s="129"/>
      <c r="AG145" s="129"/>
      <c r="AH145" s="129"/>
      <c r="AI145" s="129"/>
      <c r="AJ145" s="5"/>
      <c r="AK145" s="11"/>
      <c r="AL145" s="129"/>
      <c r="AM145" s="129"/>
      <c r="AN145" s="129"/>
      <c r="AO145" s="11"/>
      <c r="AP145" s="11"/>
      <c r="AQ145" s="11"/>
      <c r="AR145" s="11"/>
      <c r="AS145" s="11"/>
      <c r="AT145" s="84"/>
    </row>
    <row r="146" s="4" customFormat="1" ht="15.5" spans="1:46">
      <c r="A146" s="138"/>
      <c r="B146" s="27"/>
      <c r="C146" s="139"/>
      <c r="D146" s="27"/>
      <c r="E146" s="27"/>
      <c r="F146" s="27"/>
      <c r="G146" s="27"/>
      <c r="H146" s="27"/>
      <c r="I146" s="27"/>
      <c r="J146" s="27"/>
      <c r="K146" s="27"/>
      <c r="L146" s="51"/>
      <c r="M146" s="11"/>
      <c r="N146" s="8"/>
      <c r="P146" s="5"/>
      <c r="Q146" s="27"/>
      <c r="R146" s="27"/>
      <c r="S146" s="84"/>
      <c r="T146" s="118"/>
      <c r="U146" s="5"/>
      <c r="V146" s="5"/>
      <c r="W146" s="140"/>
      <c r="X146" s="133"/>
      <c r="Y146" s="133"/>
      <c r="Z146" s="133"/>
      <c r="AA146" s="5"/>
      <c r="AB146" s="11"/>
      <c r="AC146" s="128"/>
      <c r="AD146" s="129"/>
      <c r="AE146" s="129"/>
      <c r="AF146" s="129"/>
      <c r="AG146" s="129"/>
      <c r="AH146" s="129"/>
      <c r="AI146" s="129"/>
      <c r="AJ146" s="5"/>
      <c r="AK146" s="11"/>
      <c r="AL146" s="129"/>
      <c r="AM146" s="129"/>
      <c r="AN146" s="129"/>
      <c r="AO146" s="11"/>
      <c r="AP146" s="11"/>
      <c r="AQ146" s="11"/>
      <c r="AR146" s="11"/>
      <c r="AS146" s="11"/>
      <c r="AT146" s="84"/>
    </row>
    <row r="147" s="4" customFormat="1" ht="15.5" spans="1:46">
      <c r="A147" s="138"/>
      <c r="B147" s="27"/>
      <c r="C147" s="139"/>
      <c r="D147" s="27"/>
      <c r="E147" s="27"/>
      <c r="F147" s="27"/>
      <c r="G147" s="27"/>
      <c r="H147" s="27"/>
      <c r="I147" s="27"/>
      <c r="J147" s="27"/>
      <c r="K147" s="27"/>
      <c r="L147" s="51"/>
      <c r="M147" s="11"/>
      <c r="N147" s="8"/>
      <c r="P147" s="5"/>
      <c r="Q147" s="27"/>
      <c r="R147" s="27"/>
      <c r="S147" s="84"/>
      <c r="T147" s="118"/>
      <c r="U147" s="5"/>
      <c r="V147" s="5"/>
      <c r="W147" s="140"/>
      <c r="X147" s="133"/>
      <c r="Y147" s="133"/>
      <c r="Z147" s="133"/>
      <c r="AA147" s="5"/>
      <c r="AB147" s="11"/>
      <c r="AC147" s="128"/>
      <c r="AD147" s="129"/>
      <c r="AE147" s="129"/>
      <c r="AF147" s="129"/>
      <c r="AG147" s="129"/>
      <c r="AH147" s="129"/>
      <c r="AI147" s="129"/>
      <c r="AJ147" s="5"/>
      <c r="AK147" s="11"/>
      <c r="AL147" s="129"/>
      <c r="AM147" s="129"/>
      <c r="AN147" s="129"/>
      <c r="AO147" s="11"/>
      <c r="AP147" s="11"/>
      <c r="AQ147" s="11"/>
      <c r="AR147" s="11"/>
      <c r="AS147" s="11"/>
      <c r="AT147" s="84"/>
    </row>
    <row r="148" s="4" customFormat="1" ht="15.5" spans="1:46">
      <c r="A148" s="138"/>
      <c r="B148" s="27"/>
      <c r="C148" s="139"/>
      <c r="D148" s="27"/>
      <c r="E148" s="27"/>
      <c r="F148" s="27"/>
      <c r="G148" s="27"/>
      <c r="H148" s="27"/>
      <c r="I148" s="27"/>
      <c r="J148" s="27"/>
      <c r="K148" s="27"/>
      <c r="L148" s="51"/>
      <c r="M148" s="11"/>
      <c r="N148" s="8"/>
      <c r="P148" s="5"/>
      <c r="Q148" s="27"/>
      <c r="R148" s="27"/>
      <c r="S148" s="84"/>
      <c r="T148" s="118"/>
      <c r="U148" s="5"/>
      <c r="V148" s="5"/>
      <c r="W148" s="140"/>
      <c r="X148" s="133"/>
      <c r="Y148" s="133"/>
      <c r="Z148" s="133"/>
      <c r="AA148" s="5"/>
      <c r="AB148" s="11"/>
      <c r="AC148" s="128"/>
      <c r="AD148" s="129"/>
      <c r="AE148" s="129"/>
      <c r="AF148" s="129"/>
      <c r="AG148" s="129"/>
      <c r="AH148" s="129"/>
      <c r="AI148" s="129"/>
      <c r="AJ148" s="5"/>
      <c r="AK148" s="11"/>
      <c r="AL148" s="129"/>
      <c r="AM148" s="129"/>
      <c r="AN148" s="129"/>
      <c r="AO148" s="11"/>
      <c r="AP148" s="11"/>
      <c r="AQ148" s="11"/>
      <c r="AR148" s="11"/>
      <c r="AS148" s="11"/>
      <c r="AT148" s="84"/>
    </row>
    <row r="149" s="4" customFormat="1" ht="15.5" spans="1:46">
      <c r="A149" s="138"/>
      <c r="B149" s="27"/>
      <c r="C149" s="139"/>
      <c r="D149" s="27"/>
      <c r="E149" s="27"/>
      <c r="F149" s="27"/>
      <c r="G149" s="27"/>
      <c r="H149" s="27"/>
      <c r="I149" s="27"/>
      <c r="J149" s="27"/>
      <c r="K149" s="27"/>
      <c r="L149" s="51"/>
      <c r="M149" s="11"/>
      <c r="N149" s="8"/>
      <c r="P149" s="5"/>
      <c r="Q149" s="27"/>
      <c r="R149" s="27"/>
      <c r="S149" s="84"/>
      <c r="T149" s="118"/>
      <c r="U149" s="5"/>
      <c r="V149" s="5"/>
      <c r="W149" s="140"/>
      <c r="X149" s="133"/>
      <c r="Y149" s="133"/>
      <c r="Z149" s="133"/>
      <c r="AA149" s="5"/>
      <c r="AB149" s="11"/>
      <c r="AC149" s="128"/>
      <c r="AD149" s="129"/>
      <c r="AE149" s="129"/>
      <c r="AF149" s="129"/>
      <c r="AG149" s="129"/>
      <c r="AH149" s="129"/>
      <c r="AI149" s="129"/>
      <c r="AJ149" s="5"/>
      <c r="AK149" s="11"/>
      <c r="AL149" s="129"/>
      <c r="AM149" s="129"/>
      <c r="AN149" s="129"/>
      <c r="AO149" s="11"/>
      <c r="AP149" s="11"/>
      <c r="AQ149" s="11"/>
      <c r="AR149" s="11"/>
      <c r="AS149" s="11"/>
      <c r="AT149" s="84"/>
    </row>
    <row r="150" s="4" customFormat="1" ht="15.5" spans="1:46">
      <c r="A150" s="138"/>
      <c r="B150" s="27"/>
      <c r="C150" s="139"/>
      <c r="D150" s="27"/>
      <c r="E150" s="27"/>
      <c r="F150" s="27"/>
      <c r="G150" s="27"/>
      <c r="H150" s="27"/>
      <c r="I150" s="27"/>
      <c r="J150" s="27"/>
      <c r="K150" s="27"/>
      <c r="L150" s="51"/>
      <c r="M150" s="11"/>
      <c r="N150" s="8"/>
      <c r="P150" s="5"/>
      <c r="Q150" s="27"/>
      <c r="R150" s="27"/>
      <c r="S150" s="84"/>
      <c r="T150" s="118"/>
      <c r="U150" s="5"/>
      <c r="V150" s="5"/>
      <c r="W150" s="140"/>
      <c r="X150" s="133"/>
      <c r="Y150" s="133"/>
      <c r="Z150" s="133"/>
      <c r="AA150" s="5"/>
      <c r="AB150" s="11"/>
      <c r="AC150" s="128"/>
      <c r="AD150" s="129"/>
      <c r="AE150" s="129"/>
      <c r="AF150" s="129"/>
      <c r="AG150" s="129"/>
      <c r="AH150" s="129"/>
      <c r="AI150" s="129"/>
      <c r="AJ150" s="5"/>
      <c r="AK150" s="11"/>
      <c r="AL150" s="129"/>
      <c r="AM150" s="129"/>
      <c r="AN150" s="129"/>
      <c r="AO150" s="11"/>
      <c r="AP150" s="11"/>
      <c r="AQ150" s="11"/>
      <c r="AR150" s="11"/>
      <c r="AS150" s="11"/>
      <c r="AT150" s="84"/>
    </row>
    <row r="151" s="4" customFormat="1" ht="15.5" spans="1:46">
      <c r="A151" s="138"/>
      <c r="B151" s="27"/>
      <c r="C151" s="139"/>
      <c r="D151" s="27"/>
      <c r="E151" s="27"/>
      <c r="F151" s="27"/>
      <c r="G151" s="27"/>
      <c r="H151" s="27"/>
      <c r="I151" s="27"/>
      <c r="J151" s="27"/>
      <c r="K151" s="27"/>
      <c r="L151" s="51"/>
      <c r="M151" s="11"/>
      <c r="N151" s="8"/>
      <c r="P151" s="5"/>
      <c r="Q151" s="27"/>
      <c r="R151" s="27"/>
      <c r="S151" s="84"/>
      <c r="T151" s="118"/>
      <c r="U151" s="5"/>
      <c r="V151" s="5"/>
      <c r="W151" s="140"/>
      <c r="X151" s="133"/>
      <c r="Y151" s="133"/>
      <c r="Z151" s="133"/>
      <c r="AA151" s="5"/>
      <c r="AB151" s="11"/>
      <c r="AC151" s="128"/>
      <c r="AD151" s="129"/>
      <c r="AE151" s="129"/>
      <c r="AF151" s="129"/>
      <c r="AG151" s="129"/>
      <c r="AH151" s="129"/>
      <c r="AI151" s="129"/>
      <c r="AJ151" s="5"/>
      <c r="AK151" s="11"/>
      <c r="AL151" s="129"/>
      <c r="AM151" s="129"/>
      <c r="AN151" s="129"/>
      <c r="AO151" s="11"/>
      <c r="AP151" s="11"/>
      <c r="AQ151" s="11"/>
      <c r="AR151" s="11"/>
      <c r="AS151" s="11"/>
      <c r="AT151" s="84"/>
    </row>
    <row r="152" s="4" customFormat="1" ht="15.5" spans="1:46">
      <c r="A152" s="138"/>
      <c r="B152" s="27"/>
      <c r="C152" s="139"/>
      <c r="D152" s="27"/>
      <c r="E152" s="27"/>
      <c r="F152" s="27"/>
      <c r="G152" s="27"/>
      <c r="H152" s="27"/>
      <c r="I152" s="27"/>
      <c r="J152" s="27"/>
      <c r="K152" s="27"/>
      <c r="L152" s="51"/>
      <c r="M152" s="11"/>
      <c r="N152" s="8"/>
      <c r="P152" s="5"/>
      <c r="Q152" s="27"/>
      <c r="R152" s="27"/>
      <c r="S152" s="84"/>
      <c r="T152" s="118"/>
      <c r="U152" s="5"/>
      <c r="V152" s="5"/>
      <c r="W152" s="140"/>
      <c r="X152" s="133"/>
      <c r="Y152" s="133"/>
      <c r="Z152" s="133"/>
      <c r="AA152" s="5"/>
      <c r="AB152" s="11"/>
      <c r="AC152" s="128"/>
      <c r="AD152" s="129"/>
      <c r="AE152" s="129"/>
      <c r="AF152" s="129"/>
      <c r="AG152" s="129"/>
      <c r="AH152" s="129"/>
      <c r="AI152" s="129"/>
      <c r="AJ152" s="5"/>
      <c r="AK152" s="11"/>
      <c r="AL152" s="129"/>
      <c r="AM152" s="129"/>
      <c r="AN152" s="129"/>
      <c r="AO152" s="11"/>
      <c r="AP152" s="11"/>
      <c r="AQ152" s="11"/>
      <c r="AR152" s="11"/>
      <c r="AS152" s="11"/>
      <c r="AT152" s="84"/>
    </row>
    <row r="153" s="4" customFormat="1" ht="15.5" spans="1:46">
      <c r="A153" s="138"/>
      <c r="B153" s="27"/>
      <c r="C153" s="139"/>
      <c r="D153" s="27"/>
      <c r="E153" s="27"/>
      <c r="F153" s="27"/>
      <c r="G153" s="27"/>
      <c r="H153" s="27"/>
      <c r="I153" s="27"/>
      <c r="J153" s="27"/>
      <c r="K153" s="27"/>
      <c r="L153" s="51"/>
      <c r="M153" s="11"/>
      <c r="N153" s="8"/>
      <c r="P153" s="5"/>
      <c r="Q153" s="27"/>
      <c r="R153" s="27"/>
      <c r="S153" s="84"/>
      <c r="T153" s="118"/>
      <c r="U153" s="5"/>
      <c r="V153" s="5"/>
      <c r="W153" s="140"/>
      <c r="X153" s="133"/>
      <c r="Y153" s="133"/>
      <c r="Z153" s="133"/>
      <c r="AA153" s="5"/>
      <c r="AB153" s="11"/>
      <c r="AC153" s="128"/>
      <c r="AD153" s="129"/>
      <c r="AE153" s="129"/>
      <c r="AF153" s="129"/>
      <c r="AG153" s="129"/>
      <c r="AH153" s="129"/>
      <c r="AI153" s="129"/>
      <c r="AJ153" s="5"/>
      <c r="AK153" s="11"/>
      <c r="AL153" s="129"/>
      <c r="AM153" s="129"/>
      <c r="AN153" s="129"/>
      <c r="AO153" s="11"/>
      <c r="AP153" s="11"/>
      <c r="AQ153" s="11"/>
      <c r="AR153" s="11"/>
      <c r="AS153" s="11"/>
      <c r="AT153" s="84"/>
    </row>
    <row r="154" s="5" customFormat="1" ht="15.5" spans="1:45">
      <c r="A154" s="138"/>
      <c r="B154" s="27"/>
      <c r="C154" s="139"/>
      <c r="D154" s="27"/>
      <c r="E154" s="27"/>
      <c r="F154" s="27"/>
      <c r="G154" s="27"/>
      <c r="H154" s="27"/>
      <c r="I154" s="27"/>
      <c r="J154" s="27"/>
      <c r="K154" s="27"/>
      <c r="L154" s="51"/>
      <c r="M154" s="11"/>
      <c r="N154" s="8"/>
      <c r="O154" s="8"/>
      <c r="Q154" s="27"/>
      <c r="R154" s="27"/>
      <c r="S154" s="84"/>
      <c r="T154" s="118"/>
      <c r="W154" s="140"/>
      <c r="X154" s="133"/>
      <c r="Y154" s="133"/>
      <c r="Z154" s="133"/>
      <c r="AB154" s="11"/>
      <c r="AC154" s="128"/>
      <c r="AD154" s="129"/>
      <c r="AE154" s="129"/>
      <c r="AF154" s="129"/>
      <c r="AG154" s="129"/>
      <c r="AH154" s="129"/>
      <c r="AI154" s="129"/>
      <c r="AK154" s="11"/>
      <c r="AL154" s="129"/>
      <c r="AM154" s="129"/>
      <c r="AN154" s="129"/>
      <c r="AS154" s="11"/>
    </row>
    <row r="155" s="5" customFormat="1" ht="15.5" spans="1:45">
      <c r="A155" s="138"/>
      <c r="B155" s="27"/>
      <c r="C155" s="139"/>
      <c r="D155" s="27"/>
      <c r="E155" s="27"/>
      <c r="F155" s="27"/>
      <c r="G155" s="27"/>
      <c r="H155" s="27"/>
      <c r="I155" s="27"/>
      <c r="J155" s="27"/>
      <c r="K155" s="27"/>
      <c r="L155" s="51"/>
      <c r="M155" s="11"/>
      <c r="N155" s="8"/>
      <c r="O155" s="8"/>
      <c r="Q155" s="27"/>
      <c r="R155" s="27"/>
      <c r="S155" s="84"/>
      <c r="T155" s="118"/>
      <c r="W155" s="140"/>
      <c r="X155" s="133"/>
      <c r="Y155" s="133"/>
      <c r="Z155" s="133"/>
      <c r="AB155" s="11"/>
      <c r="AC155" s="128"/>
      <c r="AD155" s="129"/>
      <c r="AE155" s="129"/>
      <c r="AF155" s="129"/>
      <c r="AG155" s="129"/>
      <c r="AH155" s="129"/>
      <c r="AI155" s="129"/>
      <c r="AK155" s="11"/>
      <c r="AL155" s="129"/>
      <c r="AM155" s="129"/>
      <c r="AN155" s="129"/>
      <c r="AS155" s="11"/>
    </row>
    <row r="156" s="5" customFormat="1" ht="15.5" spans="1:45">
      <c r="A156" s="138"/>
      <c r="B156" s="27"/>
      <c r="C156" s="139"/>
      <c r="D156" s="27"/>
      <c r="E156" s="27"/>
      <c r="F156" s="27"/>
      <c r="G156" s="27"/>
      <c r="H156" s="27"/>
      <c r="I156" s="27"/>
      <c r="J156" s="27"/>
      <c r="K156" s="27"/>
      <c r="L156" s="51"/>
      <c r="M156" s="11"/>
      <c r="N156" s="8"/>
      <c r="O156" s="8"/>
      <c r="Q156" s="27"/>
      <c r="R156" s="27"/>
      <c r="S156" s="84"/>
      <c r="T156" s="118"/>
      <c r="W156" s="140"/>
      <c r="X156" s="133"/>
      <c r="Y156" s="133"/>
      <c r="Z156" s="133"/>
      <c r="AB156" s="11"/>
      <c r="AC156" s="128"/>
      <c r="AD156" s="129"/>
      <c r="AE156" s="129"/>
      <c r="AF156" s="129"/>
      <c r="AG156" s="129"/>
      <c r="AH156" s="129"/>
      <c r="AI156" s="129"/>
      <c r="AK156" s="11"/>
      <c r="AL156" s="129"/>
      <c r="AM156" s="129"/>
      <c r="AN156" s="129"/>
      <c r="AS156" s="11"/>
    </row>
    <row r="157" s="5" customFormat="1" ht="15.5" spans="1:45">
      <c r="A157" s="138"/>
      <c r="B157" s="27"/>
      <c r="C157" s="139"/>
      <c r="D157" s="27"/>
      <c r="E157" s="27"/>
      <c r="F157" s="27"/>
      <c r="G157" s="27"/>
      <c r="H157" s="27"/>
      <c r="I157" s="27"/>
      <c r="J157" s="27"/>
      <c r="K157" s="27"/>
      <c r="L157" s="51"/>
      <c r="M157" s="11"/>
      <c r="N157" s="8"/>
      <c r="O157" s="8"/>
      <c r="Q157" s="27"/>
      <c r="R157" s="27"/>
      <c r="S157" s="84"/>
      <c r="T157" s="118"/>
      <c r="W157" s="140"/>
      <c r="X157" s="133"/>
      <c r="Y157" s="133"/>
      <c r="Z157" s="133"/>
      <c r="AB157" s="11"/>
      <c r="AC157" s="128"/>
      <c r="AD157" s="129"/>
      <c r="AE157" s="129"/>
      <c r="AF157" s="129"/>
      <c r="AG157" s="129"/>
      <c r="AH157" s="129"/>
      <c r="AI157" s="129"/>
      <c r="AK157" s="11"/>
      <c r="AL157" s="129"/>
      <c r="AM157" s="129"/>
      <c r="AN157" s="129"/>
      <c r="AS157" s="11"/>
    </row>
    <row r="158" s="5" customFormat="1" ht="15.5" spans="1:45">
      <c r="A158" s="138"/>
      <c r="B158" s="27"/>
      <c r="C158" s="139"/>
      <c r="D158" s="27"/>
      <c r="E158" s="27"/>
      <c r="F158" s="27"/>
      <c r="G158" s="27"/>
      <c r="H158" s="27"/>
      <c r="I158" s="27"/>
      <c r="J158" s="27"/>
      <c r="K158" s="27"/>
      <c r="L158" s="51"/>
      <c r="M158" s="11"/>
      <c r="N158" s="8"/>
      <c r="O158" s="8"/>
      <c r="Q158" s="27"/>
      <c r="R158" s="27"/>
      <c r="S158" s="84"/>
      <c r="T158" s="118"/>
      <c r="W158" s="140"/>
      <c r="X158" s="133"/>
      <c r="Y158" s="133"/>
      <c r="Z158" s="133"/>
      <c r="AB158" s="11"/>
      <c r="AC158" s="128"/>
      <c r="AD158" s="129"/>
      <c r="AE158" s="129"/>
      <c r="AF158" s="129"/>
      <c r="AG158" s="129"/>
      <c r="AH158" s="129"/>
      <c r="AI158" s="129"/>
      <c r="AK158" s="11"/>
      <c r="AL158" s="129"/>
      <c r="AM158" s="129"/>
      <c r="AN158" s="129"/>
      <c r="AS158" s="11"/>
    </row>
    <row r="159" s="5" customFormat="1" ht="15.5" spans="1:45">
      <c r="A159" s="138"/>
      <c r="B159" s="27"/>
      <c r="C159" s="139"/>
      <c r="D159" s="27"/>
      <c r="E159" s="27"/>
      <c r="F159" s="27"/>
      <c r="G159" s="27"/>
      <c r="H159" s="27"/>
      <c r="I159" s="27"/>
      <c r="J159" s="27"/>
      <c r="K159" s="27"/>
      <c r="L159" s="51"/>
      <c r="M159" s="11"/>
      <c r="N159" s="8"/>
      <c r="O159" s="8"/>
      <c r="Q159" s="27"/>
      <c r="R159" s="27"/>
      <c r="S159" s="84"/>
      <c r="T159" s="118"/>
      <c r="W159" s="140"/>
      <c r="X159" s="133"/>
      <c r="Y159" s="133"/>
      <c r="Z159" s="133"/>
      <c r="AB159" s="11"/>
      <c r="AC159" s="128"/>
      <c r="AD159" s="129"/>
      <c r="AE159" s="129"/>
      <c r="AF159" s="129"/>
      <c r="AG159" s="129"/>
      <c r="AH159" s="129"/>
      <c r="AI159" s="129"/>
      <c r="AK159" s="11"/>
      <c r="AL159" s="129"/>
      <c r="AM159" s="129"/>
      <c r="AN159" s="129"/>
      <c r="AS159" s="11"/>
    </row>
    <row r="160" s="5" customFormat="1" spans="1:45">
      <c r="A160" s="4"/>
      <c r="B160" s="4"/>
      <c r="C160" s="4"/>
      <c r="D160" s="4"/>
      <c r="E160" s="4"/>
      <c r="F160" s="4"/>
      <c r="G160" s="4"/>
      <c r="H160" s="4"/>
      <c r="I160" s="4"/>
      <c r="J160" s="4"/>
      <c r="K160" s="4"/>
      <c r="L160" s="4"/>
      <c r="M160" s="11"/>
      <c r="N160" s="8"/>
      <c r="O160" s="8"/>
      <c r="Q160" s="4"/>
      <c r="R160" s="4"/>
      <c r="S160" s="84"/>
      <c r="T160" s="4"/>
      <c r="U160" s="142"/>
      <c r="V160" s="142"/>
      <c r="W160" s="4"/>
      <c r="X160" s="142"/>
      <c r="Y160" s="142"/>
      <c r="Z160" s="142"/>
      <c r="AA160" s="142"/>
      <c r="AB160" s="11"/>
      <c r="AD160" s="142"/>
      <c r="AE160" s="11"/>
      <c r="AF160" s="11"/>
      <c r="AG160" s="11"/>
      <c r="AH160" s="11"/>
      <c r="AK160" s="11"/>
      <c r="AL160" s="11"/>
      <c r="AM160" s="84"/>
      <c r="AN160" s="11"/>
      <c r="AS160" s="11"/>
    </row>
    <row r="161" s="4" customFormat="1" spans="13:46">
      <c r="M161" s="11"/>
      <c r="N161" s="8"/>
      <c r="P161" s="5"/>
      <c r="S161" s="84"/>
      <c r="U161" s="142"/>
      <c r="V161" s="142"/>
      <c r="X161" s="142"/>
      <c r="Y161" s="142"/>
      <c r="Z161" s="142"/>
      <c r="AA161" s="142"/>
      <c r="AB161" s="11"/>
      <c r="AC161" s="5"/>
      <c r="AD161" s="142"/>
      <c r="AE161" s="11"/>
      <c r="AF161" s="11"/>
      <c r="AG161" s="11"/>
      <c r="AH161" s="11"/>
      <c r="AI161" s="5"/>
      <c r="AJ161" s="5"/>
      <c r="AK161" s="11"/>
      <c r="AL161" s="11"/>
      <c r="AM161" s="84"/>
      <c r="AN161" s="11"/>
      <c r="AO161" s="11"/>
      <c r="AP161" s="11"/>
      <c r="AQ161" s="11"/>
      <c r="AR161" s="11"/>
      <c r="AS161" s="11"/>
      <c r="AT161" s="84"/>
    </row>
    <row r="162" s="4" customFormat="1" spans="13:46">
      <c r="M162" s="11"/>
      <c r="N162" s="8"/>
      <c r="P162" s="5"/>
      <c r="S162" s="84"/>
      <c r="U162" s="142"/>
      <c r="V162" s="142"/>
      <c r="X162" s="142"/>
      <c r="Y162" s="142"/>
      <c r="Z162" s="142"/>
      <c r="AA162" s="142"/>
      <c r="AB162" s="11"/>
      <c r="AC162" s="5"/>
      <c r="AD162" s="142"/>
      <c r="AE162" s="11"/>
      <c r="AF162" s="11"/>
      <c r="AG162" s="11"/>
      <c r="AH162" s="11"/>
      <c r="AI162" s="5"/>
      <c r="AJ162" s="5"/>
      <c r="AK162" s="11"/>
      <c r="AL162" s="11"/>
      <c r="AM162" s="84"/>
      <c r="AN162" s="11"/>
      <c r="AO162" s="11"/>
      <c r="AP162" s="11"/>
      <c r="AQ162" s="11"/>
      <c r="AR162" s="11"/>
      <c r="AS162" s="11"/>
      <c r="AT162" s="84"/>
    </row>
    <row r="163" s="4" customFormat="1" spans="13:46">
      <c r="M163" s="11"/>
      <c r="N163" s="8"/>
      <c r="P163" s="5"/>
      <c r="S163" s="84"/>
      <c r="U163" s="142"/>
      <c r="V163" s="142"/>
      <c r="X163" s="142"/>
      <c r="Y163" s="142"/>
      <c r="Z163" s="142"/>
      <c r="AA163" s="142"/>
      <c r="AB163" s="11"/>
      <c r="AC163" s="5"/>
      <c r="AD163" s="142"/>
      <c r="AE163" s="11"/>
      <c r="AF163" s="11"/>
      <c r="AG163" s="11"/>
      <c r="AH163" s="11"/>
      <c r="AI163" s="5"/>
      <c r="AJ163" s="5"/>
      <c r="AK163" s="11"/>
      <c r="AL163" s="11"/>
      <c r="AM163" s="84"/>
      <c r="AN163" s="11"/>
      <c r="AO163" s="11"/>
      <c r="AP163" s="11"/>
      <c r="AQ163" s="11"/>
      <c r="AR163" s="11"/>
      <c r="AS163" s="11"/>
      <c r="AT163" s="84"/>
    </row>
    <row r="165" s="6" customFormat="1" spans="1:48">
      <c r="A165" s="2"/>
      <c r="B165" s="2"/>
      <c r="C165" s="2"/>
      <c r="D165" s="2"/>
      <c r="E165" s="2"/>
      <c r="F165" s="2"/>
      <c r="G165" s="2"/>
      <c r="H165" s="2"/>
      <c r="I165" s="2"/>
      <c r="J165" s="2"/>
      <c r="K165" s="2"/>
      <c r="L165" s="2"/>
      <c r="M165"/>
      <c r="N165" s="7"/>
      <c r="O165" s="8"/>
      <c r="Q165" s="2"/>
      <c r="R165" s="2"/>
      <c r="S165" s="9"/>
      <c r="T165" s="2"/>
      <c r="U165" s="10"/>
      <c r="V165" s="10"/>
      <c r="W165" s="2"/>
      <c r="X165" s="10"/>
      <c r="Y165" s="10"/>
      <c r="Z165" s="10"/>
      <c r="AA165" s="10"/>
      <c r="AB165"/>
      <c r="AD165" s="10"/>
      <c r="AE165"/>
      <c r="AF165"/>
      <c r="AG165"/>
      <c r="AH165"/>
      <c r="AK165"/>
      <c r="AL165"/>
      <c r="AM165" s="9"/>
      <c r="AN165"/>
      <c r="AS165"/>
      <c r="AU165" s="5"/>
      <c r="AV165" s="5"/>
    </row>
    <row r="166" s="6" customFormat="1" spans="1:48">
      <c r="A166" s="2"/>
      <c r="B166" s="2"/>
      <c r="C166" s="2"/>
      <c r="D166" s="2"/>
      <c r="E166" s="2"/>
      <c r="F166" s="2"/>
      <c r="G166" s="2"/>
      <c r="H166" s="2"/>
      <c r="I166" s="2"/>
      <c r="J166" s="2"/>
      <c r="K166" s="2"/>
      <c r="L166" s="2"/>
      <c r="M166"/>
      <c r="N166" s="7"/>
      <c r="O166" s="8"/>
      <c r="Q166" s="2"/>
      <c r="R166" s="2"/>
      <c r="S166" s="9"/>
      <c r="T166" s="2"/>
      <c r="U166" s="10"/>
      <c r="V166" s="10"/>
      <c r="W166" s="2"/>
      <c r="X166" s="10"/>
      <c r="Y166" s="10"/>
      <c r="Z166" s="10"/>
      <c r="AA166" s="10"/>
      <c r="AB166"/>
      <c r="AD166" s="10"/>
      <c r="AE166"/>
      <c r="AF166"/>
      <c r="AG166"/>
      <c r="AH166"/>
      <c r="AK166"/>
      <c r="AL166"/>
      <c r="AM166" s="9"/>
      <c r="AN166"/>
      <c r="AS166"/>
      <c r="AU166" s="5"/>
      <c r="AV166" s="5"/>
    </row>
    <row r="168" s="6" customFormat="1" spans="1:48">
      <c r="A168" s="2"/>
      <c r="B168" s="2"/>
      <c r="C168" s="2"/>
      <c r="D168" s="2"/>
      <c r="E168" s="2"/>
      <c r="F168" s="2"/>
      <c r="G168" s="2"/>
      <c r="H168" s="2"/>
      <c r="I168" s="2"/>
      <c r="J168" s="2"/>
      <c r="K168" s="2"/>
      <c r="L168" s="2"/>
      <c r="M168"/>
      <c r="N168" s="7"/>
      <c r="O168" s="8"/>
      <c r="Q168" s="2"/>
      <c r="R168" s="2"/>
      <c r="S168" s="9"/>
      <c r="T168" s="2"/>
      <c r="U168" s="10"/>
      <c r="V168" s="10"/>
      <c r="W168" s="2"/>
      <c r="X168" s="10"/>
      <c r="Y168" s="10"/>
      <c r="Z168" s="10"/>
      <c r="AA168" s="10"/>
      <c r="AB168"/>
      <c r="AD168" s="10"/>
      <c r="AE168"/>
      <c r="AF168"/>
      <c r="AG168"/>
      <c r="AH168"/>
      <c r="AK168"/>
      <c r="AL168"/>
      <c r="AM168" s="9"/>
      <c r="AN168"/>
      <c r="AS168"/>
      <c r="AU168" s="5"/>
      <c r="AV168" s="5"/>
    </row>
    <row r="169" s="6" customFormat="1" spans="1:48">
      <c r="A169" s="2"/>
      <c r="B169" s="2"/>
      <c r="C169" s="2"/>
      <c r="D169" s="2"/>
      <c r="E169" s="2"/>
      <c r="F169" s="2"/>
      <c r="G169" s="2"/>
      <c r="H169" s="2"/>
      <c r="I169" s="2"/>
      <c r="J169" s="2"/>
      <c r="K169" s="2"/>
      <c r="L169" s="2"/>
      <c r="M169"/>
      <c r="N169" s="7"/>
      <c r="O169" s="8"/>
      <c r="Q169" s="2"/>
      <c r="R169" s="2"/>
      <c r="S169" s="9"/>
      <c r="T169" s="2"/>
      <c r="U169" s="10"/>
      <c r="V169" s="10"/>
      <c r="W169" s="2"/>
      <c r="X169" s="10"/>
      <c r="Y169" s="10"/>
      <c r="Z169" s="10"/>
      <c r="AA169" s="10"/>
      <c r="AB169"/>
      <c r="AD169" s="10"/>
      <c r="AE169"/>
      <c r="AF169"/>
      <c r="AG169"/>
      <c r="AH169"/>
      <c r="AK169"/>
      <c r="AL169"/>
      <c r="AM169" s="9"/>
      <c r="AN169"/>
      <c r="AS169"/>
      <c r="AU169" s="5"/>
      <c r="AV169" s="5"/>
    </row>
    <row r="171" customFormat="1" spans="1:48">
      <c r="A171" s="2"/>
      <c r="B171" s="2"/>
      <c r="C171" s="2"/>
      <c r="D171" s="2"/>
      <c r="E171" s="2"/>
      <c r="F171" s="2"/>
      <c r="G171" s="2"/>
      <c r="H171" s="2"/>
      <c r="I171" s="2"/>
      <c r="J171" s="2"/>
      <c r="K171" s="2"/>
      <c r="L171" s="2"/>
      <c r="N171" s="7"/>
      <c r="O171" s="8"/>
      <c r="P171" s="6"/>
      <c r="Q171" s="2"/>
      <c r="R171" s="2"/>
      <c r="S171" s="9"/>
      <c r="T171" s="2"/>
      <c r="U171" s="10"/>
      <c r="V171" s="10"/>
      <c r="W171" s="2"/>
      <c r="X171" s="10"/>
      <c r="Y171" s="10"/>
      <c r="Z171" s="10"/>
      <c r="AA171" s="10"/>
      <c r="AC171" s="6"/>
      <c r="AD171" s="10"/>
      <c r="AI171" s="6"/>
      <c r="AJ171" s="6"/>
      <c r="AM171" s="9"/>
      <c r="AT171" s="9"/>
      <c r="AU171" s="11"/>
      <c r="AV171" s="5"/>
    </row>
    <row r="172" customFormat="1" spans="1:48">
      <c r="A172" s="2"/>
      <c r="B172" s="2"/>
      <c r="C172" s="2"/>
      <c r="D172" s="2"/>
      <c r="E172" s="2"/>
      <c r="F172" s="2"/>
      <c r="G172" s="2"/>
      <c r="H172" s="2"/>
      <c r="I172" s="2"/>
      <c r="J172" s="2"/>
      <c r="K172" s="2"/>
      <c r="L172" s="2"/>
      <c r="N172" s="7"/>
      <c r="O172" s="8"/>
      <c r="P172" s="6"/>
      <c r="Q172" s="2"/>
      <c r="R172" s="2"/>
      <c r="S172" s="9"/>
      <c r="T172" s="2"/>
      <c r="U172" s="10"/>
      <c r="V172" s="10"/>
      <c r="W172" s="2"/>
      <c r="X172" s="10"/>
      <c r="Y172" s="10"/>
      <c r="Z172" s="10"/>
      <c r="AA172" s="10"/>
      <c r="AC172" s="6"/>
      <c r="AD172" s="10"/>
      <c r="AI172" s="6"/>
      <c r="AJ172" s="6"/>
      <c r="AM172" s="9"/>
      <c r="AT172" s="9"/>
      <c r="AU172" s="11"/>
      <c r="AV172" s="5"/>
    </row>
  </sheetData>
  <mergeCells count="11">
    <mergeCell ref="AD7:AK7"/>
    <mergeCell ref="AL7:AS7"/>
    <mergeCell ref="A9:A25"/>
    <mergeCell ref="A26:A41"/>
    <mergeCell ref="A42:A50"/>
    <mergeCell ref="A51:A65"/>
    <mergeCell ref="A66:A83"/>
    <mergeCell ref="A84:A94"/>
    <mergeCell ref="A95:A98"/>
    <mergeCell ref="A99:A120"/>
    <mergeCell ref="A121:A125"/>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Summary of database</vt:lpstr>
      <vt:lpstr>Database and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林思奇</cp:lastModifiedBy>
  <dcterms:created xsi:type="dcterms:W3CDTF">2022-12-22T13:18:00Z</dcterms:created>
  <dcterms:modified xsi:type="dcterms:W3CDTF">2025-07-29T02:28:01Z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A0E203E989CD49728330B57AFA062F18_13</vt:lpwstr>
  </property>
  <property fmtid="{D5CDD505-2E9C-101B-9397-08002B2CF9AE}" pid="3" name="KSOProductBuildVer">
    <vt:lpwstr>2052-12.1.0.21915</vt:lpwstr>
  </property>
</Properties>
</file>