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bjemy_pivnich_lahvi" sheetId="5" r:id="rId1"/>
    <sheet name="vysledky_vs_varianty_testu" sheetId="1" r:id="rId2"/>
    <sheet name="preferovane_bydliste_vs_pohlavi" sheetId="2" r:id="rId3"/>
    <sheet name="600_hodu_kostkou" sheetId="3" r:id="rId4"/>
    <sheet name="udrzba_domu_vs_jeho_cen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H36" i="4" l="1"/>
  <c r="H35" i="4"/>
  <c r="H34" i="4"/>
  <c r="H33" i="4"/>
  <c r="K11" i="4"/>
  <c r="K12" i="4"/>
  <c r="K13" i="4"/>
  <c r="K14" i="4"/>
  <c r="K15" i="4"/>
  <c r="K16" i="4"/>
  <c r="K17" i="4"/>
  <c r="K18" i="4"/>
  <c r="K19" i="4"/>
  <c r="K10" i="4"/>
  <c r="H32" i="4"/>
  <c r="H30" i="4"/>
  <c r="G29" i="2"/>
  <c r="G28" i="2"/>
  <c r="H28" i="4" l="1"/>
  <c r="J11" i="4"/>
  <c r="J12" i="4"/>
  <c r="J13" i="4"/>
  <c r="J14" i="4"/>
  <c r="J15" i="4"/>
  <c r="J16" i="4"/>
  <c r="J17" i="4"/>
  <c r="J18" i="4"/>
  <c r="J19" i="4"/>
  <c r="J10" i="4"/>
  <c r="J20" i="4" l="1"/>
  <c r="B23" i="5"/>
  <c r="B22" i="5"/>
  <c r="B19" i="5"/>
  <c r="B21" i="5"/>
  <c r="B20" i="5"/>
  <c r="E11" i="4" l="1"/>
  <c r="E12" i="4"/>
  <c r="E13" i="4"/>
  <c r="E14" i="4"/>
  <c r="E15" i="4"/>
  <c r="E16" i="4"/>
  <c r="E17" i="4"/>
  <c r="E18" i="4"/>
  <c r="E19" i="4"/>
  <c r="C20" i="4"/>
  <c r="D23" i="4"/>
  <c r="D22" i="4"/>
  <c r="B20" i="4"/>
  <c r="D19" i="4"/>
  <c r="D18" i="4"/>
  <c r="D17" i="4"/>
  <c r="D16" i="4"/>
  <c r="D15" i="4"/>
  <c r="D14" i="4"/>
  <c r="D13" i="4"/>
  <c r="D12" i="4"/>
  <c r="D11" i="4"/>
  <c r="E10" i="4"/>
  <c r="D10" i="4"/>
  <c r="R17" i="3"/>
  <c r="C13" i="3"/>
  <c r="C14" i="3" s="1"/>
  <c r="D13" i="3"/>
  <c r="D14" i="3" s="1"/>
  <c r="E13" i="3"/>
  <c r="F13" i="3"/>
  <c r="G13" i="3"/>
  <c r="G14" i="3" s="1"/>
  <c r="B13" i="3"/>
  <c r="B14" i="3" s="1"/>
  <c r="F14" i="3"/>
  <c r="E14" i="3"/>
  <c r="H12" i="3"/>
  <c r="N25" i="2"/>
  <c r="D7" i="2"/>
  <c r="C7" i="2"/>
  <c r="E7" i="2" s="1"/>
  <c r="E6" i="2"/>
  <c r="E5" i="2"/>
  <c r="D18" i="2"/>
  <c r="C18" i="2"/>
  <c r="E17" i="2"/>
  <c r="E16" i="2"/>
  <c r="D20" i="4" l="1"/>
  <c r="H26" i="4" s="1"/>
  <c r="E20" i="4"/>
  <c r="H14" i="3"/>
  <c r="K16" i="3" s="1"/>
  <c r="H13" i="3"/>
  <c r="E18" i="2"/>
  <c r="D20" i="2" s="1"/>
  <c r="D23" i="2" s="1"/>
  <c r="C21" i="2"/>
  <c r="C24" i="2" s="1"/>
  <c r="C22" i="4" l="1"/>
  <c r="C23" i="4" s="1"/>
  <c r="C25" i="4" s="1"/>
  <c r="H10" i="4"/>
  <c r="H18" i="4"/>
  <c r="F11" i="4"/>
  <c r="G11" i="4" s="1"/>
  <c r="F16" i="4"/>
  <c r="G16" i="4" s="1"/>
  <c r="F14" i="4"/>
  <c r="G14" i="4" s="1"/>
  <c r="D21" i="2"/>
  <c r="D24" i="2" s="1"/>
  <c r="C20" i="2"/>
  <c r="C23" i="2" s="1"/>
  <c r="G24" i="2" s="1"/>
  <c r="F17" i="4" l="1"/>
  <c r="G17" i="4" s="1"/>
  <c r="F12" i="4"/>
  <c r="G12" i="4" s="1"/>
  <c r="H19" i="4"/>
  <c r="H14" i="4"/>
  <c r="H16" i="4"/>
  <c r="H20" i="4" s="1"/>
  <c r="F13" i="4"/>
  <c r="G13" i="4" s="1"/>
  <c r="F19" i="4"/>
  <c r="G19" i="4" s="1"/>
  <c r="H15" i="4"/>
  <c r="H17" i="4"/>
  <c r="H12" i="4"/>
  <c r="F18" i="4"/>
  <c r="G18" i="4" s="1"/>
  <c r="F10" i="4"/>
  <c r="G10" i="4" s="1"/>
  <c r="G20" i="4" s="1"/>
  <c r="H22" i="4" s="1"/>
  <c r="F15" i="4"/>
  <c r="G15" i="4" s="1"/>
  <c r="H11" i="4"/>
  <c r="H13" i="4"/>
  <c r="F20" i="4"/>
  <c r="Q23" i="1"/>
  <c r="H23" i="4" l="1"/>
  <c r="H29" i="4" s="1"/>
  <c r="H25" i="4"/>
  <c r="H27" i="4" s="1"/>
  <c r="H17" i="1"/>
  <c r="H18" i="1"/>
  <c r="H16" i="1"/>
  <c r="H19" i="1" s="1"/>
  <c r="C22" i="1" l="1"/>
  <c r="G18" i="1"/>
  <c r="E23" i="1" s="1"/>
  <c r="G17" i="1"/>
  <c r="J16" i="1"/>
  <c r="G16" i="1"/>
  <c r="E21" i="1" s="1"/>
  <c r="F21" i="1" l="1"/>
  <c r="F22" i="1"/>
  <c r="C21" i="1"/>
  <c r="D21" i="1"/>
  <c r="D22" i="1"/>
  <c r="D23" i="1"/>
  <c r="F23" i="1"/>
  <c r="C23" i="1"/>
  <c r="E22" i="1"/>
  <c r="H24" i="1" l="1"/>
  <c r="K22" i="1" s="1"/>
</calcChain>
</file>

<file path=xl/sharedStrings.xml><?xml version="1.0" encoding="utf-8"?>
<sst xmlns="http://schemas.openxmlformats.org/spreadsheetml/2006/main" count="187" uniqueCount="139">
  <si>
    <t>výsledek testu</t>
  </si>
  <si>
    <t>1. student</t>
  </si>
  <si>
    <t>2. student</t>
  </si>
  <si>
    <t>3. student</t>
  </si>
  <si>
    <t>4. student</t>
  </si>
  <si>
    <t>A</t>
  </si>
  <si>
    <t>varianta testu</t>
  </si>
  <si>
    <t>B</t>
  </si>
  <si>
    <t>C</t>
  </si>
  <si>
    <t>Každou ze tří variant testu (A, B a C) napsali vždy čtyři náhodní studenti. Je třeba rozhodnout, zda jsou na základě výsledků v tabulce 1 varianty testu obdobně náročné, předpokládáme-li, že apriorní znalosti všech dvanácti studentů jsou srovnatelné.</t>
  </si>
  <si>
    <t>průměry variant</t>
  </si>
  <si>
    <t>Řešení:</t>
  </si>
  <si>
    <t>členy meziskupiných součtů</t>
  </si>
  <si>
    <t>S_x.m =</t>
  </si>
  <si>
    <t>S_x.v =</t>
  </si>
  <si>
    <t>čtverce rozdílů hodnot a skupinových průměrů =</t>
  </si>
  <si>
    <t>celkový průměr =</t>
  </si>
  <si>
    <t>F =</t>
  </si>
  <si>
    <t>F(2, 9) =</t>
  </si>
  <si>
    <t>(lze nalézt v tabulkách nebo pomocí funkce F.INV())</t>
  </si>
  <si>
    <t>Analytické řešení:</t>
  </si>
  <si>
    <t>Řešení pomocí Analytických nástojů MS Excel:</t>
  </si>
  <si>
    <t>Anova: jeden faktor</t>
  </si>
  <si>
    <t>Faktor</t>
  </si>
  <si>
    <t>Výběr</t>
  </si>
  <si>
    <t>Počet</t>
  </si>
  <si>
    <t>Součet</t>
  </si>
  <si>
    <t>Průměr</t>
  </si>
  <si>
    <t>Rozptyl</t>
  </si>
  <si>
    <t>ANOVA</t>
  </si>
  <si>
    <t>Zdroj variability</t>
  </si>
  <si>
    <t>SS</t>
  </si>
  <si>
    <t>Rozdíl</t>
  </si>
  <si>
    <t>MS</t>
  </si>
  <si>
    <t>F</t>
  </si>
  <si>
    <t>Hodnota P</t>
  </si>
  <si>
    <t>F krit</t>
  </si>
  <si>
    <t>Mezi výběry</t>
  </si>
  <si>
    <t>Všechny výběry</t>
  </si>
  <si>
    <t>Celkem</t>
  </si>
  <si>
    <t>F = 1,253 &lt; F(2, 9) = 4,257 =&gt; proto nezamítáme H_0</t>
  </si>
  <si>
    <t>preferované budoucí bydliště</t>
  </si>
  <si>
    <t>město</t>
  </si>
  <si>
    <t>venkov</t>
  </si>
  <si>
    <t>pohlaví</t>
  </si>
  <si>
    <t>muž</t>
  </si>
  <si>
    <t>žena</t>
  </si>
  <si>
    <t>Z průzkumu trhu byla sestavena kontingenční tabulka preference budoucího bydliště dle pohlaví. Výsledky jsou uvedeny níže. Závisí preference budoucího bydliště na pohlaví? Zkoumejme na hladině významnosti 0,05.</t>
  </si>
  <si>
    <t>celkem</t>
  </si>
  <si>
    <t>odhady absolutních četností dle H_0 =</t>
  </si>
  <si>
    <t>sčítané členy =</t>
  </si>
  <si>
    <t>X^2 =</t>
  </si>
  <si>
    <t>X^2_{1-0,05}(1) =</t>
  </si>
  <si>
    <t>H_0 : mezi řádkovou a sloupcovou proměnnou není závislost</t>
  </si>
  <si>
    <t>H_0 : průměrné bodové výsledky jsou obdobné u každé z variant testů</t>
  </si>
  <si>
    <t>X_2 = 7,25 &gt; 3,84 = X^2_{0,95}(1) =&gt; proto zamítáme H_0</t>
  </si>
  <si>
    <t>(lze nalézt v tabulkách nebo pomocí funkce CHISQ.INV())</t>
  </si>
  <si>
    <t>pozorované četnosti</t>
  </si>
  <si>
    <t>očekávané četnosti</t>
  </si>
  <si>
    <t>sčítance</t>
  </si>
  <si>
    <t>1. strana</t>
  </si>
  <si>
    <t>2. strana</t>
  </si>
  <si>
    <t>3. strana</t>
  </si>
  <si>
    <t>4. strana</t>
  </si>
  <si>
    <t>5. strana</t>
  </si>
  <si>
    <t>6. strana</t>
  </si>
  <si>
    <t>H_0 : četnosti padnuté každé ze stran kostky jsou obdobné</t>
  </si>
  <si>
    <t>X^2_{0,95}(5) =</t>
  </si>
  <si>
    <t>X^2 = 7,36 &lt; X^2_{0,95}(5) = 11,1 =&gt; proto nezamítáme H_0</t>
  </si>
  <si>
    <t>Při 600 hodech hrací kostkou byly zjištěny následující četnosti jednotlivých šesti stran: 85, 99, 91, 108, 119, 98, respektive (viz i tabulka dole). Lze na hladině významnosti 0,05 považovat takovou kostku za spravedlivou?</t>
  </si>
  <si>
    <t>X, cena domu [tis. $]</t>
  </si>
  <si>
    <t>Y, náklady na údržbu [$]</t>
  </si>
  <si>
    <t>X^2</t>
  </si>
  <si>
    <t>X * Y</t>
  </si>
  <si>
    <t>Y - hat(Y)</t>
  </si>
  <si>
    <t>(Y - hat(Y))^2</t>
  </si>
  <si>
    <t>(hat(Y) - bar(Y))^2</t>
  </si>
  <si>
    <t>číslo domu</t>
  </si>
  <si>
    <t>průměr/suma</t>
  </si>
  <si>
    <t>b_1 =</t>
  </si>
  <si>
    <t>b_0 =</t>
  </si>
  <si>
    <t xml:space="preserve">S_R = </t>
  </si>
  <si>
    <t xml:space="preserve">S_T = </t>
  </si>
  <si>
    <t>pro X = 80 je Y =</t>
  </si>
  <si>
    <t>index determinace = S_T / (S_R + S_T) =</t>
  </si>
  <si>
    <t>V následující tabulce jsou uvedeny hodnoty nákladů na údržbu domu (v dolarech) a tržní cena domu (v tisících dolarů).
(i) Modelujme závislost nákladů na údržbu na ceně tržní domu regresní přímkou.
(ii) Zhodnoťme kvalitu modelu pomocí koeficientu determinace.
(iii) Odhadněme střední hodnotu nákladů u domů za 80 tisíc dolarů.</t>
  </si>
  <si>
    <t>náklady na údržbu [$]</t>
  </si>
  <si>
    <t>cena domu [tis. $]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</si>
  <si>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</si>
  <si>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</si>
  <si>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</si>
  <si>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</si>
  <si>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</si>
  <si>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</si>
  <si>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</si>
  <si>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Regrese</t>
  </si>
  <si>
    <t>Rezidua</t>
  </si>
  <si>
    <t>Hranice</t>
  </si>
  <si>
    <t>Významnost F</t>
  </si>
  <si>
    <t>Koeficienty</t>
  </si>
  <si>
    <t>t Stat</t>
  </si>
  <si>
    <t>Dolní 95%</t>
  </si>
  <si>
    <t>Horní 95%</t>
  </si>
  <si>
    <t>Dolní 95,0%</t>
  </si>
  <si>
    <t>Horní 95,0%</t>
  </si>
  <si>
    <t>REZIDUA</t>
  </si>
  <si>
    <t>Normovaná rezidua</t>
  </si>
  <si>
    <t>Inspekce v pivovaru chtěla ověřit, zda výrobní linka plní půllitrové lahve dostatečně přesně. Vybrala proto náhodných dvacet jedna lahví naplněných výrobní linkou a zjistila jednotlivé naplněné objemy; zjištěné hodnoty (v mililitrech) jsou v tabulce níže.</t>
  </si>
  <si>
    <t>Mohla inspekce na hladině významnosti 0,05 učinit závěr, že průměrný objem piva plněný výrobní linkou je 500 mililitrů?</t>
  </si>
  <si>
    <t>výberová směrodatná odchylka objemu piva na láhev [ml]</t>
  </si>
  <si>
    <t>průměrý objem piva na láhev [ml]</t>
  </si>
  <si>
    <t>počet měření</t>
  </si>
  <si>
    <t>H_0 : průměrmý objem piva na láhev = 500 [ml]</t>
  </si>
  <si>
    <t>t_{1 - alfa / 2}(n - 1)</t>
  </si>
  <si>
    <t>alfa</t>
  </si>
  <si>
    <t>testová statistika T</t>
  </si>
  <si>
    <t>testová statistika T = 0,898 &lt; t_{1 - alfa / 2}(n - 1) = 2,086 =&gt; proto nezamítáme H_0</t>
  </si>
  <si>
    <t>Y^2</t>
  </si>
  <si>
    <t>korelační koeficient (výpočet) =</t>
  </si>
  <si>
    <t>korelační koeficient (odmocnina z indexu determinace) =</t>
  </si>
  <si>
    <t>korelační koeficient (excelovská funkce) =</t>
  </si>
  <si>
    <t xml:space="preserve">Pearsonův koeficient kontingence C = </t>
  </si>
  <si>
    <t xml:space="preserve">   indikuje spíše slabší asociaci mezi oběma kategorickými proměnnými</t>
  </si>
  <si>
    <t>Cramerovo V =</t>
  </si>
  <si>
    <t xml:space="preserve">   indikuje opět spíše slabší asociaci mezi oběma kategorickými proměnnými</t>
  </si>
  <si>
    <t>F_{0,05}(1, 10 - 1 - 1) = F_{0,05}(1, 8) =</t>
  </si>
  <si>
    <t>F = 256,18 &lt; F_{0,05}(1, 8) = 5,32 =&gt; proto zamítáme H_0 o tom, že regresní model je nevhodný</t>
  </si>
  <si>
    <t>hat(sigma) =</t>
  </si>
  <si>
    <t>s_{b_0} =</t>
  </si>
  <si>
    <t>s_{b_1} =</t>
  </si>
  <si>
    <t>(X - bar(X))^2</t>
  </si>
  <si>
    <t>T  = b_0 / s_{b_0} =</t>
  </si>
  <si>
    <t>T  = b_1 / s_{b_1} =</t>
  </si>
  <si>
    <t>t_{0,95}(10 - 2) = t_{0,95}(8) =</t>
  </si>
  <si>
    <t xml:space="preserve">   testová statistika T = 16,01 &gt; t_{0,95}(8) = 2,31 =&gt; proto zamítáme H_0 o tom, že by b_1 = 0</t>
  </si>
  <si>
    <t xml:space="preserve">   testová statistika T = |-3,91| &gt; t_{0,95}(8) = 2,31 =&gt; proto zamítáme H_0 o tom, že by b_0 = 0</t>
  </si>
  <si>
    <t>Očekávané Y, náklady na údržbu [$]</t>
  </si>
  <si>
    <t>PRAVDĚPODOBNOST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</si>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</sst>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1" fillId="0" borderId="10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right" vertical="center" wrapText="1" indent="1" readingOrder="1"/>
    </xf>
    <xf numFmtId="0" fontId="4" fillId="0" borderId="0" xfId="0" applyFont="1" applyBorder="1" applyAlignment="1">
      <alignment horizontal="left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right" vertical="center" wrapText="1" inden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0" fontId="3" fillId="0" borderId="13" xfId="0" applyFont="1" applyBorder="1" applyAlignment="1">
      <alignment horizontal="right" vertical="center" wrapText="1" indent="1" readingOrder="1"/>
    </xf>
    <xf numFmtId="0" fontId="3" fillId="0" borderId="14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right" vertical="center" wrapText="1" indent="1" readingOrder="1"/>
    </xf>
    <xf numFmtId="0" fontId="3" fillId="0" borderId="15" xfId="0" applyFont="1" applyBorder="1" applyAlignment="1">
      <alignment horizontal="right" vertical="center" wrapText="1" indent="1" readingOrder="1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Border="1" applyAlignment="1">
      <alignment readingOrder="1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5" xfId="0" applyFont="1" applyBorder="1"/>
    <xf numFmtId="0" fontId="5" fillId="0" borderId="0" xfId="0" applyFont="1" applyFill="1" applyBorder="1" applyAlignme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8" xfId="0" applyFont="1" applyBorder="1"/>
    <xf numFmtId="0" fontId="0" fillId="0" borderId="0" xfId="0" applyAlignment="1"/>
    <xf numFmtId="0" fontId="0" fillId="0" borderId="4" xfId="0" applyBorder="1"/>
    <xf numFmtId="0" fontId="5" fillId="0" borderId="0" xfId="0" applyFont="1"/>
    <xf numFmtId="0" fontId="7" fillId="0" borderId="0" xfId="0" applyFont="1"/>
    <xf numFmtId="0" fontId="1" fillId="0" borderId="0" xfId="0" applyFont="1" applyAlignment="1"/>
    <xf numFmtId="0" fontId="1" fillId="0" borderId="0" xfId="0" applyFont="1" applyFill="1" applyBorder="1" applyAlignment="1">
      <alignment readingOrder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readingOrder="1"/>
    </xf>
    <xf numFmtId="0" fontId="5" fillId="0" borderId="0" xfId="0" applyFont="1" applyBorder="1"/>
    <xf numFmtId="0" fontId="1" fillId="0" borderId="0" xfId="0" applyFont="1" applyFill="1" applyBorder="1" applyAlignment="1">
      <alignment horizontal="right"/>
    </xf>
    <xf numFmtId="0" fontId="7" fillId="0" borderId="0" xfId="0" applyFont="1" applyBorder="1"/>
    <xf numFmtId="0" fontId="7" fillId="0" borderId="0" xfId="0" applyFont="1" applyFill="1" applyBorder="1" applyAlignment="1"/>
    <xf numFmtId="0" fontId="8" fillId="0" borderId="0" xfId="0" applyFont="1"/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9" fillId="0" borderId="0" xfId="0" applyFont="1" applyFill="1" applyBorder="1" applyAlignment="1"/>
    <xf numFmtId="0" fontId="9" fillId="0" borderId="2" xfId="0" applyFont="1" applyFill="1" applyBorder="1" applyAlignment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udrzba_domu_vs_jeho_cena!$C$65:$C$74</c:f>
              <c:numCache>
                <c:formatCode>General</c:formatCode>
                <c:ptCount val="10"/>
                <c:pt idx="0">
                  <c:v>-34.676091337781713</c:v>
                </c:pt>
                <c:pt idx="1">
                  <c:v>41.578120414033435</c:v>
                </c:pt>
                <c:pt idx="2">
                  <c:v>6.5145674760796055</c:v>
                </c:pt>
                <c:pt idx="3">
                  <c:v>82.30802042772973</c:v>
                </c:pt>
                <c:pt idx="4">
                  <c:v>26.251550668205994</c:v>
                </c:pt>
                <c:pt idx="5">
                  <c:v>47.677852348993383</c:v>
                </c:pt>
                <c:pt idx="6">
                  <c:v>-34.090907312109891</c:v>
                </c:pt>
                <c:pt idx="7">
                  <c:v>15.53485823859728</c:v>
                </c:pt>
                <c:pt idx="8">
                  <c:v>-106.64871739683412</c:v>
                </c:pt>
                <c:pt idx="9">
                  <c:v>-44.449253526914276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4279-B6CA-1FD9AB04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1808"/>
        <c:axId val="1044635136"/>
      </c:scatterChart>
      <c:valAx>
        <c:axId val="10446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5136"/>
        <c:crosses val="autoZero"/>
        <c:crossBetween val="midCat"/>
      </c:valAx>
      <c:valAx>
        <c:axId val="10446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udrzba_domu_vs_jeho_cena!$B$10:$B$19</c:f>
              <c:numCache>
                <c:formatCode>General</c:formatCode>
                <c:ptCount val="10"/>
                <c:pt idx="0">
                  <c:v>136</c:v>
                </c:pt>
                <c:pt idx="1">
                  <c:v>24</c:v>
                </c:pt>
                <c:pt idx="2">
                  <c:v>52</c:v>
                </c:pt>
                <c:pt idx="3">
                  <c:v>143</c:v>
                </c:pt>
                <c:pt idx="4">
                  <c:v>42</c:v>
                </c:pt>
                <c:pt idx="5">
                  <c:v>43</c:v>
                </c:pt>
                <c:pt idx="6">
                  <c:v>67</c:v>
                </c:pt>
                <c:pt idx="7">
                  <c:v>106</c:v>
                </c:pt>
                <c:pt idx="8">
                  <c:v>61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4-4780-81C7-86CC21C613A7}"/>
            </c:ext>
          </c:extLst>
        </c:ser>
        <c:ser>
          <c:idx val="1"/>
          <c:order val="1"/>
          <c:tx>
            <c:v>Očekávané 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udrzba_domu_vs_jeho_cena!$B$65:$B$74</c:f>
              <c:numCache>
                <c:formatCode>General</c:formatCode>
                <c:ptCount val="10"/>
                <c:pt idx="0">
                  <c:v>869.67609133778171</c:v>
                </c:pt>
                <c:pt idx="1">
                  <c:v>21.421879585966565</c:v>
                </c:pt>
                <c:pt idx="2">
                  <c:v>233.48543252392039</c:v>
                </c:pt>
                <c:pt idx="3">
                  <c:v>922.69197957227027</c:v>
                </c:pt>
                <c:pt idx="4">
                  <c:v>157.74844933179401</c:v>
                </c:pt>
                <c:pt idx="5">
                  <c:v>165.32214765100662</c:v>
                </c:pt>
                <c:pt idx="6">
                  <c:v>347.09090731210989</c:v>
                </c:pt>
                <c:pt idx="7">
                  <c:v>642.46514176140272</c:v>
                </c:pt>
                <c:pt idx="8">
                  <c:v>301.64871739683412</c:v>
                </c:pt>
                <c:pt idx="9">
                  <c:v>589.44925352691428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4-4780-81C7-86CC21C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2224"/>
        <c:axId val="1044633056"/>
      </c:scatterChart>
      <c:valAx>
        <c:axId val="10446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3056"/>
        <c:crosses val="autoZero"/>
        <c:crossBetween val="midCat"/>
      </c:valAx>
      <c:valAx>
        <c:axId val="104463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X, cena domu [tis. 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X, cena domu [tis. $]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Y, náklady na údržbu [$]</c:v>
          </c:tx>
          <c:spPr>
            <a:ln w="19050">
              <a:noFill/>
            </a:ln>
          </c:spPr>
          <c:xVal>
            <c:numRef>
              <c:f>udrzba_domu_vs_jeho_cena!$B$10:$B$19</c:f>
              <c:numCache>
                <c:formatCode>General</c:formatCode>
                <c:ptCount val="10"/>
                <c:pt idx="0">
                  <c:v>136</c:v>
                </c:pt>
                <c:pt idx="1">
                  <c:v>24</c:v>
                </c:pt>
                <c:pt idx="2">
                  <c:v>52</c:v>
                </c:pt>
                <c:pt idx="3">
                  <c:v>143</c:v>
                </c:pt>
                <c:pt idx="4">
                  <c:v>42</c:v>
                </c:pt>
                <c:pt idx="5">
                  <c:v>43</c:v>
                </c:pt>
                <c:pt idx="6">
                  <c:v>67</c:v>
                </c:pt>
                <c:pt idx="7">
                  <c:v>106</c:v>
                </c:pt>
                <c:pt idx="8">
                  <c:v>61</c:v>
                </c:pt>
                <c:pt idx="9">
                  <c:v>99</c:v>
                </c:pt>
              </c:numCache>
            </c:numRef>
          </c:xVal>
          <c:y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8-44E8-80FB-4BB760ECC85B}"/>
            </c:ext>
          </c:extLst>
        </c:ser>
        <c:ser>
          <c:idx val="1"/>
          <c:order val="1"/>
          <c:tx>
            <c:v>Očekávané Y, náklady na údržbu [$]</c:v>
          </c:tx>
          <c:spPr>
            <a:ln w="19050">
              <a:noFill/>
            </a:ln>
          </c:spPr>
          <c:xVal>
            <c:numRef>
              <c:f>udrzba_domu_vs_jeho_cena!$B$10:$B$19</c:f>
              <c:numCache>
                <c:formatCode>General</c:formatCode>
                <c:ptCount val="10"/>
                <c:pt idx="0">
                  <c:v>136</c:v>
                </c:pt>
                <c:pt idx="1">
                  <c:v>24</c:v>
                </c:pt>
                <c:pt idx="2">
                  <c:v>52</c:v>
                </c:pt>
                <c:pt idx="3">
                  <c:v>143</c:v>
                </c:pt>
                <c:pt idx="4">
                  <c:v>42</c:v>
                </c:pt>
                <c:pt idx="5">
                  <c:v>43</c:v>
                </c:pt>
                <c:pt idx="6">
                  <c:v>67</c:v>
                </c:pt>
                <c:pt idx="7">
                  <c:v>106</c:v>
                </c:pt>
                <c:pt idx="8">
                  <c:v>61</c:v>
                </c:pt>
                <c:pt idx="9">
                  <c:v>99</c:v>
                </c:pt>
              </c:numCache>
            </c:numRef>
          </c:xVal>
          <c:yVal>
            <c:numRef>
              <c:f>udrzba_domu_vs_jeho_cena!$B$65:$B$74</c:f>
              <c:numCache>
                <c:formatCode>General</c:formatCode>
                <c:ptCount val="10"/>
                <c:pt idx="0">
                  <c:v>869.67609133778171</c:v>
                </c:pt>
                <c:pt idx="1">
                  <c:v>21.421879585966565</c:v>
                </c:pt>
                <c:pt idx="2">
                  <c:v>233.48543252392039</c:v>
                </c:pt>
                <c:pt idx="3">
                  <c:v>922.69197957227027</c:v>
                </c:pt>
                <c:pt idx="4">
                  <c:v>157.74844933179401</c:v>
                </c:pt>
                <c:pt idx="5">
                  <c:v>165.32214765100662</c:v>
                </c:pt>
                <c:pt idx="6">
                  <c:v>347.09090731210989</c:v>
                </c:pt>
                <c:pt idx="7">
                  <c:v>642.46514176140272</c:v>
                </c:pt>
                <c:pt idx="8">
                  <c:v>301.64871739683412</c:v>
                </c:pt>
                <c:pt idx="9">
                  <c:v>589.44925352691428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8-44E8-80FB-4BB760EC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53712"/>
        <c:axId val="175254352"/>
      </c:scatterChart>
      <c:valAx>
        <c:axId val="2713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X, cena domu [tis. 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54352"/>
        <c:crosses val="autoZero"/>
        <c:crossBetween val="midCat"/>
      </c:valAx>
      <c:valAx>
        <c:axId val="1752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35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39</xdr:row>
      <xdr:rowOff>76200</xdr:rowOff>
    </xdr:from>
    <xdr:to>
      <xdr:col>16</xdr:col>
      <xdr:colOff>190500</xdr:colOff>
      <xdr:row>49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49</xdr:row>
      <xdr:rowOff>180975</xdr:rowOff>
    </xdr:from>
    <xdr:to>
      <xdr:col>16</xdr:col>
      <xdr:colOff>219075</xdr:colOff>
      <xdr:row>59</xdr:row>
      <xdr:rowOff>161925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60</xdr:row>
      <xdr:rowOff>85725</xdr:rowOff>
    </xdr:from>
    <xdr:to>
      <xdr:col>16</xdr:col>
      <xdr:colOff>219075</xdr:colOff>
      <xdr:row>70</xdr:row>
      <xdr:rowOff>95250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F1"/>
    </sheetView>
  </sheetViews>
  <sheetFormatPr defaultRowHeight="15" x14ac:dyDescent="0.25"/>
  <cols>
    <col min="1" max="1" width="51.85546875" customWidth="1"/>
    <col min="2" max="6" width="12.7109375" customWidth="1"/>
    <col min="7" max="7" width="14.28515625" customWidth="1"/>
    <col min="8" max="8" width="16" customWidth="1"/>
  </cols>
  <sheetData>
    <row r="1" spans="1:8" ht="33" customHeight="1" x14ac:dyDescent="0.25">
      <c r="A1" s="48" t="s">
        <v>107</v>
      </c>
      <c r="B1" s="49"/>
      <c r="C1" s="49"/>
      <c r="D1" s="49"/>
      <c r="E1" s="49"/>
      <c r="F1" s="49"/>
      <c r="G1" s="6"/>
      <c r="H1" s="7"/>
    </row>
    <row r="2" spans="1:8" x14ac:dyDescent="0.25">
      <c r="A2" s="8"/>
      <c r="B2" s="9"/>
      <c r="C2" s="9"/>
      <c r="D2" s="9"/>
      <c r="E2" s="9"/>
      <c r="F2" s="9"/>
      <c r="G2" s="9"/>
      <c r="H2" s="10"/>
    </row>
    <row r="3" spans="1:8" x14ac:dyDescent="0.25">
      <c r="A3" s="8"/>
      <c r="B3" s="43">
        <v>495.2</v>
      </c>
      <c r="C3" s="6">
        <v>501.5</v>
      </c>
      <c r="D3" s="7">
        <v>500.2</v>
      </c>
      <c r="E3" s="9"/>
      <c r="F3" s="9"/>
      <c r="G3" s="9"/>
      <c r="H3" s="10"/>
    </row>
    <row r="4" spans="1:8" x14ac:dyDescent="0.25">
      <c r="A4" s="8"/>
      <c r="B4" s="8">
        <v>496.8</v>
      </c>
      <c r="C4" s="9">
        <v>501.8</v>
      </c>
      <c r="D4" s="10">
        <v>501.1</v>
      </c>
      <c r="E4" s="9"/>
      <c r="F4" s="9"/>
      <c r="G4" s="9"/>
      <c r="H4" s="10"/>
    </row>
    <row r="5" spans="1:8" x14ac:dyDescent="0.25">
      <c r="A5" s="8"/>
      <c r="B5" s="8">
        <v>502.1</v>
      </c>
      <c r="C5" s="9">
        <v>499.1</v>
      </c>
      <c r="D5" s="10">
        <v>499.9</v>
      </c>
      <c r="E5" s="9"/>
      <c r="F5" s="9"/>
      <c r="G5" s="9"/>
      <c r="H5" s="10"/>
    </row>
    <row r="6" spans="1:8" x14ac:dyDescent="0.25">
      <c r="A6" s="8"/>
      <c r="B6" s="8">
        <v>498.5</v>
      </c>
      <c r="C6" s="9">
        <v>500.9</v>
      </c>
      <c r="D6" s="10">
        <v>500.2</v>
      </c>
      <c r="E6" s="9"/>
      <c r="F6" s="9"/>
      <c r="G6" s="9"/>
      <c r="H6" s="10"/>
    </row>
    <row r="7" spans="1:8" x14ac:dyDescent="0.25">
      <c r="A7" s="8"/>
      <c r="B7" s="8">
        <v>501</v>
      </c>
      <c r="C7" s="9">
        <v>502.2</v>
      </c>
      <c r="D7" s="10">
        <v>501.1</v>
      </c>
      <c r="E7" s="9"/>
      <c r="F7" s="9"/>
      <c r="G7" s="9"/>
      <c r="H7" s="10"/>
    </row>
    <row r="8" spans="1:8" x14ac:dyDescent="0.25">
      <c r="A8" s="8"/>
      <c r="B8" s="8">
        <v>503</v>
      </c>
      <c r="C8" s="9">
        <v>501.7</v>
      </c>
      <c r="D8" s="10">
        <v>500.8</v>
      </c>
      <c r="E8" s="9"/>
      <c r="F8" s="9"/>
      <c r="G8" s="9"/>
      <c r="H8" s="10"/>
    </row>
    <row r="9" spans="1:8" x14ac:dyDescent="0.25">
      <c r="A9" s="8"/>
      <c r="B9" s="11">
        <v>500.7</v>
      </c>
      <c r="C9" s="12">
        <v>500.4</v>
      </c>
      <c r="D9" s="13">
        <v>499.3</v>
      </c>
      <c r="E9" s="9"/>
      <c r="F9" s="9"/>
      <c r="G9" s="9"/>
      <c r="H9" s="10"/>
    </row>
    <row r="10" spans="1:8" x14ac:dyDescent="0.25">
      <c r="A10" s="8"/>
      <c r="B10" s="9"/>
      <c r="C10" s="9"/>
      <c r="D10" s="9"/>
      <c r="E10" s="9"/>
      <c r="F10" s="9"/>
      <c r="G10" s="9"/>
      <c r="H10" s="10"/>
    </row>
    <row r="11" spans="1:8" ht="30.75" customHeight="1" x14ac:dyDescent="0.25">
      <c r="A11" s="50" t="s">
        <v>108</v>
      </c>
      <c r="B11" s="51"/>
      <c r="C11" s="51"/>
      <c r="D11" s="51"/>
      <c r="E11" s="51"/>
      <c r="F11" s="51"/>
      <c r="G11" s="9"/>
      <c r="H11" s="10"/>
    </row>
    <row r="12" spans="1:8" x14ac:dyDescent="0.25">
      <c r="A12" s="11"/>
      <c r="B12" s="12"/>
      <c r="C12" s="12"/>
      <c r="D12" s="12"/>
      <c r="E12" s="12"/>
      <c r="F12" s="12"/>
      <c r="G12" s="12"/>
      <c r="H12" s="13"/>
    </row>
    <row r="14" spans="1:8" x14ac:dyDescent="0.25">
      <c r="A14" s="1" t="s">
        <v>11</v>
      </c>
    </row>
    <row r="16" spans="1:8" x14ac:dyDescent="0.25">
      <c r="A16" t="s">
        <v>112</v>
      </c>
    </row>
    <row r="18" spans="1:2" x14ac:dyDescent="0.25">
      <c r="A18" t="s">
        <v>114</v>
      </c>
      <c r="B18">
        <v>0.05</v>
      </c>
    </row>
    <row r="19" spans="1:2" x14ac:dyDescent="0.25">
      <c r="A19" s="42" t="s">
        <v>111</v>
      </c>
      <c r="B19">
        <f>COUNTIF(B3:D9,"&gt;=0")</f>
        <v>21</v>
      </c>
    </row>
    <row r="20" spans="1:2" x14ac:dyDescent="0.25">
      <c r="A20" s="42" t="s">
        <v>110</v>
      </c>
      <c r="B20">
        <f>AVERAGE(B3:D9)</f>
        <v>500.35714285714278</v>
      </c>
    </row>
    <row r="21" spans="1:2" x14ac:dyDescent="0.25">
      <c r="A21" s="42" t="s">
        <v>109</v>
      </c>
      <c r="B21">
        <f>_xlfn.STDEV.S(B3:D9)</f>
        <v>1.8219691074690134</v>
      </c>
    </row>
    <row r="22" spans="1:2" x14ac:dyDescent="0.25">
      <c r="A22" s="46" t="s">
        <v>115</v>
      </c>
      <c r="B22" s="44">
        <f>(B20-500)/B21*SQRT(B19)</f>
        <v>0.89827767664134517</v>
      </c>
    </row>
    <row r="23" spans="1:2" x14ac:dyDescent="0.25">
      <c r="A23" s="46" t="s">
        <v>113</v>
      </c>
      <c r="B23" s="45">
        <f>TINV(B18,B19-1)</f>
        <v>2.0859634472658648</v>
      </c>
    </row>
    <row r="25" spans="1:2" x14ac:dyDescent="0.25">
      <c r="A25" t="s">
        <v>116</v>
      </c>
    </row>
  </sheetData>
  <mergeCells count="2">
    <mergeCell ref="A1:F1"/>
    <mergeCell ref="A11:F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F1"/>
    </sheetView>
  </sheetViews>
  <sheetFormatPr defaultRowHeight="15" x14ac:dyDescent="0.25"/>
  <cols>
    <col min="1" max="1" width="16.7109375" customWidth="1"/>
    <col min="3" max="3" width="12.140625" customWidth="1"/>
    <col min="4" max="4" width="11" customWidth="1"/>
    <col min="5" max="6" width="11.7109375" customWidth="1"/>
    <col min="7" max="7" width="16.42578125" customWidth="1"/>
    <col min="8" max="8" width="25.28515625" customWidth="1"/>
    <col min="10" max="10" width="10.7109375" customWidth="1"/>
    <col min="11" max="11" width="11" customWidth="1"/>
  </cols>
  <sheetData>
    <row r="1" spans="1:10" ht="63.75" customHeight="1" x14ac:dyDescent="0.25">
      <c r="A1" s="53" t="s">
        <v>9</v>
      </c>
      <c r="B1" s="54"/>
      <c r="C1" s="54"/>
      <c r="D1" s="54"/>
      <c r="E1" s="54"/>
      <c r="F1" s="54"/>
      <c r="G1" s="6"/>
      <c r="H1" s="7"/>
    </row>
    <row r="2" spans="1:10" x14ac:dyDescent="0.25">
      <c r="A2" s="8"/>
      <c r="B2" s="9"/>
      <c r="C2" s="9"/>
      <c r="D2" s="9"/>
      <c r="E2" s="9"/>
      <c r="F2" s="9"/>
      <c r="G2" s="9"/>
      <c r="H2" s="10"/>
    </row>
    <row r="3" spans="1:10" x14ac:dyDescent="0.25">
      <c r="A3" s="8"/>
      <c r="B3" s="9"/>
      <c r="C3" s="52" t="s">
        <v>0</v>
      </c>
      <c r="D3" s="52"/>
      <c r="E3" s="52"/>
      <c r="F3" s="52"/>
      <c r="G3" s="9"/>
      <c r="H3" s="10"/>
    </row>
    <row r="4" spans="1:10" x14ac:dyDescent="0.25">
      <c r="A4" s="8"/>
      <c r="B4" s="9"/>
      <c r="C4" s="9" t="s">
        <v>1</v>
      </c>
      <c r="D4" s="9" t="s">
        <v>2</v>
      </c>
      <c r="E4" s="9" t="s">
        <v>3</v>
      </c>
      <c r="F4" s="9" t="s">
        <v>4</v>
      </c>
      <c r="G4" s="9"/>
      <c r="H4" s="10"/>
    </row>
    <row r="5" spans="1:10" x14ac:dyDescent="0.25">
      <c r="A5" s="8"/>
      <c r="B5" s="9" t="s">
        <v>5</v>
      </c>
      <c r="C5" s="9">
        <v>91</v>
      </c>
      <c r="D5" s="9">
        <v>81</v>
      </c>
      <c r="E5" s="9">
        <v>74</v>
      </c>
      <c r="F5" s="9">
        <v>57</v>
      </c>
      <c r="G5" s="9"/>
      <c r="H5" s="10"/>
    </row>
    <row r="6" spans="1:10" x14ac:dyDescent="0.25">
      <c r="A6" s="8" t="s">
        <v>6</v>
      </c>
      <c r="B6" s="9" t="s">
        <v>7</v>
      </c>
      <c r="C6" s="9">
        <v>83</v>
      </c>
      <c r="D6" s="9">
        <v>72</v>
      </c>
      <c r="E6" s="9">
        <v>63</v>
      </c>
      <c r="F6" s="9">
        <v>47</v>
      </c>
      <c r="G6" s="9"/>
      <c r="H6" s="10"/>
    </row>
    <row r="7" spans="1:10" x14ac:dyDescent="0.25">
      <c r="A7" s="8"/>
      <c r="B7" s="9" t="s">
        <v>8</v>
      </c>
      <c r="C7" s="9">
        <v>71</v>
      </c>
      <c r="D7" s="9">
        <v>69</v>
      </c>
      <c r="E7" s="9">
        <v>58</v>
      </c>
      <c r="F7" s="9">
        <v>40</v>
      </c>
      <c r="G7" s="9"/>
      <c r="H7" s="10"/>
    </row>
    <row r="8" spans="1:10" x14ac:dyDescent="0.25">
      <c r="A8" s="11"/>
      <c r="B8" s="12"/>
      <c r="C8" s="12"/>
      <c r="D8" s="12"/>
      <c r="E8" s="12"/>
      <c r="F8" s="12"/>
      <c r="G8" s="12"/>
      <c r="H8" s="13"/>
    </row>
    <row r="10" spans="1:10" x14ac:dyDescent="0.25">
      <c r="A10" s="1" t="s">
        <v>20</v>
      </c>
    </row>
    <row r="12" spans="1:10" x14ac:dyDescent="0.25">
      <c r="A12" t="s">
        <v>54</v>
      </c>
    </row>
    <row r="14" spans="1:10" x14ac:dyDescent="0.25">
      <c r="C14" s="55" t="s">
        <v>0</v>
      </c>
      <c r="D14" s="55"/>
      <c r="E14" s="55"/>
      <c r="F14" s="55"/>
    </row>
    <row r="15" spans="1:10" x14ac:dyDescent="0.25">
      <c r="C15" t="s">
        <v>1</v>
      </c>
      <c r="D15" t="s">
        <v>2</v>
      </c>
      <c r="E15" t="s">
        <v>3</v>
      </c>
      <c r="F15" t="s">
        <v>4</v>
      </c>
      <c r="G15" t="s">
        <v>10</v>
      </c>
      <c r="H15" t="s">
        <v>12</v>
      </c>
      <c r="J15" s="1" t="s">
        <v>16</v>
      </c>
    </row>
    <row r="16" spans="1:10" x14ac:dyDescent="0.25">
      <c r="B16" t="s">
        <v>5</v>
      </c>
      <c r="C16">
        <v>91</v>
      </c>
      <c r="D16">
        <v>81</v>
      </c>
      <c r="E16">
        <v>74</v>
      </c>
      <c r="F16">
        <v>57</v>
      </c>
      <c r="G16">
        <f>AVERAGE(C16:F16)</f>
        <v>75.75</v>
      </c>
      <c r="H16">
        <f>4 * ((G16-$J$16)^2)</f>
        <v>294.69444444444412</v>
      </c>
      <c r="J16">
        <f>AVERAGE(C16:F18)</f>
        <v>67.166666666666671</v>
      </c>
    </row>
    <row r="17" spans="1:17" x14ac:dyDescent="0.25">
      <c r="A17" t="s">
        <v>6</v>
      </c>
      <c r="B17" t="s">
        <v>7</v>
      </c>
      <c r="C17">
        <v>83</v>
      </c>
      <c r="D17">
        <v>72</v>
      </c>
      <c r="E17">
        <v>63</v>
      </c>
      <c r="F17">
        <v>47</v>
      </c>
      <c r="G17">
        <f t="shared" ref="G17:G18" si="0">AVERAGE(C17:F17)</f>
        <v>66.25</v>
      </c>
      <c r="H17">
        <f t="shared" ref="H17:H18" si="1">4 * ((G17-$J$16)^2)</f>
        <v>3.3611111111111458</v>
      </c>
    </row>
    <row r="18" spans="1:17" x14ac:dyDescent="0.25">
      <c r="B18" t="s">
        <v>8</v>
      </c>
      <c r="C18">
        <v>71</v>
      </c>
      <c r="D18">
        <v>69</v>
      </c>
      <c r="E18">
        <v>58</v>
      </c>
      <c r="F18">
        <v>40</v>
      </c>
      <c r="G18">
        <f t="shared" si="0"/>
        <v>59.5</v>
      </c>
      <c r="H18">
        <f t="shared" si="1"/>
        <v>235.1111111111114</v>
      </c>
    </row>
    <row r="19" spans="1:17" x14ac:dyDescent="0.25">
      <c r="G19" s="2" t="s">
        <v>13</v>
      </c>
      <c r="H19" s="1">
        <f>SUM(H16:H18)</f>
        <v>533.16666666666663</v>
      </c>
    </row>
    <row r="20" spans="1:17" x14ac:dyDescent="0.25">
      <c r="C20" t="s">
        <v>15</v>
      </c>
    </row>
    <row r="21" spans="1:17" x14ac:dyDescent="0.25">
      <c r="C21">
        <f>(C16-$G16)^2</f>
        <v>232.5625</v>
      </c>
      <c r="D21">
        <f t="shared" ref="D21:F21" si="2">(D16-$G16)^2</f>
        <v>27.5625</v>
      </c>
      <c r="E21">
        <f t="shared" si="2"/>
        <v>3.0625</v>
      </c>
      <c r="F21">
        <f t="shared" si="2"/>
        <v>351.5625</v>
      </c>
    </row>
    <row r="22" spans="1:17" x14ac:dyDescent="0.25">
      <c r="C22">
        <f t="shared" ref="C22:F23" si="3">(C17-$G17)^2</f>
        <v>280.5625</v>
      </c>
      <c r="D22">
        <f t="shared" si="3"/>
        <v>33.0625</v>
      </c>
      <c r="E22">
        <f t="shared" si="3"/>
        <v>10.5625</v>
      </c>
      <c r="F22">
        <f t="shared" si="3"/>
        <v>370.5625</v>
      </c>
      <c r="J22" s="18" t="s">
        <v>17</v>
      </c>
      <c r="K22" s="37">
        <f>(H19/2)/(H24/9)</f>
        <v>1.253199268738574</v>
      </c>
      <c r="L22" s="6"/>
      <c r="M22" s="6"/>
      <c r="N22" s="6"/>
      <c r="O22" s="6"/>
      <c r="P22" s="6"/>
      <c r="Q22" s="7"/>
    </row>
    <row r="23" spans="1:17" x14ac:dyDescent="0.25">
      <c r="C23">
        <f t="shared" si="3"/>
        <v>132.25</v>
      </c>
      <c r="D23">
        <f t="shared" si="3"/>
        <v>90.25</v>
      </c>
      <c r="E23">
        <f t="shared" si="3"/>
        <v>2.25</v>
      </c>
      <c r="F23">
        <f t="shared" si="3"/>
        <v>380.25</v>
      </c>
      <c r="J23" s="19" t="s">
        <v>18</v>
      </c>
      <c r="K23" s="39">
        <v>4.2569999999999997</v>
      </c>
      <c r="L23" s="9" t="s">
        <v>19</v>
      </c>
      <c r="M23" s="9"/>
      <c r="N23" s="9"/>
      <c r="O23" s="9"/>
      <c r="P23" s="9"/>
      <c r="Q23" s="10">
        <f>_xlfn.F.INV(0.95,2,9)</f>
        <v>4.2564947290937489</v>
      </c>
    </row>
    <row r="24" spans="1:17" x14ac:dyDescent="0.25">
      <c r="G24" s="2" t="s">
        <v>14</v>
      </c>
      <c r="H24" s="1">
        <f>SUM(C21:F23)</f>
        <v>1914.5</v>
      </c>
      <c r="J24" s="11"/>
      <c r="K24" s="12" t="s">
        <v>40</v>
      </c>
      <c r="L24" s="12"/>
      <c r="M24" s="12"/>
      <c r="N24" s="12"/>
      <c r="O24" s="12"/>
      <c r="P24" s="12"/>
      <c r="Q24" s="13"/>
    </row>
    <row r="28" spans="1:17" x14ac:dyDescent="0.25">
      <c r="A28" s="1" t="s">
        <v>21</v>
      </c>
    </row>
    <row r="30" spans="1:17" x14ac:dyDescent="0.25">
      <c r="A30" t="s">
        <v>22</v>
      </c>
    </row>
    <row r="32" spans="1:17" ht="15.75" thickBot="1" x14ac:dyDescent="0.3">
      <c r="A32" t="s">
        <v>23</v>
      </c>
    </row>
    <row r="33" spans="1:7" x14ac:dyDescent="0.25">
      <c r="A33" s="5" t="s">
        <v>24</v>
      </c>
      <c r="B33" s="5" t="s">
        <v>25</v>
      </c>
      <c r="C33" s="5" t="s">
        <v>26</v>
      </c>
      <c r="D33" s="5" t="s">
        <v>27</v>
      </c>
      <c r="E33" s="5" t="s">
        <v>28</v>
      </c>
    </row>
    <row r="34" spans="1:7" x14ac:dyDescent="0.25">
      <c r="A34" s="3" t="s">
        <v>5</v>
      </c>
      <c r="B34" s="3">
        <v>4</v>
      </c>
      <c r="C34" s="3">
        <v>303</v>
      </c>
      <c r="D34" s="3">
        <v>75.75</v>
      </c>
      <c r="E34" s="3">
        <v>204.91666666666666</v>
      </c>
    </row>
    <row r="35" spans="1:7" x14ac:dyDescent="0.25">
      <c r="A35" s="3" t="s">
        <v>7</v>
      </c>
      <c r="B35" s="3">
        <v>4</v>
      </c>
      <c r="C35" s="3">
        <v>265</v>
      </c>
      <c r="D35" s="3">
        <v>66.25</v>
      </c>
      <c r="E35" s="3">
        <v>231.58333333333334</v>
      </c>
    </row>
    <row r="36" spans="1:7" ht="15.75" thickBot="1" x14ac:dyDescent="0.3">
      <c r="A36" s="4" t="s">
        <v>8</v>
      </c>
      <c r="B36" s="4">
        <v>4</v>
      </c>
      <c r="C36" s="4">
        <v>238</v>
      </c>
      <c r="D36" s="4">
        <v>59.5</v>
      </c>
      <c r="E36" s="4">
        <v>201.66666666666666</v>
      </c>
    </row>
    <row r="39" spans="1:7" ht="15.75" thickBot="1" x14ac:dyDescent="0.3">
      <c r="A39" t="s">
        <v>29</v>
      </c>
    </row>
    <row r="40" spans="1:7" x14ac:dyDescent="0.25">
      <c r="A40" s="5" t="s">
        <v>30</v>
      </c>
      <c r="B40" s="5" t="s">
        <v>31</v>
      </c>
      <c r="C40" s="5" t="s">
        <v>32</v>
      </c>
      <c r="D40" s="5" t="s">
        <v>33</v>
      </c>
      <c r="E40" s="5" t="s">
        <v>34</v>
      </c>
      <c r="F40" s="5" t="s">
        <v>35</v>
      </c>
      <c r="G40" s="5" t="s">
        <v>36</v>
      </c>
    </row>
    <row r="41" spans="1:7" x14ac:dyDescent="0.25">
      <c r="A41" s="3" t="s">
        <v>37</v>
      </c>
      <c r="B41" s="3">
        <v>533.16666666666652</v>
      </c>
      <c r="C41" s="3">
        <v>2</v>
      </c>
      <c r="D41" s="3">
        <v>266.58333333333326</v>
      </c>
      <c r="E41" s="38">
        <v>1.2531992687385736</v>
      </c>
      <c r="F41" s="3">
        <v>0.33102739575531148</v>
      </c>
      <c r="G41" s="40">
        <v>4.2564947290937507</v>
      </c>
    </row>
    <row r="42" spans="1:7" x14ac:dyDescent="0.25">
      <c r="A42" s="3" t="s">
        <v>38</v>
      </c>
      <c r="B42" s="3">
        <v>1914.5</v>
      </c>
      <c r="C42" s="3">
        <v>9</v>
      </c>
      <c r="D42" s="3">
        <v>212.72222222222223</v>
      </c>
      <c r="E42" s="3"/>
      <c r="F42" s="3"/>
      <c r="G42" s="3"/>
    </row>
    <row r="43" spans="1:7" x14ac:dyDescent="0.25">
      <c r="A43" s="3"/>
      <c r="B43" s="3"/>
      <c r="C43" s="3"/>
      <c r="D43" s="3"/>
      <c r="E43" s="3"/>
      <c r="F43" s="3"/>
      <c r="G43" s="3"/>
    </row>
    <row r="44" spans="1:7" ht="15.75" thickBot="1" x14ac:dyDescent="0.3">
      <c r="A44" s="4" t="s">
        <v>39</v>
      </c>
      <c r="B44" s="4">
        <v>2447.6666666666665</v>
      </c>
      <c r="C44" s="4">
        <v>11</v>
      </c>
      <c r="D44" s="4"/>
      <c r="E44" s="4"/>
      <c r="F44" s="4"/>
      <c r="G44" s="4"/>
    </row>
  </sheetData>
  <mergeCells count="3">
    <mergeCell ref="C3:F3"/>
    <mergeCell ref="A1:F1"/>
    <mergeCell ref="C14:F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F1"/>
    </sheetView>
  </sheetViews>
  <sheetFormatPr defaultRowHeight="15" x14ac:dyDescent="0.25"/>
  <cols>
    <col min="1" max="1" width="11.5703125" customWidth="1"/>
    <col min="2" max="2" width="17.5703125" customWidth="1"/>
    <col min="3" max="3" width="15.42578125" customWidth="1"/>
    <col min="4" max="4" width="13.85546875" customWidth="1"/>
    <col min="5" max="5" width="12.140625" customWidth="1"/>
    <col min="6" max="6" width="16.140625" customWidth="1"/>
  </cols>
  <sheetData>
    <row r="1" spans="1:7" ht="52.5" customHeight="1" x14ac:dyDescent="0.25">
      <c r="A1" s="53" t="s">
        <v>47</v>
      </c>
      <c r="B1" s="54"/>
      <c r="C1" s="54"/>
      <c r="D1" s="54"/>
      <c r="E1" s="54"/>
      <c r="F1" s="54"/>
      <c r="G1" s="7"/>
    </row>
    <row r="2" spans="1:7" ht="19.5" customHeight="1" x14ac:dyDescent="0.25">
      <c r="A2" s="14"/>
      <c r="B2" s="15"/>
      <c r="C2" s="15"/>
      <c r="D2" s="15"/>
      <c r="E2" s="15"/>
      <c r="F2" s="15"/>
      <c r="G2" s="10"/>
    </row>
    <row r="3" spans="1:7" ht="18.75" customHeight="1" x14ac:dyDescent="0.25">
      <c r="A3" s="8"/>
      <c r="B3" s="9"/>
      <c r="C3" s="52" t="s">
        <v>41</v>
      </c>
      <c r="D3" s="52"/>
      <c r="E3" s="9"/>
      <c r="F3" s="15"/>
      <c r="G3" s="10"/>
    </row>
    <row r="4" spans="1:7" ht="18.75" customHeight="1" x14ac:dyDescent="0.25">
      <c r="A4" s="8"/>
      <c r="B4" s="9"/>
      <c r="C4" s="9" t="s">
        <v>42</v>
      </c>
      <c r="D4" s="9" t="s">
        <v>43</v>
      </c>
      <c r="E4" s="16" t="s">
        <v>48</v>
      </c>
      <c r="F4" s="15"/>
      <c r="G4" s="10"/>
    </row>
    <row r="5" spans="1:7" ht="18.75" customHeight="1" x14ac:dyDescent="0.25">
      <c r="A5" s="58" t="s">
        <v>44</v>
      </c>
      <c r="B5" s="9" t="s">
        <v>45</v>
      </c>
      <c r="C5" s="9">
        <v>71</v>
      </c>
      <c r="D5" s="9">
        <v>91</v>
      </c>
      <c r="E5" s="9">
        <f>SUM(C5:D5)</f>
        <v>162</v>
      </c>
      <c r="F5" s="15"/>
      <c r="G5" s="10"/>
    </row>
    <row r="6" spans="1:7" ht="16.5" customHeight="1" x14ac:dyDescent="0.25">
      <c r="A6" s="58"/>
      <c r="B6" s="9" t="s">
        <v>46</v>
      </c>
      <c r="C6" s="9">
        <v>82</v>
      </c>
      <c r="D6" s="9">
        <v>56</v>
      </c>
      <c r="E6" s="9">
        <f>SUM(C6:D6)</f>
        <v>138</v>
      </c>
      <c r="F6" s="15"/>
      <c r="G6" s="10"/>
    </row>
    <row r="7" spans="1:7" x14ac:dyDescent="0.25">
      <c r="A7" s="8"/>
      <c r="B7" s="16" t="s">
        <v>48</v>
      </c>
      <c r="C7" s="9">
        <f>SUM(C5:C6)</f>
        <v>153</v>
      </c>
      <c r="D7" s="9">
        <f>SUM(D5:D6)</f>
        <v>147</v>
      </c>
      <c r="E7" s="9">
        <f>SUM(C7:D7)</f>
        <v>300</v>
      </c>
      <c r="F7" s="9"/>
      <c r="G7" s="10"/>
    </row>
    <row r="8" spans="1:7" x14ac:dyDescent="0.25">
      <c r="A8" s="11"/>
      <c r="B8" s="17"/>
      <c r="C8" s="12"/>
      <c r="D8" s="12"/>
      <c r="E8" s="12"/>
      <c r="F8" s="12"/>
      <c r="G8" s="13"/>
    </row>
    <row r="9" spans="1:7" x14ac:dyDescent="0.25">
      <c r="B9" s="1"/>
    </row>
    <row r="10" spans="1:7" x14ac:dyDescent="0.25">
      <c r="A10" s="1" t="s">
        <v>11</v>
      </c>
      <c r="B10" s="1"/>
    </row>
    <row r="11" spans="1:7" x14ac:dyDescent="0.25">
      <c r="A11" s="1"/>
      <c r="B11" s="1"/>
    </row>
    <row r="12" spans="1:7" x14ac:dyDescent="0.25">
      <c r="A12" t="s">
        <v>53</v>
      </c>
      <c r="B12" s="1"/>
    </row>
    <row r="13" spans="1:7" x14ac:dyDescent="0.25">
      <c r="B13" s="1"/>
    </row>
    <row r="14" spans="1:7" x14ac:dyDescent="0.25">
      <c r="C14" s="55" t="s">
        <v>41</v>
      </c>
      <c r="D14" s="55"/>
    </row>
    <row r="15" spans="1:7" x14ac:dyDescent="0.25">
      <c r="C15" t="s">
        <v>42</v>
      </c>
      <c r="D15" t="s">
        <v>43</v>
      </c>
      <c r="E15" s="1" t="s">
        <v>48</v>
      </c>
    </row>
    <row r="16" spans="1:7" x14ac:dyDescent="0.25">
      <c r="A16" s="56" t="s">
        <v>44</v>
      </c>
      <c r="B16" t="s">
        <v>45</v>
      </c>
      <c r="C16">
        <v>71</v>
      </c>
      <c r="D16">
        <v>91</v>
      </c>
      <c r="E16">
        <f>SUM(C16:D16)</f>
        <v>162</v>
      </c>
    </row>
    <row r="17" spans="1:14" x14ac:dyDescent="0.25">
      <c r="A17" s="56"/>
      <c r="B17" t="s">
        <v>46</v>
      </c>
      <c r="C17">
        <v>82</v>
      </c>
      <c r="D17">
        <v>56</v>
      </c>
      <c r="E17">
        <f>SUM(C17:D17)</f>
        <v>138</v>
      </c>
    </row>
    <row r="18" spans="1:14" x14ac:dyDescent="0.25">
      <c r="B18" s="1" t="s">
        <v>48</v>
      </c>
      <c r="C18">
        <f>SUM(C16:C17)</f>
        <v>153</v>
      </c>
      <c r="D18">
        <f>SUM(D16:D17)</f>
        <v>147</v>
      </c>
      <c r="E18">
        <f>SUM(C18:D18)</f>
        <v>300</v>
      </c>
    </row>
    <row r="20" spans="1:14" ht="25.5" customHeight="1" x14ac:dyDescent="0.25">
      <c r="B20" s="57" t="s">
        <v>49</v>
      </c>
      <c r="C20">
        <f>$E16*C$18/$E$18</f>
        <v>82.62</v>
      </c>
      <c r="D20">
        <f>$E16*D$18/$E$18</f>
        <v>79.38</v>
      </c>
    </row>
    <row r="21" spans="1:14" ht="20.25" customHeight="1" x14ac:dyDescent="0.25">
      <c r="B21" s="57"/>
      <c r="C21">
        <f>$E17*C$18/$E$18</f>
        <v>70.38</v>
      </c>
      <c r="D21">
        <f>$E17*D$18/$E$18</f>
        <v>67.62</v>
      </c>
    </row>
    <row r="23" spans="1:14" x14ac:dyDescent="0.25">
      <c r="B23" s="1" t="s">
        <v>50</v>
      </c>
      <c r="C23">
        <f>(C16-C20)^2 /C20</f>
        <v>1.6342822561123227</v>
      </c>
      <c r="D23">
        <f>(D16-D20)^2 /D20</f>
        <v>1.700987654320989</v>
      </c>
    </row>
    <row r="24" spans="1:14" x14ac:dyDescent="0.25">
      <c r="C24">
        <f>(C17-C21)^2 /C21</f>
        <v>1.9185052571753354</v>
      </c>
      <c r="D24">
        <f>(D17-D21)^2 /D21</f>
        <v>1.9968115942028999</v>
      </c>
      <c r="F24" s="20" t="s">
        <v>51</v>
      </c>
      <c r="G24" s="37">
        <f>SUM(C23:D24)</f>
        <v>7.2505867618115474</v>
      </c>
      <c r="H24" s="6"/>
      <c r="I24" s="6"/>
      <c r="J24" s="6"/>
      <c r="K24" s="6"/>
      <c r="L24" s="6"/>
      <c r="M24" s="6"/>
      <c r="N24" s="7"/>
    </row>
    <row r="25" spans="1:14" x14ac:dyDescent="0.25">
      <c r="F25" s="21" t="s">
        <v>52</v>
      </c>
      <c r="G25" s="39">
        <v>3.84</v>
      </c>
      <c r="H25" s="9" t="s">
        <v>56</v>
      </c>
      <c r="I25" s="9"/>
      <c r="J25" s="9"/>
      <c r="K25" s="9"/>
      <c r="L25" s="9"/>
      <c r="M25" s="9"/>
      <c r="N25" s="41">
        <f>_xlfn.CHISQ.INV(0.95,1)</f>
        <v>3.8414588206941236</v>
      </c>
    </row>
    <row r="26" spans="1:14" x14ac:dyDescent="0.25">
      <c r="F26" s="11"/>
      <c r="G26" s="12" t="s">
        <v>55</v>
      </c>
      <c r="H26" s="12"/>
      <c r="I26" s="12"/>
      <c r="J26" s="12"/>
      <c r="K26" s="12"/>
      <c r="L26" s="12"/>
      <c r="M26" s="12"/>
      <c r="N26" s="13"/>
    </row>
    <row r="28" spans="1:14" x14ac:dyDescent="0.25">
      <c r="F28" s="2" t="s">
        <v>121</v>
      </c>
      <c r="G28">
        <f>SQRT(G24 / (G24 + E18))</f>
        <v>0.15361733140667744</v>
      </c>
      <c r="H28" t="s">
        <v>122</v>
      </c>
    </row>
    <row r="29" spans="1:14" x14ac:dyDescent="0.25">
      <c r="F29" s="2" t="s">
        <v>123</v>
      </c>
      <c r="G29">
        <f>SQRT(G24 / (E18 * (MIN(2,2) - 1)))</f>
        <v>0.15546260817113491</v>
      </c>
      <c r="H29" t="s">
        <v>124</v>
      </c>
    </row>
  </sheetData>
  <mergeCells count="6">
    <mergeCell ref="C14:D14"/>
    <mergeCell ref="A1:F1"/>
    <mergeCell ref="A16:A17"/>
    <mergeCell ref="B20:B21"/>
    <mergeCell ref="C3:D3"/>
    <mergeCell ref="A5:A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F1"/>
    </sheetView>
  </sheetViews>
  <sheetFormatPr defaultRowHeight="15" x14ac:dyDescent="0.25"/>
  <cols>
    <col min="1" max="1" width="19.28515625" customWidth="1"/>
    <col min="10" max="10" width="14.85546875" customWidth="1"/>
    <col min="11" max="11" width="7.42578125" customWidth="1"/>
  </cols>
  <sheetData>
    <row r="1" spans="1:18" ht="70.5" customHeight="1" x14ac:dyDescent="0.25">
      <c r="A1" s="53" t="s">
        <v>69</v>
      </c>
      <c r="B1" s="54"/>
      <c r="C1" s="54"/>
      <c r="D1" s="54"/>
      <c r="E1" s="54"/>
      <c r="F1" s="54"/>
      <c r="G1" s="6"/>
      <c r="H1" s="7"/>
    </row>
    <row r="2" spans="1:18" x14ac:dyDescent="0.25">
      <c r="A2" s="8"/>
      <c r="B2" s="9"/>
      <c r="C2" s="9"/>
      <c r="D2" s="9"/>
      <c r="E2" s="9"/>
      <c r="F2" s="9"/>
      <c r="G2" s="9"/>
      <c r="H2" s="10"/>
    </row>
    <row r="3" spans="1:18" x14ac:dyDescent="0.25">
      <c r="A3" s="8"/>
      <c r="B3" s="9" t="s">
        <v>60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10"/>
    </row>
    <row r="4" spans="1:18" x14ac:dyDescent="0.25">
      <c r="A4" s="8" t="s">
        <v>57</v>
      </c>
      <c r="B4" s="9">
        <v>85</v>
      </c>
      <c r="C4" s="9">
        <v>99</v>
      </c>
      <c r="D4" s="9">
        <v>91</v>
      </c>
      <c r="E4" s="9">
        <v>108</v>
      </c>
      <c r="F4" s="9">
        <v>119</v>
      </c>
      <c r="G4" s="9">
        <v>98</v>
      </c>
      <c r="H4" s="10"/>
    </row>
    <row r="5" spans="1:18" x14ac:dyDescent="0.25">
      <c r="A5" s="11"/>
      <c r="B5" s="12"/>
      <c r="C5" s="12"/>
      <c r="D5" s="12"/>
      <c r="E5" s="12"/>
      <c r="F5" s="12"/>
      <c r="G5" s="12"/>
      <c r="H5" s="13"/>
    </row>
    <row r="7" spans="1:18" x14ac:dyDescent="0.25">
      <c r="A7" s="1" t="s">
        <v>11</v>
      </c>
    </row>
    <row r="9" spans="1:18" x14ac:dyDescent="0.25">
      <c r="A9" t="s">
        <v>66</v>
      </c>
    </row>
    <row r="11" spans="1:18" x14ac:dyDescent="0.25"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48</v>
      </c>
    </row>
    <row r="12" spans="1:18" x14ac:dyDescent="0.25">
      <c r="A12" t="s">
        <v>57</v>
      </c>
      <c r="B12">
        <v>85</v>
      </c>
      <c r="C12">
        <v>99</v>
      </c>
      <c r="D12">
        <v>91</v>
      </c>
      <c r="E12">
        <v>108</v>
      </c>
      <c r="F12">
        <v>119</v>
      </c>
      <c r="G12">
        <v>98</v>
      </c>
      <c r="H12">
        <f>SUM(B12:G12)</f>
        <v>600</v>
      </c>
    </row>
    <row r="13" spans="1:18" x14ac:dyDescent="0.25">
      <c r="A13" t="s">
        <v>58</v>
      </c>
      <c r="B13">
        <f xml:space="preserve"> 1/6 * $H$12</f>
        <v>100</v>
      </c>
      <c r="C13">
        <f t="shared" ref="C13:G13" si="0" xml:space="preserve"> 1/6 * $H$12</f>
        <v>100</v>
      </c>
      <c r="D13">
        <f t="shared" si="0"/>
        <v>100</v>
      </c>
      <c r="E13">
        <f t="shared" si="0"/>
        <v>100</v>
      </c>
      <c r="F13">
        <f t="shared" si="0"/>
        <v>100</v>
      </c>
      <c r="G13">
        <f t="shared" si="0"/>
        <v>100</v>
      </c>
      <c r="H13">
        <f t="shared" ref="H13:H14" si="1">SUM(B13:G13)</f>
        <v>600</v>
      </c>
    </row>
    <row r="14" spans="1:18" x14ac:dyDescent="0.25">
      <c r="A14" t="s">
        <v>59</v>
      </c>
      <c r="B14">
        <f>(B12-B13)^2 /B13</f>
        <v>2.25</v>
      </c>
      <c r="C14">
        <f t="shared" ref="C14:F14" si="2">(C12-C13)^2 /C13</f>
        <v>0.01</v>
      </c>
      <c r="D14">
        <f t="shared" si="2"/>
        <v>0.81</v>
      </c>
      <c r="E14">
        <f t="shared" si="2"/>
        <v>0.64</v>
      </c>
      <c r="F14">
        <f t="shared" si="2"/>
        <v>3.61</v>
      </c>
      <c r="G14">
        <f>(G12-G13)^2 /G13</f>
        <v>0.04</v>
      </c>
      <c r="H14">
        <f t="shared" si="1"/>
        <v>7.36</v>
      </c>
    </row>
    <row r="16" spans="1:18" x14ac:dyDescent="0.25">
      <c r="J16" s="20" t="s">
        <v>51</v>
      </c>
      <c r="K16" s="37">
        <f>H14</f>
        <v>7.36</v>
      </c>
      <c r="L16" s="6"/>
      <c r="M16" s="6"/>
      <c r="N16" s="6"/>
      <c r="O16" s="6"/>
      <c r="P16" s="6"/>
      <c r="Q16" s="6"/>
      <c r="R16" s="7"/>
    </row>
    <row r="17" spans="10:18" x14ac:dyDescent="0.25">
      <c r="J17" s="21" t="s">
        <v>67</v>
      </c>
      <c r="K17" s="39">
        <v>11.1</v>
      </c>
      <c r="L17" s="9" t="s">
        <v>56</v>
      </c>
      <c r="M17" s="9"/>
      <c r="N17" s="9"/>
      <c r="O17" s="9"/>
      <c r="P17" s="9"/>
      <c r="Q17" s="9"/>
      <c r="R17" s="41">
        <f>_xlfn.CHISQ.INV(0.95,5)</f>
        <v>11.070497693516351</v>
      </c>
    </row>
    <row r="18" spans="10:18" x14ac:dyDescent="0.25">
      <c r="J18" s="11"/>
      <c r="K18" s="12" t="s">
        <v>68</v>
      </c>
      <c r="L18" s="12"/>
      <c r="M18" s="12"/>
      <c r="N18" s="12"/>
      <c r="O18" s="12"/>
      <c r="P18" s="12"/>
      <c r="Q18" s="12"/>
      <c r="R18" s="13"/>
    </row>
  </sheetData>
  <mergeCells count="1">
    <mergeCell ref="A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sqref="A1:F1"/>
    </sheetView>
  </sheetViews>
  <sheetFormatPr defaultRowHeight="15" x14ac:dyDescent="0.25"/>
  <cols>
    <col min="1" max="1" width="26.5703125" customWidth="1"/>
    <col min="2" max="2" width="23.140625" customWidth="1"/>
    <col min="3" max="3" width="23.7109375" customWidth="1"/>
    <col min="4" max="4" width="13.7109375" customWidth="1"/>
    <col min="5" max="5" width="10.7109375" customWidth="1"/>
    <col min="6" max="6" width="11.85546875" customWidth="1"/>
    <col min="7" max="7" width="17" customWidth="1"/>
    <col min="8" max="8" width="18" customWidth="1"/>
    <col min="9" max="9" width="12.140625" customWidth="1"/>
    <col min="11" max="11" width="12.28515625" customWidth="1"/>
  </cols>
  <sheetData>
    <row r="1" spans="1:12" ht="64.5" customHeight="1" x14ac:dyDescent="0.25">
      <c r="A1" s="53" t="s">
        <v>85</v>
      </c>
      <c r="B1" s="54"/>
      <c r="C1" s="54"/>
      <c r="D1" s="54"/>
      <c r="E1" s="54"/>
      <c r="F1" s="54"/>
      <c r="G1" s="6"/>
      <c r="H1" s="6"/>
      <c r="I1" s="6"/>
      <c r="J1" s="6"/>
      <c r="K1" s="6"/>
      <c r="L1" s="7"/>
    </row>
    <row r="2" spans="1:12" ht="15.75" thickBo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ht="22.5" customHeight="1" x14ac:dyDescent="0.25">
      <c r="A3" s="27" t="s">
        <v>86</v>
      </c>
      <c r="B3" s="28">
        <v>835</v>
      </c>
      <c r="C3" s="28">
        <v>63</v>
      </c>
      <c r="D3" s="28">
        <v>240</v>
      </c>
      <c r="E3" s="28">
        <v>1005</v>
      </c>
      <c r="F3" s="28">
        <v>184</v>
      </c>
      <c r="G3" s="28">
        <v>213</v>
      </c>
      <c r="H3" s="28">
        <v>313</v>
      </c>
      <c r="I3" s="28">
        <v>658</v>
      </c>
      <c r="J3" s="28">
        <v>195</v>
      </c>
      <c r="K3" s="29">
        <v>545</v>
      </c>
      <c r="L3" s="10"/>
    </row>
    <row r="4" spans="1:12" ht="23.25" customHeight="1" thickBot="1" x14ac:dyDescent="0.3">
      <c r="A4" s="30" t="s">
        <v>87</v>
      </c>
      <c r="B4" s="31">
        <v>136</v>
      </c>
      <c r="C4" s="31">
        <v>24</v>
      </c>
      <c r="D4" s="31">
        <v>52</v>
      </c>
      <c r="E4" s="31">
        <v>143</v>
      </c>
      <c r="F4" s="31">
        <v>42</v>
      </c>
      <c r="G4" s="31">
        <v>43</v>
      </c>
      <c r="H4" s="31">
        <v>67</v>
      </c>
      <c r="I4" s="31">
        <v>106</v>
      </c>
      <c r="J4" s="31">
        <v>61</v>
      </c>
      <c r="K4" s="32">
        <v>99</v>
      </c>
      <c r="L4" s="10"/>
    </row>
    <row r="5" spans="1:12" x14ac:dyDescent="0.25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13"/>
    </row>
    <row r="6" spans="1:12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2" x14ac:dyDescent="0.25">
      <c r="A7" s="59" t="s">
        <v>20</v>
      </c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2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2" ht="18.75" customHeight="1" x14ac:dyDescent="0.25">
      <c r="A9" s="16" t="s">
        <v>77</v>
      </c>
      <c r="B9" s="24" t="s">
        <v>70</v>
      </c>
      <c r="C9" s="24" t="s">
        <v>71</v>
      </c>
      <c r="D9" s="34" t="s">
        <v>72</v>
      </c>
      <c r="E9" s="34" t="s">
        <v>73</v>
      </c>
      <c r="F9" s="34" t="s">
        <v>74</v>
      </c>
      <c r="G9" s="34" t="s">
        <v>75</v>
      </c>
      <c r="H9" s="34" t="s">
        <v>76</v>
      </c>
      <c r="J9" s="47" t="s">
        <v>117</v>
      </c>
      <c r="K9" s="47" t="s">
        <v>130</v>
      </c>
    </row>
    <row r="10" spans="1:12" x14ac:dyDescent="0.25">
      <c r="A10" s="9">
        <v>1</v>
      </c>
      <c r="B10" s="23">
        <v>136</v>
      </c>
      <c r="C10" s="23">
        <v>835</v>
      </c>
      <c r="D10" s="9">
        <f>B10^2</f>
        <v>18496</v>
      </c>
      <c r="E10" s="9">
        <f>B10*C10</f>
        <v>113560</v>
      </c>
      <c r="F10" s="9">
        <f>C10-($C$23+$C$22*B10)</f>
        <v>-34.6760913377816</v>
      </c>
      <c r="G10" s="9">
        <f>F10^2</f>
        <v>1202.4313104661721</v>
      </c>
      <c r="H10" s="9">
        <f>(($C$23+$C$22*B10)-$C$20)^2</f>
        <v>197647.9009891795</v>
      </c>
      <c r="J10">
        <f t="shared" ref="J10:J19" si="0">C10^2</f>
        <v>697225</v>
      </c>
      <c r="K10">
        <f>(B10-$B$20)^2</f>
        <v>3445.6900000000005</v>
      </c>
    </row>
    <row r="11" spans="1:12" x14ac:dyDescent="0.25">
      <c r="A11" s="9">
        <v>2</v>
      </c>
      <c r="B11" s="23">
        <v>24</v>
      </c>
      <c r="C11" s="23">
        <v>63</v>
      </c>
      <c r="D11" s="9">
        <f t="shared" ref="D11:D19" si="1">B11^2</f>
        <v>576</v>
      </c>
      <c r="E11" s="9">
        <f t="shared" ref="E11:E19" si="2">B11*C11</f>
        <v>1512</v>
      </c>
      <c r="F11" s="9">
        <f t="shared" ref="F11:F19" si="3">C11-($C$23+$C$22*B11)</f>
        <v>41.578120414033208</v>
      </c>
      <c r="G11" s="9">
        <f t="shared" ref="G11:G19" si="4">F11^2</f>
        <v>1728.7400971638449</v>
      </c>
      <c r="H11" s="9">
        <f t="shared" ref="H11:H19" si="5">(($C$23+$C$22*B11)-$C$20)^2</f>
        <v>162956.02490100672</v>
      </c>
      <c r="J11">
        <f t="shared" si="0"/>
        <v>3969</v>
      </c>
      <c r="K11">
        <f t="shared" ref="K11:K19" si="6">(B11-$B$20)^2</f>
        <v>2840.89</v>
      </c>
    </row>
    <row r="12" spans="1:12" x14ac:dyDescent="0.25">
      <c r="A12" s="9">
        <v>3</v>
      </c>
      <c r="B12" s="23">
        <v>52</v>
      </c>
      <c r="C12" s="23">
        <v>240</v>
      </c>
      <c r="D12" s="9">
        <f t="shared" si="1"/>
        <v>2704</v>
      </c>
      <c r="E12" s="9">
        <f t="shared" si="2"/>
        <v>12480</v>
      </c>
      <c r="F12" s="9">
        <f t="shared" si="3"/>
        <v>6.5145674760794918</v>
      </c>
      <c r="G12" s="9">
        <f t="shared" si="4"/>
        <v>42.43958940039272</v>
      </c>
      <c r="H12" s="9">
        <f t="shared" si="5"/>
        <v>36716.142469045029</v>
      </c>
      <c r="J12">
        <f t="shared" si="0"/>
        <v>57600</v>
      </c>
      <c r="K12">
        <f t="shared" si="6"/>
        <v>640.0899999999998</v>
      </c>
    </row>
    <row r="13" spans="1:12" x14ac:dyDescent="0.25">
      <c r="A13" s="9">
        <v>4</v>
      </c>
      <c r="B13" s="23">
        <v>143</v>
      </c>
      <c r="C13" s="23">
        <v>1005</v>
      </c>
      <c r="D13" s="9">
        <f t="shared" si="1"/>
        <v>20449</v>
      </c>
      <c r="E13" s="9">
        <f t="shared" si="2"/>
        <v>143715</v>
      </c>
      <c r="F13" s="9">
        <f t="shared" si="3"/>
        <v>82.308020427730071</v>
      </c>
      <c r="G13" s="9">
        <f t="shared" si="4"/>
        <v>6774.610226731631</v>
      </c>
      <c r="H13" s="9">
        <f t="shared" si="5"/>
        <v>247597.77813465026</v>
      </c>
      <c r="J13">
        <f t="shared" si="0"/>
        <v>1010025</v>
      </c>
      <c r="K13">
        <f t="shared" si="6"/>
        <v>4316.4900000000007</v>
      </c>
    </row>
    <row r="14" spans="1:12" x14ac:dyDescent="0.25">
      <c r="A14" s="9">
        <v>5</v>
      </c>
      <c r="B14" s="23">
        <v>42</v>
      </c>
      <c r="C14" s="23">
        <v>184</v>
      </c>
      <c r="D14" s="9">
        <f t="shared" si="1"/>
        <v>1764</v>
      </c>
      <c r="E14" s="9">
        <f t="shared" si="2"/>
        <v>7728</v>
      </c>
      <c r="F14" s="9">
        <f t="shared" si="3"/>
        <v>26.251550668205823</v>
      </c>
      <c r="G14" s="9">
        <f t="shared" si="4"/>
        <v>689.14391248537754</v>
      </c>
      <c r="H14" s="9">
        <f t="shared" si="5"/>
        <v>71476.851644694238</v>
      </c>
      <c r="J14">
        <f t="shared" si="0"/>
        <v>33856</v>
      </c>
      <c r="K14">
        <f t="shared" si="6"/>
        <v>1246.0899999999997</v>
      </c>
    </row>
    <row r="15" spans="1:12" x14ac:dyDescent="0.25">
      <c r="A15" s="9">
        <v>6</v>
      </c>
      <c r="B15" s="23">
        <v>43</v>
      </c>
      <c r="C15" s="23">
        <v>213</v>
      </c>
      <c r="D15" s="9">
        <f t="shared" si="1"/>
        <v>1849</v>
      </c>
      <c r="E15" s="9">
        <f t="shared" si="2"/>
        <v>9159</v>
      </c>
      <c r="F15" s="9">
        <f t="shared" si="3"/>
        <v>47.677852348993213</v>
      </c>
      <c r="G15" s="9">
        <f t="shared" si="4"/>
        <v>2273.1776046123978</v>
      </c>
      <c r="H15" s="9">
        <f t="shared" si="5"/>
        <v>67484.53257105533</v>
      </c>
      <c r="J15">
        <f t="shared" si="0"/>
        <v>45369</v>
      </c>
      <c r="K15">
        <f t="shared" si="6"/>
        <v>1176.4899999999998</v>
      </c>
    </row>
    <row r="16" spans="1:12" x14ac:dyDescent="0.25">
      <c r="A16" s="9">
        <v>7</v>
      </c>
      <c r="B16" s="23">
        <v>67</v>
      </c>
      <c r="C16" s="23">
        <v>313</v>
      </c>
      <c r="D16" s="9">
        <f t="shared" si="1"/>
        <v>4489</v>
      </c>
      <c r="E16" s="9">
        <f t="shared" si="2"/>
        <v>20971</v>
      </c>
      <c r="F16" s="9">
        <f t="shared" si="3"/>
        <v>-34.090907312109948</v>
      </c>
      <c r="G16" s="9">
        <f t="shared" si="4"/>
        <v>1162.1899613628716</v>
      </c>
      <c r="H16" s="9">
        <f t="shared" si="5"/>
        <v>6085.4185419878249</v>
      </c>
      <c r="J16">
        <f t="shared" si="0"/>
        <v>97969</v>
      </c>
      <c r="K16">
        <f t="shared" si="6"/>
        <v>106.08999999999995</v>
      </c>
    </row>
    <row r="17" spans="1:11" x14ac:dyDescent="0.25">
      <c r="A17" s="9">
        <v>8</v>
      </c>
      <c r="B17" s="23">
        <v>106</v>
      </c>
      <c r="C17" s="23">
        <v>658</v>
      </c>
      <c r="D17" s="9">
        <f t="shared" si="1"/>
        <v>11236</v>
      </c>
      <c r="E17" s="9">
        <f t="shared" si="2"/>
        <v>69748</v>
      </c>
      <c r="F17" s="9">
        <f t="shared" si="3"/>
        <v>15.534858238597394</v>
      </c>
      <c r="G17" s="9">
        <f t="shared" si="4"/>
        <v>241.33182049331734</v>
      </c>
      <c r="H17" s="9">
        <f t="shared" si="5"/>
        <v>47247.604852954639</v>
      </c>
      <c r="J17">
        <f t="shared" si="0"/>
        <v>432964</v>
      </c>
      <c r="K17">
        <f t="shared" si="6"/>
        <v>823.69000000000017</v>
      </c>
    </row>
    <row r="18" spans="1:11" x14ac:dyDescent="0.25">
      <c r="A18" s="9">
        <v>9</v>
      </c>
      <c r="B18" s="23">
        <v>61</v>
      </c>
      <c r="C18" s="23">
        <v>195</v>
      </c>
      <c r="D18" s="9">
        <f t="shared" si="1"/>
        <v>3721</v>
      </c>
      <c r="E18" s="9">
        <f t="shared" si="2"/>
        <v>11895</v>
      </c>
      <c r="F18" s="9">
        <f t="shared" si="3"/>
        <v>-106.64871739683417</v>
      </c>
      <c r="G18" s="9">
        <f t="shared" si="4"/>
        <v>11373.9489223898</v>
      </c>
      <c r="H18" s="9">
        <f t="shared" si="5"/>
        <v>15240.21917636672</v>
      </c>
      <c r="J18">
        <f t="shared" si="0"/>
        <v>38025</v>
      </c>
      <c r="K18">
        <f t="shared" si="6"/>
        <v>265.68999999999988</v>
      </c>
    </row>
    <row r="19" spans="1:11" x14ac:dyDescent="0.25">
      <c r="A19" s="9">
        <v>10</v>
      </c>
      <c r="B19" s="23">
        <v>99</v>
      </c>
      <c r="C19" s="23">
        <v>545</v>
      </c>
      <c r="D19" s="9">
        <f t="shared" si="1"/>
        <v>9801</v>
      </c>
      <c r="E19" s="9">
        <f t="shared" si="2"/>
        <v>53955</v>
      </c>
      <c r="F19" s="9">
        <f t="shared" si="3"/>
        <v>-44.449253526914163</v>
      </c>
      <c r="G19" s="9">
        <f t="shared" si="4"/>
        <v>1975.736139099891</v>
      </c>
      <c r="H19" s="9">
        <f t="shared" si="5"/>
        <v>27010.6771348539</v>
      </c>
      <c r="J19">
        <f t="shared" si="0"/>
        <v>297025</v>
      </c>
      <c r="K19">
        <f t="shared" si="6"/>
        <v>470.8900000000001</v>
      </c>
    </row>
    <row r="20" spans="1:11" x14ac:dyDescent="0.25">
      <c r="A20" s="16" t="s">
        <v>78</v>
      </c>
      <c r="B20" s="16">
        <f>AVERAGE(B10:B19)</f>
        <v>77.3</v>
      </c>
      <c r="C20" s="16">
        <f t="shared" ref="C20:F20" si="7">AVERAGE(C10:C19)</f>
        <v>425.1</v>
      </c>
      <c r="D20" s="16">
        <f t="shared" si="7"/>
        <v>7508.5</v>
      </c>
      <c r="E20" s="16">
        <f t="shared" si="7"/>
        <v>44472.3</v>
      </c>
      <c r="F20" s="16">
        <f t="shared" si="7"/>
        <v>-6.8212102632969615E-14</v>
      </c>
      <c r="G20" s="16">
        <f>SUM(G10:G19)</f>
        <v>27463.749584205696</v>
      </c>
      <c r="H20" s="16">
        <f>SUM(H10:H19)</f>
        <v>879463.15041579399</v>
      </c>
      <c r="J20" s="1">
        <f>AVERAGE(J10:J19)</f>
        <v>271402.7</v>
      </c>
    </row>
    <row r="21" spans="1:11" x14ac:dyDescent="0.25">
      <c r="A21" s="9"/>
      <c r="B21" s="9"/>
      <c r="C21" s="9"/>
      <c r="D21" s="9"/>
      <c r="E21" s="9"/>
      <c r="F21" s="9"/>
      <c r="G21" s="9"/>
      <c r="H21" s="9"/>
    </row>
    <row r="22" spans="1:11" x14ac:dyDescent="0.25">
      <c r="A22" s="9"/>
      <c r="B22" s="35" t="s">
        <v>79</v>
      </c>
      <c r="C22" s="9">
        <f>(E20-B20*C20)/(D20-B20^2)</f>
        <v>7.5736983192126317</v>
      </c>
      <c r="D22" s="9">
        <f>SLOPE(C10:C20,B10:B20)</f>
        <v>7.5736983192126317</v>
      </c>
      <c r="E22" s="9"/>
      <c r="F22" s="9"/>
      <c r="G22" s="35" t="s">
        <v>81</v>
      </c>
      <c r="H22" s="9">
        <f>G20</f>
        <v>27463.749584205696</v>
      </c>
    </row>
    <row r="23" spans="1:11" x14ac:dyDescent="0.25">
      <c r="A23" s="9"/>
      <c r="B23" s="35" t="s">
        <v>80</v>
      </c>
      <c r="C23" s="9">
        <f>C20-C22*B20</f>
        <v>-160.34688007513637</v>
      </c>
      <c r="D23" s="9">
        <f>INTERCEPT(C10:C19,B10:B19)</f>
        <v>-160.34688007513637</v>
      </c>
      <c r="E23" s="9"/>
      <c r="F23" s="9"/>
      <c r="G23" s="35" t="s">
        <v>82</v>
      </c>
      <c r="H23" s="9">
        <f>H20</f>
        <v>879463.15041579399</v>
      </c>
    </row>
    <row r="24" spans="1:11" x14ac:dyDescent="0.25">
      <c r="A24" s="9"/>
      <c r="B24" s="9"/>
      <c r="C24" s="9"/>
      <c r="D24" s="9"/>
      <c r="E24" s="9"/>
      <c r="F24" s="9"/>
      <c r="G24" s="36"/>
      <c r="H24" s="9"/>
    </row>
    <row r="25" spans="1:11" x14ac:dyDescent="0.25">
      <c r="A25" s="9"/>
      <c r="B25" s="35" t="s">
        <v>83</v>
      </c>
      <c r="C25" s="9">
        <f>C23+C22*80</f>
        <v>445.54898546187417</v>
      </c>
      <c r="D25" s="9"/>
      <c r="E25" s="9"/>
      <c r="F25" s="9"/>
      <c r="G25" s="35" t="s">
        <v>84</v>
      </c>
      <c r="H25" s="62">
        <f>H20/(G20+H20)</f>
        <v>0.9697177913851649</v>
      </c>
    </row>
    <row r="26" spans="1:11" x14ac:dyDescent="0.25">
      <c r="A26" s="9"/>
      <c r="B26" s="9"/>
      <c r="C26" s="9"/>
      <c r="D26" s="9"/>
      <c r="E26" s="9"/>
      <c r="F26" s="9"/>
      <c r="G26" s="35" t="s">
        <v>118</v>
      </c>
      <c r="H26" s="9">
        <f>(E20-B20*C20)/SQRT((D20-B20^2)*(J20-C20^2))</f>
        <v>0.9847425000400688</v>
      </c>
    </row>
    <row r="27" spans="1:11" x14ac:dyDescent="0.25">
      <c r="A27" s="9"/>
      <c r="B27" s="9"/>
      <c r="C27" s="9"/>
      <c r="D27" s="9"/>
      <c r="E27" s="9"/>
      <c r="F27" s="9"/>
      <c r="G27" s="35" t="s">
        <v>119</v>
      </c>
      <c r="H27" s="9">
        <f>SQRT(H25)</f>
        <v>0.9847425000400688</v>
      </c>
    </row>
    <row r="28" spans="1:11" x14ac:dyDescent="0.25">
      <c r="A28" s="9"/>
      <c r="B28" s="9"/>
      <c r="C28" s="9"/>
      <c r="D28" s="9"/>
      <c r="E28" s="9"/>
      <c r="F28" s="9"/>
      <c r="G28" s="35" t="s">
        <v>120</v>
      </c>
      <c r="H28" s="9">
        <f>CORREL(B10:B19,C10:C19)</f>
        <v>0.98474250004006858</v>
      </c>
    </row>
    <row r="29" spans="1:11" x14ac:dyDescent="0.25">
      <c r="A29" s="9"/>
      <c r="B29" s="9"/>
      <c r="C29" s="9"/>
      <c r="D29" s="9"/>
      <c r="E29" s="9"/>
      <c r="F29" s="9"/>
      <c r="G29" s="35" t="s">
        <v>17</v>
      </c>
      <c r="H29" s="60">
        <f>(H23/1)/(H22/(10-1-1))</f>
        <v>256.18152327505055</v>
      </c>
    </row>
    <row r="30" spans="1:11" x14ac:dyDescent="0.25">
      <c r="G30" s="61" t="s">
        <v>125</v>
      </c>
      <c r="H30">
        <f>_xlfn.F.INV(0.95,1,8)</f>
        <v>5.3176550715787139</v>
      </c>
      <c r="I30" s="9" t="s">
        <v>126</v>
      </c>
    </row>
    <row r="31" spans="1:11" x14ac:dyDescent="0.25">
      <c r="G31" s="61"/>
      <c r="I31" s="9"/>
    </row>
    <row r="32" spans="1:11" x14ac:dyDescent="0.25">
      <c r="G32" s="61" t="s">
        <v>127</v>
      </c>
      <c r="H32">
        <f>H22 / (10 - 2)</f>
        <v>3432.968698025712</v>
      </c>
      <c r="I32" s="9"/>
    </row>
    <row r="33" spans="1:17" x14ac:dyDescent="0.25">
      <c r="G33" s="61" t="s">
        <v>128</v>
      </c>
      <c r="H33" s="64">
        <f>SQRT(H32*SUM(D10:D19)/10/SUM(K10:K19))</f>
        <v>41.00253355800988</v>
      </c>
      <c r="I33" s="9"/>
    </row>
    <row r="34" spans="1:17" x14ac:dyDescent="0.25">
      <c r="G34" s="61" t="s">
        <v>129</v>
      </c>
      <c r="H34" s="64">
        <f>SQRT(H32/SUM(K10:K19))</f>
        <v>0.4731884115735891</v>
      </c>
      <c r="I34" s="9"/>
    </row>
    <row r="35" spans="1:17" x14ac:dyDescent="0.25">
      <c r="G35" s="61" t="s">
        <v>131</v>
      </c>
      <c r="H35" s="69">
        <f>C23/H33</f>
        <v>-3.9106578584535412</v>
      </c>
      <c r="I35" t="s">
        <v>135</v>
      </c>
    </row>
    <row r="36" spans="1:17" x14ac:dyDescent="0.25">
      <c r="G36" s="61" t="s">
        <v>132</v>
      </c>
      <c r="H36" s="69">
        <f>C22/H34</f>
        <v>16.005671597126145</v>
      </c>
      <c r="I36" t="s">
        <v>134</v>
      </c>
    </row>
    <row r="37" spans="1:17" x14ac:dyDescent="0.25">
      <c r="G37" s="61" t="s">
        <v>133</v>
      </c>
      <c r="H37">
        <f>TINV(0.05,8)</f>
        <v>2.3060041352041671</v>
      </c>
      <c r="I37" s="9"/>
    </row>
    <row r="38" spans="1:17" x14ac:dyDescent="0.25">
      <c r="G38" s="61"/>
      <c r="I38" s="9"/>
    </row>
    <row r="39" spans="1:17" x14ac:dyDescent="0.25">
      <c r="A39" s="20" t="s">
        <v>21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</row>
    <row r="40" spans="1:17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1:17" x14ac:dyDescent="0.25">
      <c r="A41" t="s">
        <v>88</v>
      </c>
      <c r="J41" s="9"/>
      <c r="K41" s="9"/>
      <c r="L41" s="9"/>
      <c r="M41" s="9"/>
      <c r="N41" s="9"/>
      <c r="O41" s="9"/>
      <c r="P41" s="9"/>
      <c r="Q41" s="10"/>
    </row>
    <row r="42" spans="1:17" ht="15.75" thickBot="1" x14ac:dyDescent="0.3">
      <c r="J42" s="9"/>
      <c r="K42" s="9"/>
      <c r="L42" s="9"/>
      <c r="M42" s="9"/>
      <c r="N42" s="9"/>
      <c r="O42" s="9"/>
      <c r="P42" s="9"/>
      <c r="Q42" s="10"/>
    </row>
    <row r="43" spans="1:17" x14ac:dyDescent="0.25">
      <c r="A43" s="33" t="s">
        <v>89</v>
      </c>
      <c r="B43" s="33"/>
      <c r="J43" s="9"/>
      <c r="K43" s="9"/>
      <c r="L43" s="9"/>
      <c r="M43" s="9"/>
      <c r="N43" s="9"/>
      <c r="O43" s="9"/>
      <c r="P43" s="9"/>
      <c r="Q43" s="10"/>
    </row>
    <row r="44" spans="1:17" x14ac:dyDescent="0.25">
      <c r="A44" s="3" t="s">
        <v>90</v>
      </c>
      <c r="B44" s="3">
        <v>0.9847425000400688</v>
      </c>
      <c r="J44" s="9"/>
      <c r="K44" s="9"/>
      <c r="L44" s="9"/>
      <c r="M44" s="9"/>
      <c r="N44" s="9"/>
      <c r="O44" s="9"/>
      <c r="P44" s="9"/>
      <c r="Q44" s="10"/>
    </row>
    <row r="45" spans="1:17" x14ac:dyDescent="0.25">
      <c r="A45" s="3" t="s">
        <v>91</v>
      </c>
      <c r="B45" s="63">
        <v>0.9697177913851649</v>
      </c>
      <c r="J45" s="9"/>
      <c r="K45" s="9"/>
      <c r="L45" s="9"/>
      <c r="M45" s="9"/>
      <c r="N45" s="9"/>
      <c r="O45" s="9"/>
      <c r="P45" s="9"/>
      <c r="Q45" s="10"/>
    </row>
    <row r="46" spans="1:17" x14ac:dyDescent="0.25">
      <c r="A46" s="3" t="s">
        <v>92</v>
      </c>
      <c r="B46" s="3">
        <v>0.96593251530831048</v>
      </c>
      <c r="J46" s="9"/>
      <c r="K46" s="9"/>
      <c r="L46" s="9"/>
      <c r="M46" s="9"/>
      <c r="N46" s="9"/>
      <c r="O46" s="9"/>
      <c r="P46" s="9"/>
      <c r="Q46" s="10"/>
    </row>
    <row r="47" spans="1:17" x14ac:dyDescent="0.25">
      <c r="A47" s="3" t="s">
        <v>93</v>
      </c>
      <c r="B47" s="3">
        <v>58.591541181519602</v>
      </c>
      <c r="J47" s="9"/>
      <c r="K47" s="9"/>
      <c r="L47" s="9"/>
      <c r="M47" s="9"/>
      <c r="N47" s="9"/>
      <c r="O47" s="9"/>
      <c r="P47" s="9"/>
      <c r="Q47" s="10"/>
    </row>
    <row r="48" spans="1:17" ht="15.75" thickBot="1" x14ac:dyDescent="0.3">
      <c r="A48" s="4" t="s">
        <v>94</v>
      </c>
      <c r="B48" s="4">
        <v>10</v>
      </c>
      <c r="J48" s="9"/>
      <c r="K48" s="9"/>
      <c r="L48" s="9"/>
      <c r="M48" s="9"/>
      <c r="N48" s="9"/>
      <c r="O48" s="9"/>
      <c r="P48" s="9"/>
      <c r="Q48" s="10"/>
    </row>
    <row r="49" spans="1:17" x14ac:dyDescent="0.25">
      <c r="J49" s="9"/>
      <c r="K49" s="9"/>
      <c r="L49" s="9"/>
      <c r="M49" s="9"/>
      <c r="N49" s="9"/>
      <c r="O49" s="9"/>
      <c r="P49" s="9"/>
      <c r="Q49" s="10"/>
    </row>
    <row r="50" spans="1:17" ht="15.75" thickBot="1" x14ac:dyDescent="0.3">
      <c r="A50" t="s">
        <v>29</v>
      </c>
      <c r="J50" s="9"/>
      <c r="K50" s="9"/>
      <c r="L50" s="9"/>
      <c r="M50" s="9"/>
      <c r="N50" s="9"/>
      <c r="O50" s="9"/>
      <c r="P50" s="9"/>
      <c r="Q50" s="10"/>
    </row>
    <row r="51" spans="1:17" x14ac:dyDescent="0.25">
      <c r="A51" s="5"/>
      <c r="B51" s="5" t="s">
        <v>32</v>
      </c>
      <c r="C51" s="5" t="s">
        <v>31</v>
      </c>
      <c r="D51" s="5" t="s">
        <v>33</v>
      </c>
      <c r="E51" s="5" t="s">
        <v>34</v>
      </c>
      <c r="F51" s="5" t="s">
        <v>98</v>
      </c>
      <c r="J51" s="9"/>
      <c r="K51" s="9"/>
      <c r="L51" s="9"/>
      <c r="M51" s="9"/>
      <c r="N51" s="9"/>
      <c r="O51" s="9"/>
      <c r="P51" s="9"/>
      <c r="Q51" s="10"/>
    </row>
    <row r="52" spans="1:17" x14ac:dyDescent="0.25">
      <c r="A52" s="3" t="s">
        <v>95</v>
      </c>
      <c r="B52" s="3">
        <v>1</v>
      </c>
      <c r="C52" s="3">
        <v>879463.15041579434</v>
      </c>
      <c r="D52" s="3">
        <v>879463.15041579434</v>
      </c>
      <c r="E52" s="38">
        <v>256.18152327505101</v>
      </c>
      <c r="F52" s="3">
        <v>2.3277576054773954E-7</v>
      </c>
      <c r="J52" s="9"/>
      <c r="K52" s="9"/>
      <c r="L52" s="9"/>
      <c r="M52" s="9"/>
      <c r="N52" s="9"/>
      <c r="O52" s="9"/>
      <c r="P52" s="9"/>
      <c r="Q52" s="10"/>
    </row>
    <row r="53" spans="1:17" x14ac:dyDescent="0.25">
      <c r="A53" s="3" t="s">
        <v>96</v>
      </c>
      <c r="B53" s="3">
        <v>8</v>
      </c>
      <c r="C53" s="3">
        <v>27463.74958420566</v>
      </c>
      <c r="D53" s="3">
        <v>3432.9686980257075</v>
      </c>
      <c r="E53" s="3"/>
      <c r="F53" s="3"/>
      <c r="J53" s="9"/>
      <c r="K53" s="9"/>
      <c r="L53" s="9"/>
      <c r="M53" s="9"/>
      <c r="N53" s="9"/>
      <c r="O53" s="9"/>
      <c r="P53" s="9"/>
      <c r="Q53" s="10"/>
    </row>
    <row r="54" spans="1:17" ht="15.75" thickBot="1" x14ac:dyDescent="0.3">
      <c r="A54" s="4" t="s">
        <v>39</v>
      </c>
      <c r="B54" s="4">
        <v>9</v>
      </c>
      <c r="C54" s="4">
        <v>906926.9</v>
      </c>
      <c r="D54" s="4"/>
      <c r="E54" s="4"/>
      <c r="F54" s="4"/>
      <c r="J54" s="9"/>
      <c r="K54" s="9"/>
      <c r="L54" s="9"/>
      <c r="M54" s="9"/>
      <c r="N54" s="9"/>
      <c r="O54" s="9"/>
      <c r="P54" s="9"/>
      <c r="Q54" s="10"/>
    </row>
    <row r="55" spans="1:17" ht="15.75" thickBot="1" x14ac:dyDescent="0.3">
      <c r="J55" s="9"/>
      <c r="K55" s="9"/>
      <c r="L55" s="9"/>
      <c r="M55" s="9"/>
      <c r="N55" s="9"/>
      <c r="O55" s="9"/>
      <c r="P55" s="9"/>
      <c r="Q55" s="10"/>
    </row>
    <row r="56" spans="1:17" x14ac:dyDescent="0.25">
      <c r="A56" s="5"/>
      <c r="B56" s="5" t="s">
        <v>99</v>
      </c>
      <c r="C56" s="5" t="s">
        <v>93</v>
      </c>
      <c r="D56" s="5" t="s">
        <v>100</v>
      </c>
      <c r="E56" s="5" t="s">
        <v>35</v>
      </c>
      <c r="F56" s="5" t="s">
        <v>101</v>
      </c>
      <c r="G56" s="5" t="s">
        <v>102</v>
      </c>
      <c r="H56" s="5" t="s">
        <v>103</v>
      </c>
      <c r="I56" s="5" t="s">
        <v>104</v>
      </c>
      <c r="J56" s="9"/>
      <c r="K56" s="9"/>
      <c r="L56" s="9"/>
      <c r="M56" s="9"/>
      <c r="N56" s="9"/>
      <c r="O56" s="9"/>
      <c r="P56" s="9"/>
      <c r="Q56" s="10"/>
    </row>
    <row r="57" spans="1:17" x14ac:dyDescent="0.25">
      <c r="A57" s="3" t="s">
        <v>97</v>
      </c>
      <c r="B57" s="3">
        <v>-160.34688007513671</v>
      </c>
      <c r="C57" s="65">
        <v>41.002533558009858</v>
      </c>
      <c r="D57" s="67">
        <v>-3.9106578584535514</v>
      </c>
      <c r="E57" s="3">
        <v>4.4768975395744707E-3</v>
      </c>
      <c r="F57" s="3">
        <v>-254.89889201375507</v>
      </c>
      <c r="G57" s="3">
        <v>-65.794868136518346</v>
      </c>
      <c r="H57" s="3">
        <v>-254.89889201375507</v>
      </c>
      <c r="I57" s="3">
        <v>-65.794868136518346</v>
      </c>
      <c r="J57" s="9"/>
      <c r="K57" s="9"/>
      <c r="L57" s="9"/>
      <c r="M57" s="9"/>
      <c r="N57" s="9"/>
      <c r="O57" s="9"/>
      <c r="P57" s="9"/>
      <c r="Q57" s="10"/>
    </row>
    <row r="58" spans="1:17" ht="15.75" thickBot="1" x14ac:dyDescent="0.3">
      <c r="A58" s="4" t="s">
        <v>70</v>
      </c>
      <c r="B58" s="4">
        <v>7.5736983192126361</v>
      </c>
      <c r="C58" s="66">
        <v>0.47318841157358882</v>
      </c>
      <c r="D58" s="68">
        <v>16.005671597126163</v>
      </c>
      <c r="E58" s="4">
        <v>2.3277576054773872E-7</v>
      </c>
      <c r="F58" s="4">
        <v>6.482523885393249</v>
      </c>
      <c r="G58" s="4">
        <v>8.6648727530320233</v>
      </c>
      <c r="H58" s="4">
        <v>6.482523885393249</v>
      </c>
      <c r="I58" s="4">
        <v>8.6648727530320233</v>
      </c>
      <c r="J58" s="9"/>
      <c r="K58" s="9"/>
      <c r="L58" s="9"/>
      <c r="M58" s="9"/>
      <c r="N58" s="9"/>
      <c r="O58" s="9"/>
      <c r="P58" s="9"/>
      <c r="Q58" s="10"/>
    </row>
    <row r="59" spans="1:17" x14ac:dyDescent="0.25">
      <c r="J59" s="9"/>
      <c r="K59" s="9"/>
      <c r="L59" s="9"/>
      <c r="M59" s="9"/>
      <c r="N59" s="9"/>
      <c r="O59" s="9"/>
      <c r="P59" s="9"/>
      <c r="Q59" s="10"/>
    </row>
    <row r="60" spans="1:17" x14ac:dyDescent="0.25">
      <c r="J60" s="9"/>
      <c r="K60" s="9"/>
      <c r="L60" s="9"/>
      <c r="M60" s="9"/>
      <c r="N60" s="9"/>
      <c r="O60" s="9"/>
      <c r="P60" s="9"/>
      <c r="Q60" s="10"/>
    </row>
    <row r="61" spans="1:17" x14ac:dyDescent="0.25">
      <c r="J61" s="9"/>
      <c r="K61" s="9"/>
      <c r="L61" s="9"/>
      <c r="M61" s="9"/>
      <c r="N61" s="9"/>
      <c r="O61" s="9"/>
      <c r="P61" s="9"/>
      <c r="Q61" s="10"/>
    </row>
    <row r="62" spans="1:17" x14ac:dyDescent="0.25">
      <c r="A62" t="s">
        <v>105</v>
      </c>
      <c r="F62" t="s">
        <v>137</v>
      </c>
      <c r="J62" s="9"/>
      <c r="K62" s="9"/>
      <c r="L62" s="9"/>
      <c r="M62" s="9"/>
      <c r="N62" s="9"/>
      <c r="O62" s="9"/>
      <c r="P62" s="9"/>
      <c r="Q62" s="10"/>
    </row>
    <row r="63" spans="1:17" ht="15.75" thickBot="1" x14ac:dyDescent="0.3">
      <c r="J63" s="9"/>
      <c r="K63" s="9"/>
      <c r="L63" s="9"/>
      <c r="M63" s="9"/>
      <c r="N63" s="9"/>
      <c r="O63" s="9"/>
      <c r="P63" s="9"/>
      <c r="Q63" s="10"/>
    </row>
    <row r="64" spans="1:17" x14ac:dyDescent="0.25">
      <c r="A64" s="5" t="s">
        <v>94</v>
      </c>
      <c r="B64" s="5" t="s">
        <v>136</v>
      </c>
      <c r="C64" s="5" t="s">
        <v>96</v>
      </c>
      <c r="D64" s="5" t="s">
        <v>106</v>
      </c>
      <c r="F64" s="5" t="s">
        <v>138</v>
      </c>
      <c r="G64" s="5" t="s">
        <v>71</v>
      </c>
      <c r="J64" s="9"/>
      <c r="K64" s="9"/>
      <c r="L64" s="9"/>
      <c r="M64" s="9"/>
      <c r="N64" s="9"/>
      <c r="O64" s="9"/>
      <c r="P64" s="9"/>
      <c r="Q64" s="10"/>
    </row>
    <row r="65" spans="1:17" x14ac:dyDescent="0.25">
      <c r="A65" s="3">
        <v>1</v>
      </c>
      <c r="B65" s="3">
        <v>869.67609133778171</v>
      </c>
      <c r="C65" s="3">
        <v>-34.676091337781713</v>
      </c>
      <c r="D65" s="3">
        <v>-0.62772796641480011</v>
      </c>
      <c r="F65" s="3">
        <v>5</v>
      </c>
      <c r="G65" s="3">
        <v>63</v>
      </c>
      <c r="J65" s="9"/>
      <c r="K65" s="9"/>
      <c r="L65" s="9"/>
      <c r="M65" s="9"/>
      <c r="N65" s="9"/>
      <c r="O65" s="9"/>
      <c r="P65" s="9"/>
      <c r="Q65" s="10"/>
    </row>
    <row r="66" spans="1:17" x14ac:dyDescent="0.25">
      <c r="A66" s="3">
        <v>2</v>
      </c>
      <c r="B66" s="3">
        <v>21.421879585966565</v>
      </c>
      <c r="C66" s="3">
        <v>41.578120414033435</v>
      </c>
      <c r="D66" s="3">
        <v>0.75267274851169941</v>
      </c>
      <c r="F66" s="3">
        <v>15</v>
      </c>
      <c r="G66" s="3">
        <v>184</v>
      </c>
      <c r="J66" s="9"/>
      <c r="K66" s="9"/>
      <c r="L66" s="9"/>
      <c r="M66" s="9"/>
      <c r="N66" s="9"/>
      <c r="O66" s="9"/>
      <c r="P66" s="9"/>
      <c r="Q66" s="10"/>
    </row>
    <row r="67" spans="1:17" x14ac:dyDescent="0.25">
      <c r="A67" s="3">
        <v>3</v>
      </c>
      <c r="B67" s="3">
        <v>233.48543252392039</v>
      </c>
      <c r="C67" s="3">
        <v>6.5145674760796055</v>
      </c>
      <c r="D67" s="3">
        <v>0.11793071352813699</v>
      </c>
      <c r="F67" s="3">
        <v>25</v>
      </c>
      <c r="G67" s="3">
        <v>195</v>
      </c>
      <c r="J67" s="9"/>
      <c r="K67" s="9"/>
      <c r="L67" s="9"/>
      <c r="M67" s="9"/>
      <c r="N67" s="9"/>
      <c r="O67" s="9"/>
      <c r="P67" s="9"/>
      <c r="Q67" s="10"/>
    </row>
    <row r="68" spans="1:17" x14ac:dyDescent="0.25">
      <c r="A68" s="3">
        <v>4</v>
      </c>
      <c r="B68" s="3">
        <v>922.69197957227027</v>
      </c>
      <c r="C68" s="3">
        <v>82.30802042772973</v>
      </c>
      <c r="D68" s="3">
        <v>1.4899904888193731</v>
      </c>
      <c r="F68" s="3">
        <v>35</v>
      </c>
      <c r="G68" s="3">
        <v>213</v>
      </c>
      <c r="J68" s="9"/>
      <c r="K68" s="9"/>
      <c r="L68" s="9"/>
      <c r="M68" s="9"/>
      <c r="N68" s="9"/>
      <c r="O68" s="9"/>
      <c r="P68" s="9"/>
      <c r="Q68" s="10"/>
    </row>
    <row r="69" spans="1:17" x14ac:dyDescent="0.25">
      <c r="A69" s="3">
        <v>5</v>
      </c>
      <c r="B69" s="3">
        <v>157.74844933179401</v>
      </c>
      <c r="C69" s="3">
        <v>26.251550668205994</v>
      </c>
      <c r="D69" s="3">
        <v>0.4752217415644347</v>
      </c>
      <c r="F69" s="3">
        <v>45</v>
      </c>
      <c r="G69" s="3">
        <v>240</v>
      </c>
      <c r="J69" s="9"/>
      <c r="K69" s="9"/>
      <c r="L69" s="9"/>
      <c r="M69" s="9"/>
      <c r="N69" s="9"/>
      <c r="O69" s="9"/>
      <c r="P69" s="9"/>
      <c r="Q69" s="10"/>
    </row>
    <row r="70" spans="1:17" x14ac:dyDescent="0.25">
      <c r="A70" s="3">
        <v>6</v>
      </c>
      <c r="B70" s="3">
        <v>165.32214765100662</v>
      </c>
      <c r="C70" s="3">
        <v>47.677852348993383</v>
      </c>
      <c r="D70" s="3">
        <v>0.86309385352926293</v>
      </c>
      <c r="F70" s="3">
        <v>55</v>
      </c>
      <c r="G70" s="3">
        <v>313</v>
      </c>
      <c r="J70" s="9"/>
      <c r="K70" s="9"/>
      <c r="L70" s="9"/>
      <c r="M70" s="9"/>
      <c r="N70" s="9"/>
      <c r="O70" s="9"/>
      <c r="P70" s="9"/>
      <c r="Q70" s="10"/>
    </row>
    <row r="71" spans="1:17" x14ac:dyDescent="0.25">
      <c r="A71" s="3">
        <v>7</v>
      </c>
      <c r="B71" s="3">
        <v>347.09090731210989</v>
      </c>
      <c r="C71" s="3">
        <v>-34.090907312109891</v>
      </c>
      <c r="D71" s="3">
        <v>-0.61713460469951453</v>
      </c>
      <c r="F71" s="3">
        <v>65</v>
      </c>
      <c r="G71" s="3">
        <v>545</v>
      </c>
      <c r="J71" s="9"/>
      <c r="K71" s="9"/>
      <c r="L71" s="9"/>
      <c r="M71" s="9"/>
      <c r="N71" s="9"/>
      <c r="O71" s="9"/>
      <c r="P71" s="9"/>
      <c r="Q71" s="10"/>
    </row>
    <row r="72" spans="1:17" x14ac:dyDescent="0.25">
      <c r="A72" s="3">
        <v>8</v>
      </c>
      <c r="B72" s="3">
        <v>642.46514176140272</v>
      </c>
      <c r="C72" s="3">
        <v>15.53485823859728</v>
      </c>
      <c r="D72" s="3">
        <v>0.28122157355237559</v>
      </c>
      <c r="F72" s="3">
        <v>75</v>
      </c>
      <c r="G72" s="3">
        <v>658</v>
      </c>
      <c r="J72" s="9"/>
      <c r="K72" s="9"/>
      <c r="L72" s="9"/>
      <c r="M72" s="9"/>
      <c r="N72" s="9"/>
      <c r="O72" s="9"/>
      <c r="P72" s="9"/>
      <c r="Q72" s="10"/>
    </row>
    <row r="73" spans="1:17" x14ac:dyDescent="0.25">
      <c r="A73" s="3">
        <v>9</v>
      </c>
      <c r="B73" s="3">
        <v>301.64871739683412</v>
      </c>
      <c r="C73" s="3">
        <v>-106.64871739683412</v>
      </c>
      <c r="D73" s="3">
        <v>-1.9306207796067034</v>
      </c>
      <c r="F73" s="3">
        <v>85</v>
      </c>
      <c r="G73" s="3">
        <v>835</v>
      </c>
      <c r="J73" s="9"/>
      <c r="K73" s="9"/>
      <c r="L73" s="9"/>
      <c r="M73" s="9"/>
      <c r="N73" s="9"/>
      <c r="O73" s="9"/>
      <c r="P73" s="9"/>
      <c r="Q73" s="10"/>
    </row>
    <row r="74" spans="1:17" ht="15.75" thickBot="1" x14ac:dyDescent="0.3">
      <c r="A74" s="4">
        <v>10</v>
      </c>
      <c r="B74" s="4">
        <v>589.44925352691428</v>
      </c>
      <c r="C74" s="4">
        <v>-44.449253526914276</v>
      </c>
      <c r="D74" s="4">
        <v>-0.80464776878427491</v>
      </c>
      <c r="F74" s="4">
        <v>95</v>
      </c>
      <c r="G74" s="4">
        <v>1005</v>
      </c>
      <c r="J74" s="9"/>
      <c r="K74" s="9"/>
      <c r="L74" s="9"/>
      <c r="M74" s="9"/>
      <c r="N74" s="9"/>
      <c r="O74" s="9"/>
      <c r="P74" s="9"/>
      <c r="Q74" s="10"/>
    </row>
    <row r="75" spans="1:17" x14ac:dyDescent="0.2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</sheetData>
  <sortState ref="G65:G74">
    <sortCondition ref="G65"/>
  </sortState>
  <mergeCells count="1">
    <mergeCell ref="A1:F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objemy_pivnich_lahvi</vt:lpstr>
      <vt:lpstr>vysledky_vs_varianty_testu</vt:lpstr>
      <vt:lpstr>preferovane_bydliste_vs_pohlavi</vt:lpstr>
      <vt:lpstr>600_hodu_kostkou</vt:lpstr>
      <vt:lpstr>udrzba_domu_vs_jeho_cena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2020-04-28T17:51:42Z</dcterms:modified>
</cp:coreProperties>
</file>