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340" windowHeight="10960"/>
  </bookViews>
  <sheets>
    <sheet name="EnergyInput" sheetId="8" r:id="rId1"/>
    <sheet name="Sheet1" sheetId="9" r:id="rId2"/>
  </sheets>
  <definedNames>
    <definedName name="_xlnm._FilterDatabase" localSheetId="0" hidden="1">EnergyInput!$C$1:$K$60</definedName>
  </definedNames>
  <calcPr calcId="144525"/>
</workbook>
</file>

<file path=xl/comments1.xml><?xml version="1.0" encoding="utf-8"?>
<comments xmlns="http://schemas.openxmlformats.org/spreadsheetml/2006/main">
  <authors>
    <author>tc={99B58DFB-B8A4-4977-911B-183B6BDC88AF}</author>
  </authors>
  <commentList>
    <comment ref="L60" authorId="0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H(g) + H* ⟶ H2(g)</t>
        </r>
      </text>
    </comment>
  </commentList>
</comments>
</file>

<file path=xl/comments2.xml><?xml version="1.0" encoding="utf-8"?>
<comments xmlns="http://schemas.openxmlformats.org/spreadsheetml/2006/main">
  <authors>
    <author>tc={55D02633-3E43-4A85-9336-82083E341449}</author>
  </authors>
  <commentList>
    <comment ref="K60" authorId="0">
      <text>
        <r>
          <rPr>
            <sz val="10"/>
            <rFont val="SimSun"/>
            <charset val="134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H(g) + H* ⟶ H2(g)</t>
        </r>
      </text>
    </comment>
  </commentList>
</comments>
</file>

<file path=xl/sharedStrings.xml><?xml version="1.0" encoding="utf-8"?>
<sst xmlns="http://schemas.openxmlformats.org/spreadsheetml/2006/main" count="215">
  <si>
    <t>Reactoion label</t>
  </si>
  <si>
    <t>Ea (J/mole)</t>
  </si>
  <si>
    <t>ev to j/mole</t>
  </si>
  <si>
    <t>ThermalSimple</t>
  </si>
  <si>
    <t>Fe</t>
  </si>
  <si>
    <t>Co</t>
  </si>
  <si>
    <t>Ni</t>
  </si>
  <si>
    <t>Pd</t>
  </si>
  <si>
    <t>Ga</t>
  </si>
  <si>
    <t>Sn</t>
  </si>
  <si>
    <t>Cu</t>
  </si>
  <si>
    <t>Au</t>
  </si>
  <si>
    <t>Ag</t>
  </si>
  <si>
    <t>IronNew</t>
  </si>
  <si>
    <t>S1f</t>
  </si>
  <si>
    <t>N2(g) + 2* ⟶ 2N*</t>
  </si>
  <si>
    <t>S1b</t>
  </si>
  <si>
    <t>S2f</t>
  </si>
  <si>
    <t>H2(g) + 2* ⟶ 2H*</t>
  </si>
  <si>
    <t>S2b</t>
  </si>
  <si>
    <t>ThermalCx2</t>
  </si>
  <si>
    <t>C1f</t>
  </si>
  <si>
    <t>N2(g) + * ⟶ N2*</t>
  </si>
  <si>
    <t>C1b</t>
  </si>
  <si>
    <t>C2f</t>
  </si>
  <si>
    <t>H2(g) + * ⟶ H2*</t>
  </si>
  <si>
    <t>C2b</t>
  </si>
  <si>
    <t>C3f</t>
  </si>
  <si>
    <t>N2* + * ⟶ 2N*</t>
  </si>
  <si>
    <t>C3b</t>
  </si>
  <si>
    <t>C4f</t>
  </si>
  <si>
    <t>H2* + * ⟶ 2H*</t>
  </si>
  <si>
    <t>C4b</t>
  </si>
  <si>
    <t>ThermalHydrogenation</t>
  </si>
  <si>
    <t>H1f</t>
  </si>
  <si>
    <t>N*+ H* ⟶ NH* + *</t>
  </si>
  <si>
    <t>H1b</t>
  </si>
  <si>
    <t>H2f</t>
  </si>
  <si>
    <t xml:space="preserve">NH*+ H* ⟶ NH2* + * </t>
  </si>
  <si>
    <t>H2b</t>
  </si>
  <si>
    <t>H3f</t>
  </si>
  <si>
    <t>NH2*+ H* ⟶ NH3* + *</t>
  </si>
  <si>
    <t>H3b</t>
  </si>
  <si>
    <t>Desorption</t>
  </si>
  <si>
    <t>Des1f</t>
  </si>
  <si>
    <t>NH3* ⟶  NH3(g) + *</t>
  </si>
  <si>
    <t>Des1b</t>
  </si>
  <si>
    <t>Des2f</t>
  </si>
  <si>
    <t>HN-NH* ⟶ HN-NH(g) + *</t>
  </si>
  <si>
    <t>Des2b</t>
  </si>
  <si>
    <t>Des3f</t>
  </si>
  <si>
    <t>H2N-NH2* ⟶ H2N-NH2(g) + *</t>
  </si>
  <si>
    <t>Des3b</t>
  </si>
  <si>
    <t>Des4f</t>
  </si>
  <si>
    <t>NNH* ⟶  NNH(g) + *</t>
  </si>
  <si>
    <t>Des4b</t>
  </si>
  <si>
    <t>ActiveAdsorptions</t>
  </si>
  <si>
    <t>Ad1f</t>
  </si>
  <si>
    <t>N(g) + * ⟶ N*</t>
  </si>
  <si>
    <t>Ad1b</t>
  </si>
  <si>
    <t>Ad2f</t>
  </si>
  <si>
    <t>H(g) + * ⟶ H*</t>
  </si>
  <si>
    <t>Ad2b</t>
  </si>
  <si>
    <t>Ad3f</t>
  </si>
  <si>
    <t>NH(g) + *  ⟶ NH*</t>
  </si>
  <si>
    <t>Ad3b</t>
  </si>
  <si>
    <t>Ad4f</t>
  </si>
  <si>
    <t>NH2(g) + *  ⟶ NH2*</t>
  </si>
  <si>
    <t>Ad4b</t>
  </si>
  <si>
    <t>Ad5f</t>
  </si>
  <si>
    <t>NH3(g) + * ⟶ NH3*</t>
  </si>
  <si>
    <t>Ad5b</t>
  </si>
  <si>
    <t>SubsurfaceDissolution</t>
  </si>
  <si>
    <t>SD1f</t>
  </si>
  <si>
    <t xml:space="preserve">N* + ☐  ⟶ * + N☐  </t>
  </si>
  <si>
    <t>SD1b</t>
  </si>
  <si>
    <t>SD2f</t>
  </si>
  <si>
    <t xml:space="preserve">H* + ☐  ⟶ * + H☐  </t>
  </si>
  <si>
    <t>SD2b</t>
  </si>
  <si>
    <t>E-R reactions 1</t>
  </si>
  <si>
    <t>ER11f</t>
  </si>
  <si>
    <t>N(g) + H* ⟶ NH*</t>
  </si>
  <si>
    <t>ER11b</t>
  </si>
  <si>
    <t>ER12f</t>
  </si>
  <si>
    <t>H(g) + N* ⟶ NH*</t>
  </si>
  <si>
    <t>ER12b</t>
  </si>
  <si>
    <t>ER13f</t>
  </si>
  <si>
    <t>H(g) + NH* ⟶ NH2*</t>
  </si>
  <si>
    <t>ER13b</t>
  </si>
  <si>
    <t>ER14f</t>
  </si>
  <si>
    <t>H(g) + NH2* ⟶ NH3*</t>
  </si>
  <si>
    <t>ER14b</t>
  </si>
  <si>
    <t>ER15f</t>
  </si>
  <si>
    <t>N(g) + N* ⟶ N2*</t>
  </si>
  <si>
    <t>ER15b</t>
  </si>
  <si>
    <t>ER16f</t>
  </si>
  <si>
    <t>H(g) + H* ⟶ H2*</t>
  </si>
  <si>
    <t>ER16b</t>
  </si>
  <si>
    <t xml:space="preserve">Langmuir–Hinshelwood </t>
  </si>
  <si>
    <t xml:space="preserve">need check minus </t>
  </si>
  <si>
    <t>LHW1f</t>
  </si>
  <si>
    <t>  N-N* + H* ⟶ N-NH* + *</t>
  </si>
  <si>
    <t>LHW1b</t>
  </si>
  <si>
    <t>LHW2f</t>
  </si>
  <si>
    <t>N-NH* + H* ⟶ N-NH2* + *</t>
  </si>
  <si>
    <t>LHW2b</t>
  </si>
  <si>
    <t>LHW3f</t>
  </si>
  <si>
    <t>N-NH* + H* ⟶ HN-NH* + * </t>
  </si>
  <si>
    <t>LHW3b</t>
  </si>
  <si>
    <t>LHW4f</t>
  </si>
  <si>
    <t>N-NH2* + H* ⟶ N-NH3 + *</t>
  </si>
  <si>
    <t>LHW4b</t>
  </si>
  <si>
    <t>LHW5f</t>
  </si>
  <si>
    <t>N-NH2* + H* ⟶ HN-NH2* + *</t>
  </si>
  <si>
    <t>LHW5b</t>
  </si>
  <si>
    <t>LHW6f</t>
  </si>
  <si>
    <t>HN-NH* + H* ⟶ HN-NH2* + *</t>
  </si>
  <si>
    <t>LHW6b</t>
  </si>
  <si>
    <t>LHW7f</t>
  </si>
  <si>
    <t xml:space="preserve">N-NH3* + H* ⟶ HN-NH3* + * </t>
  </si>
  <si>
    <t>LHW7b</t>
  </si>
  <si>
    <t>LHW8f</t>
  </si>
  <si>
    <t xml:space="preserve">HN-NH2* + H* ⟶ HN-NH3* + * </t>
  </si>
  <si>
    <t>LHW8b</t>
  </si>
  <si>
    <t>LHW9f</t>
  </si>
  <si>
    <t xml:space="preserve"> HN-NH2* + H* ⟶ H2N-NH2* + *</t>
  </si>
  <si>
    <t>LHW9b</t>
  </si>
  <si>
    <t>LHW10f</t>
  </si>
  <si>
    <t>HN-NH3* + H* ⟶ H2N-NH3* + * </t>
  </si>
  <si>
    <t>LHW10b</t>
  </si>
  <si>
    <t>LHW11f</t>
  </si>
  <si>
    <t xml:space="preserve">H2N-NH2* + H* ⟶ H2N-NH3* + * </t>
  </si>
  <si>
    <t>LHW11b</t>
  </si>
  <si>
    <t>LHW12f</t>
  </si>
  <si>
    <t xml:space="preserve">H2N-NH3* + H* ⟶ 2NH3* </t>
  </si>
  <si>
    <t>LHW12b</t>
  </si>
  <si>
    <t>E-R reactions 2</t>
  </si>
  <si>
    <t>ER21f</t>
  </si>
  <si>
    <t xml:space="preserve">N2* + H(g) ⟶ N-NH* </t>
  </si>
  <si>
    <t>ER21b</t>
  </si>
  <si>
    <t>ER22f</t>
  </si>
  <si>
    <t>N-NH* + H(g) ⟶ N-NH2*</t>
  </si>
  <si>
    <t>ER22b</t>
  </si>
  <si>
    <t>ER23f</t>
  </si>
  <si>
    <t>N-NH* + H(g) ⟶ HN-NH*</t>
  </si>
  <si>
    <t>ER23b</t>
  </si>
  <si>
    <t>ER24f</t>
  </si>
  <si>
    <t xml:space="preserve">N-NH2* + H(g) ⟶ N-NH3* </t>
  </si>
  <si>
    <t>ER24b</t>
  </si>
  <si>
    <t>ER25f</t>
  </si>
  <si>
    <t>N-NH2* + H(g) ⟶ HN-NH2*</t>
  </si>
  <si>
    <t>ER25b</t>
  </si>
  <si>
    <t>ER26f</t>
  </si>
  <si>
    <t>NNH3* + H(g) ⟶ HNNH3*</t>
  </si>
  <si>
    <t>ER26b</t>
  </si>
  <si>
    <t>ER27f</t>
  </si>
  <si>
    <t>HN-NH* + H(g) ⟶ HN-NH2*</t>
  </si>
  <si>
    <t>ER27b</t>
  </si>
  <si>
    <t>ER28f</t>
  </si>
  <si>
    <t xml:space="preserve">HN-NH2* + H(g) ⟶ HN-NH3* </t>
  </si>
  <si>
    <t>ER28b</t>
  </si>
  <si>
    <t>ER29f</t>
  </si>
  <si>
    <t>HN-NH2* + H(g) ⟶ H2N-NH2* </t>
  </si>
  <si>
    <t>ER29b</t>
  </si>
  <si>
    <t>ER30f</t>
  </si>
  <si>
    <t xml:space="preserve">H2N-NH2* + H(g) ⟶ H2N-NH3* </t>
  </si>
  <si>
    <t>ER30b</t>
  </si>
  <si>
    <t>ER31f</t>
  </si>
  <si>
    <t>HN-NH3* + H(g) ⟶ H2N-NH3* </t>
  </si>
  <si>
    <t>ER31b</t>
  </si>
  <si>
    <t>ER32f</t>
  </si>
  <si>
    <t xml:space="preserve">H2N-NH3* + H(g) ⟶ 2NH3* </t>
  </si>
  <si>
    <t>ER32b</t>
  </si>
  <si>
    <t>ER33f</t>
  </si>
  <si>
    <t>NH* + N(g) ⟶ N-NH*</t>
  </si>
  <si>
    <t>ER33b</t>
  </si>
  <si>
    <t>ER34f</t>
  </si>
  <si>
    <t>NH2* + N(g) ⟶ N-NH2*</t>
  </si>
  <si>
    <t>ER34b</t>
  </si>
  <si>
    <t>ER35f</t>
  </si>
  <si>
    <t>H* + N2(g) ⟶ N-NH*</t>
  </si>
  <si>
    <t>ER35b</t>
  </si>
  <si>
    <t xml:space="preserve">Dissociation </t>
  </si>
  <si>
    <t>DISO1f</t>
  </si>
  <si>
    <t>NNH* + *  ⟶ N* + NH*</t>
  </si>
  <si>
    <t>DISO1b</t>
  </si>
  <si>
    <t>DISO2f</t>
  </si>
  <si>
    <t>NNH* + *  ⟶ N2* + H*</t>
  </si>
  <si>
    <t>DISO2b</t>
  </si>
  <si>
    <t>DISO3f</t>
  </si>
  <si>
    <t>NNH2*+ * ⟶ N* + NH2*</t>
  </si>
  <si>
    <t>DISO3b</t>
  </si>
  <si>
    <t>DISO4f</t>
  </si>
  <si>
    <t>NNH3* + *⟶ N* + NH3*</t>
  </si>
  <si>
    <t>DISO4b</t>
  </si>
  <si>
    <t>DISO5f</t>
  </si>
  <si>
    <t xml:space="preserve">HNNH* + * ⟶ 2NH* </t>
  </si>
  <si>
    <t>DISO5b</t>
  </si>
  <si>
    <t>DISO6f</t>
  </si>
  <si>
    <t xml:space="preserve">H2NNH2* + * ⟶ 2NH2* </t>
  </si>
  <si>
    <t>DISO6b</t>
  </si>
  <si>
    <t>DISO7f</t>
  </si>
  <si>
    <t>HNNH3* + *⟶ NH* + NH3*</t>
  </si>
  <si>
    <t>DISO7b</t>
  </si>
  <si>
    <t>DISO8f</t>
  </si>
  <si>
    <t>H2N-NH3* + * --&gt; NH2* + NH3*</t>
  </si>
  <si>
    <t>DISO8b</t>
  </si>
  <si>
    <t>NHradical1f</t>
  </si>
  <si>
    <t>NHradical1b</t>
  </si>
  <si>
    <t>NHradical2f</t>
  </si>
  <si>
    <t>NH(g) + N*  ⟶ NNH*</t>
  </si>
  <si>
    <t>NHradical2b</t>
  </si>
  <si>
    <t>Ea (ev)</t>
  </si>
  <si>
    <t xml:space="preserve">* + N☐ ⟶ N* + ☐    </t>
  </si>
  <si>
    <t xml:space="preserve">* + H☐ ⟶ H* + ☐    </t>
  </si>
</sst>
</file>

<file path=xl/styles.xml><?xml version="1.0" encoding="utf-8"?>
<styleSheet xmlns="http://schemas.openxmlformats.org/spreadsheetml/2006/main">
  <numFmts count="5">
    <numFmt numFmtId="176" formatCode="0.000000"/>
    <numFmt numFmtId="177" formatCode="_ * #,##0_ ;_ * \-#,##0_ ;_ * &quot;-&quot;_ ;_ @_ "/>
    <numFmt numFmtId="44" formatCode="_(&quot;$&quot;* #,##0.00_);_(&quot;$&quot;* \(#,##0.00\);_(&quot;$&quot;* &quot;-&quot;??_);_(@_)"/>
    <numFmt numFmtId="178" formatCode="_ * #,##0.00_ ;_ * \-#,##0.00_ ;_ * &quot;-&quot;??_ ;_ @_ "/>
    <numFmt numFmtId="42" formatCode="_(&quot;$&quot;* #,##0_);_(&quot;$&quot;* \(#,##0\);_(&quot;$&quot;* &quot;-&quot;_);_(@_)"/>
  </numFmts>
  <fonts count="26">
    <font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sz val="11"/>
      <name val="Arial"/>
      <charset val="134"/>
    </font>
    <font>
      <b/>
      <i/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5"/>
      <color theme="1"/>
      <name val="Calibri"/>
      <charset val="134"/>
      <scheme val="minor"/>
    </font>
    <font>
      <sz val="12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</fonts>
  <fills count="41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7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</fills>
  <borders count="12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7" fillId="22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19" fillId="37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7" fillId="32" borderId="0" applyNumberFormat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19" fillId="36" borderId="0" applyNumberFormat="0" applyBorder="0" applyAlignment="0" applyProtection="0">
      <alignment vertical="center"/>
    </xf>
    <xf numFmtId="0" fontId="7" fillId="35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9" fillId="39" borderId="0" applyNumberFormat="0" applyBorder="0" applyAlignment="0" applyProtection="0">
      <alignment vertical="center"/>
    </xf>
    <xf numFmtId="0" fontId="7" fillId="40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7" fillId="25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24" fillId="0" borderId="10" applyNumberFormat="0" applyFill="0" applyAlignment="0" applyProtection="0">
      <alignment vertical="center"/>
    </xf>
    <xf numFmtId="0" fontId="25" fillId="16" borderId="1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0" fillId="19" borderId="7" applyNumberFormat="0" applyFont="0" applyAlignment="0" applyProtection="0">
      <alignment vertical="center"/>
    </xf>
    <xf numFmtId="0" fontId="17" fillId="18" borderId="5" applyNumberForma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16" borderId="5" applyNumberFormat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9" fillId="3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8" fillId="20" borderId="8" applyNumberFormat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</cellStyleXfs>
  <cellXfs count="51">
    <xf numFmtId="0" fontId="0" fillId="0" borderId="0" xfId="0"/>
    <xf numFmtId="0" fontId="0" fillId="0" borderId="0" xfId="0" applyFill="1"/>
    <xf numFmtId="2" fontId="1" fillId="0" borderId="0" xfId="0" applyNumberFormat="1" applyFont="1" applyAlignment="1">
      <alignment horizontal="center"/>
    </xf>
    <xf numFmtId="0" fontId="0" fillId="0" borderId="1" xfId="0" applyBorder="1"/>
    <xf numFmtId="2" fontId="1" fillId="0" borderId="2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center"/>
    </xf>
    <xf numFmtId="2" fontId="2" fillId="0" borderId="2" xfId="0" applyNumberFormat="1" applyFont="1" applyBorder="1" applyAlignment="1">
      <alignment horizontal="center"/>
    </xf>
    <xf numFmtId="2" fontId="1" fillId="0" borderId="0" xfId="0" applyNumberFormat="1" applyFont="1" applyFill="1" applyAlignment="1">
      <alignment horizontal="center"/>
    </xf>
    <xf numFmtId="0" fontId="2" fillId="0" borderId="0" xfId="0" applyFont="1" applyFill="1" applyAlignment="1">
      <alignment horizontal="center"/>
    </xf>
    <xf numFmtId="2" fontId="1" fillId="0" borderId="3" xfId="0" applyNumberFormat="1" applyFont="1" applyBorder="1" applyAlignment="1">
      <alignment horizontal="center"/>
    </xf>
    <xf numFmtId="2" fontId="2" fillId="0" borderId="3" xfId="0" applyNumberFormat="1" applyFont="1" applyBorder="1" applyAlignment="1">
      <alignment horizontal="center"/>
    </xf>
    <xf numFmtId="0" fontId="2" fillId="2" borderId="0" xfId="0" applyFont="1" applyFill="1" applyAlignment="1">
      <alignment horizontal="center"/>
    </xf>
    <xf numFmtId="0" fontId="3" fillId="0" borderId="0" xfId="0" applyFont="1" applyFill="1"/>
    <xf numFmtId="0" fontId="2" fillId="0" borderId="0" xfId="0" applyFont="1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0" fontId="0" fillId="3" borderId="0" xfId="0" applyFill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76" fontId="1" fillId="4" borderId="0" xfId="0" applyNumberFormat="1" applyFont="1" applyFill="1" applyAlignment="1">
      <alignment horizontal="center"/>
    </xf>
    <xf numFmtId="0" fontId="2" fillId="5" borderId="0" xfId="0" applyFont="1" applyFill="1" applyAlignment="1">
      <alignment horizontal="center"/>
    </xf>
    <xf numFmtId="2" fontId="0" fillId="4" borderId="0" xfId="0" applyNumberFormat="1" applyFill="1" applyAlignment="1">
      <alignment horizontal="center"/>
    </xf>
    <xf numFmtId="2" fontId="4" fillId="0" borderId="0" xfId="0" applyNumberFormat="1" applyFont="1" applyAlignment="1">
      <alignment horizontal="center"/>
    </xf>
    <xf numFmtId="2" fontId="0" fillId="6" borderId="0" xfId="0" applyNumberForma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2" fillId="9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2" fontId="0" fillId="10" borderId="0" xfId="0" applyNumberFormat="1" applyFill="1" applyAlignment="1">
      <alignment horizontal="center"/>
    </xf>
    <xf numFmtId="0" fontId="2" fillId="10" borderId="0" xfId="0" applyFont="1" applyFill="1" applyAlignment="1">
      <alignment horizontal="center"/>
    </xf>
    <xf numFmtId="2" fontId="4" fillId="0" borderId="0" xfId="0" applyNumberFormat="1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4" fillId="11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2" fontId="0" fillId="12" borderId="0" xfId="0" applyNumberFormat="1" applyFill="1" applyAlignment="1">
      <alignment horizontal="center"/>
    </xf>
    <xf numFmtId="0" fontId="2" fillId="12" borderId="0" xfId="0" applyFont="1" applyFill="1" applyAlignment="1">
      <alignment horizontal="center"/>
    </xf>
    <xf numFmtId="2" fontId="0" fillId="7" borderId="0" xfId="0" applyNumberFormat="1" applyFill="1" applyAlignment="1">
      <alignment horizontal="center"/>
    </xf>
    <xf numFmtId="0" fontId="3" fillId="0" borderId="0" xfId="0" applyFont="1"/>
    <xf numFmtId="2" fontId="1" fillId="3" borderId="0" xfId="0" applyNumberFormat="1" applyFont="1" applyFill="1" applyAlignment="1">
      <alignment horizontal="center"/>
    </xf>
    <xf numFmtId="0" fontId="4" fillId="13" borderId="0" xfId="0" applyFont="1" applyFill="1" applyAlignment="1">
      <alignment horizontal="center"/>
    </xf>
    <xf numFmtId="0" fontId="0" fillId="13" borderId="0" xfId="0" applyFill="1" applyAlignment="1">
      <alignment horizontal="center"/>
    </xf>
    <xf numFmtId="0" fontId="2" fillId="13" borderId="0" xfId="0" applyFont="1" applyFill="1" applyAlignment="1">
      <alignment horizontal="center"/>
    </xf>
    <xf numFmtId="0" fontId="4" fillId="14" borderId="0" xfId="0" applyFont="1" applyFill="1" applyAlignment="1">
      <alignment horizontal="center"/>
    </xf>
    <xf numFmtId="0" fontId="0" fillId="14" borderId="0" xfId="0" applyFill="1" applyAlignment="1">
      <alignment horizontal="center"/>
    </xf>
    <xf numFmtId="0" fontId="2" fillId="14" borderId="0" xfId="0" applyFont="1" applyFill="1" applyAlignment="1">
      <alignment horizontal="center"/>
    </xf>
    <xf numFmtId="0" fontId="4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Accent2" xfId="16" builtinId="33"/>
    <cellStyle name="40% - Accent1" xfId="17" builtinId="31"/>
    <cellStyle name="20% - Accent1" xfId="18" builtinId="30"/>
    <cellStyle name="Accent1" xfId="19" builtinId="29"/>
    <cellStyle name="Neutral" xfId="20" builtinId="28"/>
    <cellStyle name="60% - Accent1" xfId="21" builtinId="32"/>
    <cellStyle name="Bad" xfId="22" builtinId="27"/>
    <cellStyle name="20% - Accent4" xfId="23" builtinId="42"/>
    <cellStyle name="Total" xfId="24" builtinId="25"/>
    <cellStyle name="Output" xfId="25" builtinId="21"/>
    <cellStyle name="Currency" xfId="26" builtinId="4"/>
    <cellStyle name="20% - Accent3" xfId="27" builtinId="38"/>
    <cellStyle name="Note" xfId="28" builtinId="10"/>
    <cellStyle name="Input" xfId="29" builtinId="20"/>
    <cellStyle name="Heading 4" xfId="30" builtinId="19"/>
    <cellStyle name="Calculation" xfId="31" builtinId="22"/>
    <cellStyle name="Good" xfId="32" builtinId="26"/>
    <cellStyle name="Heading 3" xfId="33" builtinId="18"/>
    <cellStyle name="CExplanatory Text" xfId="34" builtinId="53"/>
    <cellStyle name="Heading 1" xfId="35" builtinId="16"/>
    <cellStyle name="Comma [0]" xfId="36" builtinId="6"/>
    <cellStyle name="20% - Accent6" xfId="37" builtinId="50"/>
    <cellStyle name="Title" xfId="38" builtinId="15"/>
    <cellStyle name="Currency [0]" xfId="39" builtinId="7"/>
    <cellStyle name="Warning Text" xfId="40" builtinId="11"/>
    <cellStyle name="Followed Hyperlink" xfId="41" builtinId="9"/>
    <cellStyle name="20% - Accent2" xfId="42" builtinId="34"/>
    <cellStyle name="Link" xfId="43" builtinId="8"/>
    <cellStyle name="Heading 2" xfId="44" builtinId="17"/>
    <cellStyle name="Comma" xfId="45" builtinId="3"/>
    <cellStyle name="Check Cell" xfId="46" builtinId="23"/>
    <cellStyle name="60% - Accent3" xfId="47" builtinId="40"/>
    <cellStyle name="Percent" xfId="48" builtinId="5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139"/>
  <sheetViews>
    <sheetView tabSelected="1" zoomScale="85" zoomScaleNormal="85" topLeftCell="A104" workbookViewId="0">
      <selection activeCell="G130" sqref="G130"/>
    </sheetView>
  </sheetViews>
  <sheetFormatPr defaultColWidth="9" defaultRowHeight="14"/>
  <cols>
    <col min="1" max="1" width="13.3046875" style="15" customWidth="1"/>
    <col min="2" max="2" width="28.078125" style="15" customWidth="1"/>
    <col min="3" max="5" width="11.078125" customWidth="1"/>
    <col min="6" max="6" width="11.078125" style="16" customWidth="1"/>
    <col min="7" max="11" width="11.078125" customWidth="1"/>
    <col min="12" max="12" width="11.078125" style="1" customWidth="1"/>
    <col min="13" max="13" width="10.078125" customWidth="1"/>
    <col min="14" max="14" width="15.84375" customWidth="1"/>
    <col min="15" max="15" width="20" customWidth="1"/>
    <col min="16" max="16" width="23" customWidth="1"/>
  </cols>
  <sheetData>
    <row r="1" ht="18.8" spans="1:13">
      <c r="A1" s="17" t="s">
        <v>0</v>
      </c>
      <c r="B1" s="18"/>
      <c r="C1" s="2" t="s">
        <v>1</v>
      </c>
      <c r="D1" s="2" t="s">
        <v>1</v>
      </c>
      <c r="E1" s="2" t="s">
        <v>1</v>
      </c>
      <c r="F1" s="41" t="s">
        <v>1</v>
      </c>
      <c r="G1" s="2" t="s">
        <v>1</v>
      </c>
      <c r="H1" s="2" t="s">
        <v>1</v>
      </c>
      <c r="I1" s="2" t="s">
        <v>1</v>
      </c>
      <c r="J1" s="2" t="s">
        <v>1</v>
      </c>
      <c r="K1" s="2" t="s">
        <v>1</v>
      </c>
      <c r="L1" s="7" t="s">
        <v>1</v>
      </c>
      <c r="M1" s="5" t="s">
        <v>2</v>
      </c>
    </row>
    <row r="2" spans="1:13">
      <c r="A2" s="17"/>
      <c r="B2" s="17" t="s">
        <v>3</v>
      </c>
      <c r="C2" s="2" t="s">
        <v>4</v>
      </c>
      <c r="D2" s="2" t="s">
        <v>5</v>
      </c>
      <c r="E2" s="2" t="s">
        <v>6</v>
      </c>
      <c r="F2" s="41" t="s">
        <v>7</v>
      </c>
      <c r="G2" s="2" t="s">
        <v>8</v>
      </c>
      <c r="H2" s="2" t="s">
        <v>9</v>
      </c>
      <c r="I2" s="2" t="s">
        <v>10</v>
      </c>
      <c r="J2" s="2" t="s">
        <v>11</v>
      </c>
      <c r="K2" s="2" t="s">
        <v>12</v>
      </c>
      <c r="L2" s="7" t="s">
        <v>13</v>
      </c>
      <c r="M2" s="13">
        <f>96.487*1000</f>
        <v>96487</v>
      </c>
    </row>
    <row r="3" spans="1:12">
      <c r="A3" s="17" t="s">
        <v>14</v>
      </c>
      <c r="B3" s="19" t="s">
        <v>15</v>
      </c>
      <c r="C3" s="20">
        <f>0*(96.487*1000)</f>
        <v>0</v>
      </c>
      <c r="D3" s="20">
        <f>1.93417378000003*(96.487*1000)</f>
        <v>186622.625510863</v>
      </c>
      <c r="E3" s="20">
        <f>1.94480206000006*(96.487*1000)</f>
        <v>187648.116363226</v>
      </c>
      <c r="F3" s="25">
        <f>2.83031265999999*(96.487*1000)</f>
        <v>273088.377625419</v>
      </c>
      <c r="G3" s="20">
        <f>2.95433266*(96.487*1000)</f>
        <v>285054.69536542</v>
      </c>
      <c r="H3" s="20">
        <f>3.50728089999997*(96.487*1000)</f>
        <v>338407.012198297</v>
      </c>
      <c r="I3" s="20">
        <f>4.08442006000001*(96.487*1000)</f>
        <v>394093.438329221</v>
      </c>
      <c r="J3" s="20">
        <f>6.23577238*(96.487*1000)</f>
        <v>601670.96962906</v>
      </c>
      <c r="K3" s="20">
        <f>6.65393506*(96.487*1000)</f>
        <v>642018.23213422</v>
      </c>
      <c r="L3" s="8">
        <f>0*(96.487*1000)</f>
        <v>0</v>
      </c>
    </row>
    <row r="4" spans="1:12">
      <c r="A4" s="17" t="s">
        <v>16</v>
      </c>
      <c r="B4" s="21"/>
      <c r="C4" s="13">
        <f>3.28998100000004*(96.487*1000)</f>
        <v>317440.396747004</v>
      </c>
      <c r="D4" s="13">
        <f>2.42882277999999*(96.487*1000)</f>
        <v>234349.823573859</v>
      </c>
      <c r="E4" s="13">
        <f>2.42582505999998*(96.487*1000)</f>
        <v>234060.582564218</v>
      </c>
      <c r="F4" s="25">
        <f>2.17606566*(96.487*1000)</f>
        <v>209962.04733642</v>
      </c>
      <c r="G4" s="13">
        <f>2.14108566*(96.487*1000)</f>
        <v>206586.93207642</v>
      </c>
      <c r="H4" s="13">
        <f>1.98512590000001*(96.487*1000)</f>
        <v>191538.842713301</v>
      </c>
      <c r="I4" s="13">
        <f>1.82234306*(96.487*1000)</f>
        <v>175832.41483022</v>
      </c>
      <c r="J4" s="13">
        <f>1.21555138*(96.487*1000)</f>
        <v>117284.90600206</v>
      </c>
      <c r="K4" s="13">
        <f>1.09760806*(96.487*1000)</f>
        <v>105904.90888522</v>
      </c>
      <c r="L4" s="8">
        <f>3.28998100000004*(96.487*1000)</f>
        <v>317440.396747004</v>
      </c>
    </row>
    <row r="5" spans="1:12">
      <c r="A5" s="17" t="s">
        <v>17</v>
      </c>
      <c r="B5" s="19" t="s">
        <v>18</v>
      </c>
      <c r="C5" s="20">
        <f>0*(96.487*1000)</f>
        <v>0</v>
      </c>
      <c r="D5" s="20">
        <f>0*(96.487*1000)</f>
        <v>0</v>
      </c>
      <c r="E5" s="20">
        <f>0*(96.487*1000)</f>
        <v>0</v>
      </c>
      <c r="F5" s="25">
        <f>0*(96.487*1000)</f>
        <v>0</v>
      </c>
      <c r="G5" s="20">
        <f>1.04609360999998*(96.487*1000)</f>
        <v>100934.434148068</v>
      </c>
      <c r="H5" s="20">
        <f>1.12185587000002*(96.487*1000)</f>
        <v>108244.507328692</v>
      </c>
      <c r="I5" s="20">
        <f>0.282403490000023*(96.487*1000)</f>
        <v>27248.2655396322</v>
      </c>
      <c r="J5" s="20">
        <f>0.811513210000011*(96.487*1000)</f>
        <v>78300.4750932711</v>
      </c>
      <c r="K5" s="20">
        <f>0.766880489999985*(96.487*1000)</f>
        <v>73993.9978386286</v>
      </c>
      <c r="L5" s="8">
        <f>0*(96.487*1000)</f>
        <v>0</v>
      </c>
    </row>
    <row r="6" spans="1:12">
      <c r="A6" s="17" t="s">
        <v>19</v>
      </c>
      <c r="B6" s="21"/>
      <c r="C6" s="13">
        <f>1.51*(96.487*1000)</f>
        <v>145695.37</v>
      </c>
      <c r="D6" s="13">
        <f>1.11245299999998*(96.487*1000)</f>
        <v>107337.252610998</v>
      </c>
      <c r="E6" s="13">
        <f>1.16258899999998*(96.487*1000)</f>
        <v>112174.724842998</v>
      </c>
      <c r="F6" s="25">
        <f>1.178037*(96.487*1000)</f>
        <v>113665.256019</v>
      </c>
      <c r="G6" s="13">
        <f>0.51461061000001*(96.487*1000)</f>
        <v>49653.233927071</v>
      </c>
      <c r="H6" s="13">
        <f>0.477294869999989*(96.487*1000)</f>
        <v>46052.7501216889</v>
      </c>
      <c r="I6" s="13">
        <f>0.890756489999988*(96.487*1000)</f>
        <v>85946.4214506288</v>
      </c>
      <c r="J6" s="13">
        <f>0.630150209999995*(96.487*1000)</f>
        <v>60801.3033122695</v>
      </c>
      <c r="K6" s="13">
        <f>0.652133490000007*(96.487*1000)</f>
        <v>62922.4040496307</v>
      </c>
      <c r="L6" s="8">
        <f>1.51*(96.487*1000)</f>
        <v>145695.37</v>
      </c>
    </row>
    <row r="7" spans="1:12">
      <c r="A7" s="17"/>
      <c r="B7" s="22" t="s">
        <v>20</v>
      </c>
      <c r="C7" s="13"/>
      <c r="D7" s="13"/>
      <c r="E7" s="13"/>
      <c r="F7" s="25"/>
      <c r="G7" s="13"/>
      <c r="H7" s="13"/>
      <c r="I7" s="13"/>
      <c r="J7" s="13"/>
      <c r="K7" s="13"/>
      <c r="L7" s="8"/>
    </row>
    <row r="8" spans="1:15">
      <c r="A8" s="17" t="s">
        <v>21</v>
      </c>
      <c r="B8" s="23" t="s">
        <v>22</v>
      </c>
      <c r="C8" s="13">
        <f t="shared" ref="C8:L8" si="0">0*(96.487*1000)</f>
        <v>0</v>
      </c>
      <c r="D8" s="13">
        <f t="shared" si="0"/>
        <v>0</v>
      </c>
      <c r="E8" s="13">
        <f t="shared" si="0"/>
        <v>0</v>
      </c>
      <c r="F8" s="25">
        <f t="shared" si="0"/>
        <v>0</v>
      </c>
      <c r="G8" s="13">
        <f t="shared" si="0"/>
        <v>0</v>
      </c>
      <c r="H8" s="13">
        <f t="shared" si="0"/>
        <v>0</v>
      </c>
      <c r="I8" s="13">
        <f t="shared" si="0"/>
        <v>0</v>
      </c>
      <c r="J8" s="13">
        <f t="shared" si="0"/>
        <v>0</v>
      </c>
      <c r="K8" s="13">
        <f t="shared" si="0"/>
        <v>0</v>
      </c>
      <c r="L8" s="8">
        <f t="shared" si="0"/>
        <v>0</v>
      </c>
      <c r="O8" s="27"/>
    </row>
    <row r="9" spans="1:15">
      <c r="A9" s="17" t="s">
        <v>23</v>
      </c>
      <c r="B9" s="23"/>
      <c r="C9" s="24">
        <f>1.43*(96.487*1000)</f>
        <v>137976.41</v>
      </c>
      <c r="D9" s="13">
        <f>0.66204299999999*(96.487*1000)</f>
        <v>63878.542940999</v>
      </c>
      <c r="E9" s="13">
        <f>0.622801999999972*(96.487*1000)</f>
        <v>60092.2965739973</v>
      </c>
      <c r="F9" s="25">
        <f>0.440342999999981*(96.487*1000)</f>
        <v>42487.3750409982</v>
      </c>
      <c r="G9" s="13">
        <f>0.130679727455792*(96.487*1000)</f>
        <v>12608.894863027</v>
      </c>
      <c r="H9" s="13">
        <f>0.292355492979311*(96.487*1000)</f>
        <v>28208.5044510948</v>
      </c>
      <c r="I9" s="13">
        <f>0.118488499911518*(96.487*1000)</f>
        <v>11432.5998909626</v>
      </c>
      <c r="J9" s="13">
        <f>0.160476838098543*(96.487*1000)</f>
        <v>15483.9286776141</v>
      </c>
      <c r="K9" s="13">
        <f>0.111764107688572*(96.487*1000)</f>
        <v>10783.7834585472</v>
      </c>
      <c r="L9" s="8">
        <f>1.43*(96.487*1000)</f>
        <v>137976.41</v>
      </c>
      <c r="O9" s="27"/>
    </row>
    <row r="10" spans="1:15">
      <c r="A10" s="17" t="s">
        <v>24</v>
      </c>
      <c r="B10" s="23" t="s">
        <v>25</v>
      </c>
      <c r="C10" s="25">
        <f t="shared" ref="C10:L10" si="1">0*(96.487*1000)</f>
        <v>0</v>
      </c>
      <c r="D10" s="13">
        <f t="shared" si="1"/>
        <v>0</v>
      </c>
      <c r="E10" s="13">
        <f t="shared" si="1"/>
        <v>0</v>
      </c>
      <c r="F10" s="25">
        <f t="shared" si="1"/>
        <v>0</v>
      </c>
      <c r="G10" s="13">
        <f t="shared" si="1"/>
        <v>0</v>
      </c>
      <c r="H10" s="13">
        <f t="shared" si="1"/>
        <v>0</v>
      </c>
      <c r="I10" s="13">
        <f t="shared" si="1"/>
        <v>0</v>
      </c>
      <c r="J10" s="13">
        <f t="shared" si="1"/>
        <v>0</v>
      </c>
      <c r="K10" s="13">
        <f t="shared" si="1"/>
        <v>0</v>
      </c>
      <c r="L10" s="8">
        <f t="shared" si="1"/>
        <v>0</v>
      </c>
      <c r="O10" s="27"/>
    </row>
    <row r="11" spans="1:17">
      <c r="A11" s="17" t="s">
        <v>26</v>
      </c>
      <c r="B11" s="23"/>
      <c r="C11" s="13">
        <f>1.13*(96.487*1000)</f>
        <v>109030.31</v>
      </c>
      <c r="D11" s="13">
        <f>0.0773937346913085*(96.487*1000)</f>
        <v>7467.48927916028</v>
      </c>
      <c r="E11" s="13">
        <f>0.0876739243794749*(96.487*1000)</f>
        <v>8459.39394160239</v>
      </c>
      <c r="F11" s="25">
        <f>0.324775999999968*(96.487*1000)</f>
        <v>31336.6619119969</v>
      </c>
      <c r="G11" s="13">
        <f>0.0950025361610223*(96.487*1000)</f>
        <v>9166.50970656856</v>
      </c>
      <c r="H11" s="13">
        <f>0.145984780807784*(96.487*1000)</f>
        <v>14085.6335458007</v>
      </c>
      <c r="I11" s="13">
        <f>0.0814416320187421*(96.487*1000)</f>
        <v>7858.05874859237</v>
      </c>
      <c r="J11" s="13">
        <f>0.106459983298438*(96.487*1000)</f>
        <v>10272.0044085164</v>
      </c>
      <c r="K11" s="13">
        <f>0.0817560087030644*(96.487*1000)</f>
        <v>7888.39201173258</v>
      </c>
      <c r="L11" s="8">
        <f>1.13*(96.487*1000)</f>
        <v>109030.31</v>
      </c>
      <c r="O11" s="27"/>
      <c r="P11" s="1"/>
      <c r="Q11" s="1"/>
    </row>
    <row r="12" spans="1:17">
      <c r="A12" s="17" t="s">
        <v>27</v>
      </c>
      <c r="B12" s="23" t="s">
        <v>28</v>
      </c>
      <c r="C12" s="24">
        <f>1.43*(96.487*1000)</f>
        <v>137976.41</v>
      </c>
      <c r="D12" s="26">
        <f>2.59621678000002*(96.487*1000)</f>
        <v>250501.168451862</v>
      </c>
      <c r="E12" s="26">
        <f>2.56760406000003*(96.487*1000)</f>
        <v>247740.412937223</v>
      </c>
      <c r="F12" s="25">
        <f>3.27065565999997*(96.487*1000)</f>
        <v>315575.752666417</v>
      </c>
      <c r="G12" s="26">
        <f>3.08501238745579*(96.487*1000)</f>
        <v>297663.590228447</v>
      </c>
      <c r="H12" s="26">
        <f>3.79963639297928*(96.487*1000)</f>
        <v>366615.516649392</v>
      </c>
      <c r="I12" s="26">
        <f>4.20290855991152*(96.487*1000)</f>
        <v>405526.038220183</v>
      </c>
      <c r="J12" s="26">
        <f>6.39624921809854*(96.487*1000)</f>
        <v>617154.898306674</v>
      </c>
      <c r="K12" s="26">
        <f>6.76569916768857*(96.487*1000)</f>
        <v>652802.015592767</v>
      </c>
      <c r="L12" s="8">
        <f>1.43*(96.487*1000)</f>
        <v>137976.41</v>
      </c>
      <c r="O12" s="27"/>
      <c r="P12" s="1"/>
      <c r="Q12" s="1"/>
    </row>
    <row r="13" spans="1:17">
      <c r="A13" s="17" t="s">
        <v>29</v>
      </c>
      <c r="B13" s="23"/>
      <c r="C13" s="13">
        <f>3.28998100000004*(96.487*1000)</f>
        <v>317440.396747004</v>
      </c>
      <c r="D13" s="13">
        <f>2.42882277999999*(96.487*1000)</f>
        <v>234349.823573859</v>
      </c>
      <c r="E13" s="13">
        <f>2.42582505999998*(96.487*1000)</f>
        <v>234060.582564218</v>
      </c>
      <c r="F13" s="25">
        <f>2.17606566*(96.487*1000)</f>
        <v>209962.04733642</v>
      </c>
      <c r="G13" s="13">
        <f>2.14108566*(96.487*1000)</f>
        <v>206586.93207642</v>
      </c>
      <c r="H13" s="13">
        <f>1.98512590000001*(96.487*1000)</f>
        <v>191538.842713301</v>
      </c>
      <c r="I13" s="13">
        <f>1.82234306*(96.487*1000)</f>
        <v>175832.41483022</v>
      </c>
      <c r="J13" s="13">
        <f>1.21555138*(96.487*1000)</f>
        <v>117284.90600206</v>
      </c>
      <c r="K13" s="13">
        <f>1.09760806*(96.487*1000)</f>
        <v>105904.90888522</v>
      </c>
      <c r="L13" s="8">
        <f>3.28998100000004*(96.487*1000)</f>
        <v>317440.396747004</v>
      </c>
      <c r="O13" s="27"/>
      <c r="P13" s="7"/>
      <c r="Q13" s="1"/>
    </row>
    <row r="14" spans="1:17">
      <c r="A14" s="17" t="s">
        <v>30</v>
      </c>
      <c r="B14" s="23" t="s">
        <v>31</v>
      </c>
      <c r="C14" s="25">
        <f>0*(96.487*1000)</f>
        <v>0</v>
      </c>
      <c r="D14" s="26">
        <f>0.0773937346913085*(96.487*1000)</f>
        <v>7467.48927916028</v>
      </c>
      <c r="E14" s="26">
        <f>0.0876739243794749*(96.487*1000)</f>
        <v>8459.39394160239</v>
      </c>
      <c r="F14" s="25">
        <f>0.324775999999968*(96.487*1000)</f>
        <v>31336.6619119969</v>
      </c>
      <c r="G14" s="26">
        <f>1.141096146161*(96.487*1000)</f>
        <v>110100.943854636</v>
      </c>
      <c r="H14" s="26">
        <f>1.26784065080781*(96.487*1000)</f>
        <v>122330.140874493</v>
      </c>
      <c r="I14" s="26">
        <f>0.363845122018765*(96.487*1000)</f>
        <v>35106.3242882246</v>
      </c>
      <c r="J14" s="26">
        <f>0.917973193298449*(96.487*1000)</f>
        <v>88572.4795017874</v>
      </c>
      <c r="K14" s="26">
        <f>0.848636498703049*(96.487*1000)</f>
        <v>81882.3898503611</v>
      </c>
      <c r="L14" s="8">
        <f>0*(96.487*1000)</f>
        <v>0</v>
      </c>
      <c r="O14" s="27"/>
      <c r="P14" s="8"/>
      <c r="Q14" s="1"/>
    </row>
    <row r="15" spans="1:17">
      <c r="A15" s="17" t="s">
        <v>32</v>
      </c>
      <c r="B15" s="27"/>
      <c r="C15" s="28">
        <f>0.38*(96.487*1000)</f>
        <v>36665.06</v>
      </c>
      <c r="D15" s="13">
        <f>1.11245299999998*(96.487*1000)</f>
        <v>107337.252610998</v>
      </c>
      <c r="E15" s="13">
        <f>1.16258899999998*(96.487*1000)</f>
        <v>112174.724842998</v>
      </c>
      <c r="F15" s="25">
        <f>1.178037*(96.487*1000)</f>
        <v>113665.256019</v>
      </c>
      <c r="G15" s="13">
        <f>0.51461061000001*(96.487*1000)</f>
        <v>49653.233927071</v>
      </c>
      <c r="H15" s="13">
        <f>0.477294869999989*(96.487*1000)</f>
        <v>46052.7501216889</v>
      </c>
      <c r="I15" s="13">
        <f>0.890756489999988*(96.487*1000)</f>
        <v>85946.4214506288</v>
      </c>
      <c r="J15" s="13">
        <f>0.630150209999995*(96.487*1000)</f>
        <v>60801.3033122695</v>
      </c>
      <c r="K15" s="13">
        <f>0.652133490000007*(96.487*1000)</f>
        <v>62922.4040496307</v>
      </c>
      <c r="L15" s="8">
        <f>0.38*(96.487*1000)</f>
        <v>36665.06</v>
      </c>
      <c r="O15" s="27"/>
      <c r="P15" s="1"/>
      <c r="Q15" s="1"/>
    </row>
    <row r="16" spans="1:17">
      <c r="A16" s="17"/>
      <c r="B16" s="22" t="s">
        <v>33</v>
      </c>
      <c r="C16" s="13"/>
      <c r="D16" s="13"/>
      <c r="E16" s="13"/>
      <c r="F16" s="25"/>
      <c r="G16" s="13"/>
      <c r="H16" s="13"/>
      <c r="I16" s="13"/>
      <c r="J16" s="13"/>
      <c r="K16" s="13"/>
      <c r="L16" s="8"/>
      <c r="O16" s="27"/>
      <c r="P16" s="1"/>
      <c r="Q16" s="1"/>
    </row>
    <row r="17" spans="1:15">
      <c r="A17" s="17" t="s">
        <v>34</v>
      </c>
      <c r="B17" s="21" t="s">
        <v>35</v>
      </c>
      <c r="C17" s="13">
        <f>1.23771992000002*(96.487*1000)</f>
        <v>119423.881921042</v>
      </c>
      <c r="D17" s="13">
        <f>1.09628302999999*(96.487*1000)</f>
        <v>105777.060715609</v>
      </c>
      <c r="E17" s="13">
        <f>1.09406774*(96.487*1000)</f>
        <v>105563.31402938</v>
      </c>
      <c r="F17" s="25">
        <f>1.11527270000001*(96.487*1000)</f>
        <v>107609.317004901</v>
      </c>
      <c r="G17" s="13">
        <f>1.21415057*(96.487*1000)</f>
        <v>117149.74604759</v>
      </c>
      <c r="H17" s="13">
        <f>0.866997050000003*(96.487*1000)</f>
        <v>83653.9443633503</v>
      </c>
      <c r="I17" s="13">
        <f>0.911501509999995*(96.487*1000)</f>
        <v>87948.0461953695</v>
      </c>
      <c r="J17" s="13">
        <f>0.799245799999996*(96.487*1000)</f>
        <v>77116.8295045996</v>
      </c>
      <c r="K17" s="13">
        <f>0.747529099999998*(96.487*1000)</f>
        <v>72126.8402716998</v>
      </c>
      <c r="L17" s="8">
        <f>1.23771992000002*(96.487*1000)</f>
        <v>119423.881921042</v>
      </c>
      <c r="O17" s="27"/>
    </row>
    <row r="18" spans="1:12">
      <c r="A18" s="17" t="s">
        <v>36</v>
      </c>
      <c r="B18" s="21"/>
      <c r="C18" s="13">
        <f>0.724767919999913*(96.487*1000)</f>
        <v>69930.6822970316</v>
      </c>
      <c r="D18" s="13">
        <f>1.25684003000002*(96.487*1000)</f>
        <v>121268.723974612</v>
      </c>
      <c r="E18" s="13">
        <f>1.26517374000001*(96.487*1000)</f>
        <v>122072.818651381</v>
      </c>
      <c r="F18" s="25">
        <f>1.18540269999995*(96.487*1000)</f>
        <v>114375.950314895</v>
      </c>
      <c r="G18" s="13">
        <f>0.813433569999987*(96.487*1000)</f>
        <v>78485.7648685887</v>
      </c>
      <c r="H18" s="13">
        <f>2.11939204999999*(96.487*1000)</f>
        <v>204493.780728349</v>
      </c>
      <c r="I18" s="13">
        <f>1.95197051000002*(96.487*1000)</f>
        <v>188339.778598372</v>
      </c>
      <c r="J18" s="13">
        <f>2.37426580000001*(96.487*1000)</f>
        <v>229085.784244601</v>
      </c>
      <c r="K18" s="13">
        <f>2.56881910000001*(96.487*1000)</f>
        <v>247857.648501701</v>
      </c>
      <c r="L18" s="8">
        <f>0.724767919999913*(96.487*1000)</f>
        <v>69930.6822970316</v>
      </c>
    </row>
    <row r="19" spans="1:12">
      <c r="A19" s="17" t="s">
        <v>37</v>
      </c>
      <c r="B19" s="21" t="s">
        <v>38</v>
      </c>
      <c r="C19" s="13">
        <f>1.71690816000004*(96.487*1000)</f>
        <v>165659.317633924</v>
      </c>
      <c r="D19" s="13">
        <f>1.34700224*(96.487*1000)</f>
        <v>129968.20513088</v>
      </c>
      <c r="E19" s="13">
        <f>1.37875679999999*(96.487*1000)</f>
        <v>133032.107361599</v>
      </c>
      <c r="F19" s="25">
        <f>1.29177215999999*(96.487*1000)</f>
        <v>124639.220401919</v>
      </c>
      <c r="G19" s="13">
        <f>1.01744064*(96.487*1000)</f>
        <v>98169.79503168</v>
      </c>
      <c r="H19" s="13">
        <f>1.00694367999999*(96.487*1000)</f>
        <v>97156.974852159</v>
      </c>
      <c r="I19" s="13">
        <f>1.15472384*(96.487*1000)</f>
        <v>111415.83915008</v>
      </c>
      <c r="J19" s="13">
        <f>0.87997632*(96.487*1000)</f>
        <v>84906.27518784</v>
      </c>
      <c r="K19" s="13">
        <f>0.793346560000011*(96.487*1000)</f>
        <v>76547.6295347211</v>
      </c>
      <c r="L19" s="8">
        <f>1.71690816000004*(96.487*1000)</f>
        <v>165659.317633924</v>
      </c>
    </row>
    <row r="20" spans="1:12">
      <c r="A20" s="17" t="s">
        <v>39</v>
      </c>
      <c r="B20" s="21"/>
      <c r="C20" s="13">
        <f>0.195320159999919*(96.487*1000)</f>
        <v>18845.8562779122</v>
      </c>
      <c r="D20" s="13">
        <f>0.981370240000005*(96.487*1000)</f>
        <v>94689.4703468805</v>
      </c>
      <c r="E20" s="13">
        <f>0.913891800000017*(96.487*1000)</f>
        <v>88178.6781066016</v>
      </c>
      <c r="F20" s="25">
        <f>1.09873416000003*(96.487*1000)</f>
        <v>106013.562895923</v>
      </c>
      <c r="G20" s="13">
        <f>1.68168863999999*(96.487*1000)</f>
        <v>162261.091807679</v>
      </c>
      <c r="H20" s="13">
        <f>1.70399468000002*(96.487*1000)</f>
        <v>164413.334689162</v>
      </c>
      <c r="I20" s="13">
        <f>1.38996184000001*(96.487*1000)</f>
        <v>134113.248056081</v>
      </c>
      <c r="J20" s="13">
        <f>1.97380032*(96.487*1000)</f>
        <v>190446.07147584</v>
      </c>
      <c r="K20" s="13">
        <f>2.15788855999998*(96.487*1000)</f>
        <v>208208.193488718</v>
      </c>
      <c r="L20" s="8">
        <f>0.195320159999919*(96.487*1000)</f>
        <v>18845.8562779122</v>
      </c>
    </row>
    <row r="21" s="1" customFormat="1" spans="1:12">
      <c r="A21" s="29" t="s">
        <v>40</v>
      </c>
      <c r="B21" s="30" t="s">
        <v>41</v>
      </c>
      <c r="C21" s="31">
        <f>1.40801476000002*(96.487*1000)</f>
        <v>135855.120148122</v>
      </c>
      <c r="D21" s="31">
        <f>1.27773867999999*(96.487*1000)</f>
        <v>123285.172017159</v>
      </c>
      <c r="E21" s="31">
        <f>1.24667032*(96.487*1000)</f>
        <v>120287.47916584</v>
      </c>
      <c r="F21" s="25">
        <f>1.0209136*(96.487*1000)</f>
        <v>98504.8905232</v>
      </c>
      <c r="G21" s="31">
        <f>0.213593080000017*(96.487*1000)</f>
        <v>20608.9555099616</v>
      </c>
      <c r="H21" s="31">
        <f>0.741172539999979*(96.487*1000)</f>
        <v>71513.514866978</v>
      </c>
      <c r="I21" s="31">
        <f>1.02154702000001*(96.487*1000)</f>
        <v>98566.007318741</v>
      </c>
      <c r="J21" s="31">
        <f>0.466618179999994*(96.487*1000)</f>
        <v>45022.5883336594</v>
      </c>
      <c r="K21" s="31">
        <f>0.690279160000006*(96.487*1000)</f>
        <v>66602.9653109206</v>
      </c>
      <c r="L21" s="8">
        <f>1.40801476000002*(96.487*1000)</f>
        <v>135855.120148122</v>
      </c>
    </row>
    <row r="22" spans="1:12">
      <c r="A22" s="29" t="s">
        <v>42</v>
      </c>
      <c r="B22" s="27"/>
      <c r="C22" s="13">
        <f>1.04132075999998*(96.487*1000)</f>
        <v>100473.916170118</v>
      </c>
      <c r="D22" s="13">
        <f>1.15229668*(96.487*1000)</f>
        <v>111181.64976316</v>
      </c>
      <c r="E22" s="13">
        <f>1.17876232*(96.487*1000)</f>
        <v>113735.23996984</v>
      </c>
      <c r="F22" s="25">
        <f>1.3710736*(96.487*1000)</f>
        <v>132290.7784432</v>
      </c>
      <c r="G22" s="13">
        <f>2.05879107999999*(96.487*1000)</f>
        <v>198646.574935959</v>
      </c>
      <c r="H22" s="13">
        <f>1.60937154000002*(96.487*1000)</f>
        <v>155283.431779982</v>
      </c>
      <c r="I22" s="13">
        <f>1.37053401999999*(96.487*1000)</f>
        <v>132238.715987739</v>
      </c>
      <c r="J22" s="13">
        <f>1.84325118000001*(96.487*1000)</f>
        <v>177849.776604661</v>
      </c>
      <c r="K22" s="13">
        <f>1.65272515999999*(96.487*1000)</f>
        <v>159466.492512919</v>
      </c>
      <c r="L22" s="8">
        <f>1.04132075999998*(96.487*1000)</f>
        <v>100473.916170118</v>
      </c>
    </row>
    <row r="23" spans="1:12">
      <c r="A23" s="29"/>
      <c r="B23" s="32" t="s">
        <v>43</v>
      </c>
      <c r="C23" s="13"/>
      <c r="D23" s="13"/>
      <c r="E23" s="13"/>
      <c r="F23" s="25"/>
      <c r="G23" s="13"/>
      <c r="H23" s="13"/>
      <c r="I23" s="13"/>
      <c r="J23" s="13"/>
      <c r="K23" s="13"/>
      <c r="L23" s="8"/>
    </row>
    <row r="24" spans="1:12">
      <c r="A24" s="29" t="s">
        <v>44</v>
      </c>
      <c r="B24" s="27" t="s">
        <v>45</v>
      </c>
      <c r="C24" s="13">
        <f>0.956942000000041*(96.487*1000)</f>
        <v>92332.462754004</v>
      </c>
      <c r="D24" s="13">
        <f>0.933479000000002*(96.487*1000)</f>
        <v>90068.5882730002</v>
      </c>
      <c r="E24" s="13">
        <f>0.970719999999965*(96.487*1000)</f>
        <v>93661.8606399966</v>
      </c>
      <c r="F24" s="25">
        <f>1.01517599999998*(96.487*1000)</f>
        <v>97951.2867119981</v>
      </c>
      <c r="G24" s="13">
        <f>0.25287299999999*(96.487*1000)</f>
        <v>24398.957150999</v>
      </c>
      <c r="H24" s="13">
        <f>0.437718000000018*(96.487*1000)</f>
        <v>42234.0966660017</v>
      </c>
      <c r="I24" s="13">
        <f>0.754176999999967*(96.487*1000)</f>
        <v>72768.2761989968</v>
      </c>
      <c r="J24" s="13">
        <f>0.611314000000007*(96.487*1000)</f>
        <v>58983.8539180007</v>
      </c>
      <c r="K24" s="13">
        <f>0.545985999999996*(96.487*1000)</f>
        <v>52680.5511819996</v>
      </c>
      <c r="L24" s="8">
        <f>0.956942000000041*(96.487*1000)</f>
        <v>92332.462754004</v>
      </c>
    </row>
    <row r="25" spans="1:12">
      <c r="A25" s="29" t="s">
        <v>46</v>
      </c>
      <c r="B25" s="27"/>
      <c r="C25" s="13">
        <f t="shared" ref="C25:L25" si="2">0*(96.487*1000)</f>
        <v>0</v>
      </c>
      <c r="D25" s="13">
        <f t="shared" si="2"/>
        <v>0</v>
      </c>
      <c r="E25" s="13">
        <f t="shared" si="2"/>
        <v>0</v>
      </c>
      <c r="F25" s="25">
        <f t="shared" si="2"/>
        <v>0</v>
      </c>
      <c r="G25" s="13">
        <f t="shared" si="2"/>
        <v>0</v>
      </c>
      <c r="H25" s="13">
        <f t="shared" si="2"/>
        <v>0</v>
      </c>
      <c r="I25" s="13">
        <f t="shared" si="2"/>
        <v>0</v>
      </c>
      <c r="J25" s="13">
        <f t="shared" si="2"/>
        <v>0</v>
      </c>
      <c r="K25" s="13">
        <f t="shared" si="2"/>
        <v>0</v>
      </c>
      <c r="L25" s="8">
        <f t="shared" si="2"/>
        <v>0</v>
      </c>
    </row>
    <row r="26" spans="1:12">
      <c r="A26" s="29" t="s">
        <v>47</v>
      </c>
      <c r="B26" s="33" t="s">
        <v>48</v>
      </c>
      <c r="C26" s="13">
        <f>3.12144500000006*(96.487*1000)</f>
        <v>301178.863715006</v>
      </c>
      <c r="D26" s="13">
        <f>1.70460899999996*(96.487*1000)</f>
        <v>164472.608582996</v>
      </c>
      <c r="E26" s="13">
        <f>2.15864499999995*(96.487*1000)</f>
        <v>208281.180114995</v>
      </c>
      <c r="F26" s="25">
        <f>1.52706999999999*(96.487*1000)</f>
        <v>147342.403089999</v>
      </c>
      <c r="G26" s="13">
        <f>1.02081700000003*(96.487*1000)</f>
        <v>98495.5698790029</v>
      </c>
      <c r="H26" s="13">
        <f>0.957578999999996*(96.487*1000)</f>
        <v>92393.9249729996</v>
      </c>
      <c r="I26" s="13">
        <f>1.33397899999997*(96.487*1000)</f>
        <v>128711.631772997</v>
      </c>
      <c r="J26" s="13">
        <f>0.84176800000002*(96.487*1000)</f>
        <v>81219.6690160019</v>
      </c>
      <c r="K26" s="13">
        <f>0.784035999999997*(96.487*1000)</f>
        <v>75649.2815319997</v>
      </c>
      <c r="L26" s="8">
        <f>3.12144500000006*(96.487*1000)</f>
        <v>301178.863715006</v>
      </c>
    </row>
    <row r="27" spans="1:12">
      <c r="A27" s="29" t="s">
        <v>49</v>
      </c>
      <c r="B27" s="27"/>
      <c r="C27" s="13">
        <f t="shared" ref="C27:L27" si="3">(0*(96.487*1000))*(96.487*1000)</f>
        <v>0</v>
      </c>
      <c r="D27" s="13">
        <f t="shared" si="3"/>
        <v>0</v>
      </c>
      <c r="E27" s="13">
        <f t="shared" si="3"/>
        <v>0</v>
      </c>
      <c r="F27" s="25">
        <f t="shared" si="3"/>
        <v>0</v>
      </c>
      <c r="G27" s="13">
        <f t="shared" si="3"/>
        <v>0</v>
      </c>
      <c r="H27" s="13">
        <f t="shared" si="3"/>
        <v>0</v>
      </c>
      <c r="I27" s="13">
        <f t="shared" si="3"/>
        <v>0</v>
      </c>
      <c r="J27" s="13">
        <f t="shared" si="3"/>
        <v>0</v>
      </c>
      <c r="K27" s="13">
        <f t="shared" si="3"/>
        <v>0</v>
      </c>
      <c r="L27" s="8">
        <f t="shared" si="3"/>
        <v>0</v>
      </c>
    </row>
    <row r="28" spans="1:12">
      <c r="A28" s="29" t="s">
        <v>50</v>
      </c>
      <c r="B28" s="33" t="s">
        <v>51</v>
      </c>
      <c r="C28" s="13">
        <f>1.282455*(96.487*1000)</f>
        <v>123740.235585</v>
      </c>
      <c r="D28" s="13">
        <f>1.37529199999996*(96.487*1000)</f>
        <v>132697.799203996</v>
      </c>
      <c r="E28" s="13">
        <f>1.37746499999995*(96.487*1000)</f>
        <v>132907.465454995</v>
      </c>
      <c r="F28" s="25">
        <f>1.43068900000002*(96.487*1000)</f>
        <v>138042.889543002</v>
      </c>
      <c r="G28" s="13">
        <f>0.684194000000023*(96.487*1000)</f>
        <v>66015.8264780022</v>
      </c>
      <c r="H28" s="13">
        <f>0.770657000000018*(96.487*1000)</f>
        <v>74358.3819590017</v>
      </c>
      <c r="I28" s="13">
        <f>1.02308100000002*(96.487*1000)</f>
        <v>98714.0164470019</v>
      </c>
      <c r="J28" s="13">
        <f>0.937534999999986*(96.487*1000)</f>
        <v>90459.9395449986</v>
      </c>
      <c r="K28" s="13">
        <f>0.793675000000007*(96.487*1000)</f>
        <v>76579.3197250007</v>
      </c>
      <c r="L28" s="8">
        <f>1.282455*(96.487*1000)</f>
        <v>123740.235585</v>
      </c>
    </row>
    <row r="29" spans="1:12">
      <c r="A29" s="29" t="s">
        <v>52</v>
      </c>
      <c r="B29" s="27"/>
      <c r="C29" s="13">
        <f t="shared" ref="C29:L31" si="4">(0*(96.487*1000))*(96.487*1000)</f>
        <v>0</v>
      </c>
      <c r="D29" s="13">
        <f t="shared" si="4"/>
        <v>0</v>
      </c>
      <c r="E29" s="13">
        <f t="shared" si="4"/>
        <v>0</v>
      </c>
      <c r="F29" s="25">
        <f t="shared" si="4"/>
        <v>0</v>
      </c>
      <c r="G29" s="13">
        <f t="shared" si="4"/>
        <v>0</v>
      </c>
      <c r="H29" s="13">
        <f t="shared" si="4"/>
        <v>0</v>
      </c>
      <c r="I29" s="13">
        <f t="shared" si="4"/>
        <v>0</v>
      </c>
      <c r="J29" s="13">
        <f t="shared" si="4"/>
        <v>0</v>
      </c>
      <c r="K29" s="13">
        <f t="shared" si="4"/>
        <v>0</v>
      </c>
      <c r="L29" s="8">
        <f t="shared" si="4"/>
        <v>0</v>
      </c>
    </row>
    <row r="30" spans="1:12">
      <c r="A30" s="29" t="s">
        <v>53</v>
      </c>
      <c r="B30" s="27" t="s">
        <v>54</v>
      </c>
      <c r="C30" s="13">
        <f>3.05611300000006*(96.487*1000)</f>
        <v>294875.175031006</v>
      </c>
      <c r="D30" s="13">
        <f>2.14299599999998*(96.487*1000)</f>
        <v>206771.255051998</v>
      </c>
      <c r="E30" s="13">
        <f>2.10812199999998*(96.487*1000)</f>
        <v>203406.367413998</v>
      </c>
      <c r="F30" s="25">
        <f>1.75252299999998*(96.487*1000)</f>
        <v>169095.686700998</v>
      </c>
      <c r="G30" s="13">
        <f>0.728662000000025*(96.487*1000)</f>
        <v>70306.4103940024</v>
      </c>
      <c r="H30" s="13">
        <f>0.703289000000005*(96.487*1000)</f>
        <v>67858.2457430005</v>
      </c>
      <c r="I30" s="13">
        <f>0.961911999999966*(96.487*1000)</f>
        <v>92812.0031439967</v>
      </c>
      <c r="J30" s="13">
        <f>0.383464000000021*(96.487*1000)</f>
        <v>36999.290968002</v>
      </c>
      <c r="K30" s="13">
        <f>0.418270000000014*(96.487*1000)</f>
        <v>40357.6174900014</v>
      </c>
      <c r="L30" s="8">
        <f>3.05611300000006*(96.487*1000)</f>
        <v>294875.175031006</v>
      </c>
    </row>
    <row r="31" spans="1:12">
      <c r="A31" s="29" t="s">
        <v>55</v>
      </c>
      <c r="B31" s="27"/>
      <c r="C31" s="13">
        <f t="shared" si="4"/>
        <v>0</v>
      </c>
      <c r="D31" s="13">
        <f t="shared" si="4"/>
        <v>0</v>
      </c>
      <c r="E31" s="13">
        <f t="shared" si="4"/>
        <v>0</v>
      </c>
      <c r="F31" s="25">
        <f t="shared" si="4"/>
        <v>0</v>
      </c>
      <c r="G31" s="13">
        <f t="shared" si="4"/>
        <v>0</v>
      </c>
      <c r="H31" s="13">
        <f t="shared" si="4"/>
        <v>0</v>
      </c>
      <c r="I31" s="13">
        <f t="shared" si="4"/>
        <v>0</v>
      </c>
      <c r="J31" s="13">
        <f t="shared" si="4"/>
        <v>0</v>
      </c>
      <c r="K31" s="13">
        <f t="shared" si="4"/>
        <v>0</v>
      </c>
      <c r="L31" s="8">
        <f t="shared" si="4"/>
        <v>0</v>
      </c>
    </row>
    <row r="32" spans="1:12">
      <c r="A32" s="17"/>
      <c r="B32" s="22" t="s">
        <v>56</v>
      </c>
      <c r="C32" s="13"/>
      <c r="D32" s="13"/>
      <c r="E32" s="13"/>
      <c r="F32" s="25"/>
      <c r="G32" s="13"/>
      <c r="H32" s="13"/>
      <c r="I32" s="13"/>
      <c r="J32" s="13"/>
      <c r="K32" s="13"/>
      <c r="L32" s="8"/>
    </row>
    <row r="33" spans="1:12">
      <c r="A33" s="17" t="s">
        <v>57</v>
      </c>
      <c r="B33" s="21" t="s">
        <v>58</v>
      </c>
      <c r="C33" s="13">
        <f t="shared" ref="C33:L33" si="5">0*(96.487*1000)</f>
        <v>0</v>
      </c>
      <c r="D33" s="13">
        <f t="shared" si="5"/>
        <v>0</v>
      </c>
      <c r="E33" s="13">
        <f t="shared" si="5"/>
        <v>0</v>
      </c>
      <c r="F33" s="25">
        <f t="shared" si="5"/>
        <v>0</v>
      </c>
      <c r="G33" s="13">
        <f t="shared" si="5"/>
        <v>0</v>
      </c>
      <c r="H33" s="13">
        <f t="shared" si="5"/>
        <v>0</v>
      </c>
      <c r="I33" s="13">
        <f t="shared" si="5"/>
        <v>0</v>
      </c>
      <c r="J33" s="13">
        <f t="shared" si="5"/>
        <v>0</v>
      </c>
      <c r="K33" s="13">
        <f t="shared" si="5"/>
        <v>0</v>
      </c>
      <c r="L33" s="8">
        <f t="shared" si="5"/>
        <v>0</v>
      </c>
    </row>
    <row r="34" spans="1:12">
      <c r="A34" s="17" t="s">
        <v>59</v>
      </c>
      <c r="B34" s="21"/>
      <c r="C34" s="13">
        <f>6.85537400000007*(96.487*1000)</f>
        <v>661454.471138007</v>
      </c>
      <c r="D34" s="13">
        <f>5.36219599999998*(96.487*1000)</f>
        <v>517382.205451998</v>
      </c>
      <c r="E34" s="13">
        <f>5.35538299999996*(96.487*1000)</f>
        <v>516724.839520996</v>
      </c>
      <c r="F34" s="25">
        <f>4.78774800000001*(96.487*1000)</f>
        <v>461955.441276001</v>
      </c>
      <c r="G34" s="13">
        <f>4.708248*(96.487*1000)</f>
        <v>454284.724776</v>
      </c>
      <c r="H34" s="13">
        <f>4.35379400000002*(96.487*1000)</f>
        <v>420084.521678002</v>
      </c>
      <c r="I34" s="13">
        <f>3.983833*(96.487*1000)</f>
        <v>384388.094671</v>
      </c>
      <c r="J34" s="13">
        <f>2.604761*(96.487*1000)</f>
        <v>251325.574607</v>
      </c>
      <c r="K34" s="13">
        <f>2.336708*(96.487*1000)</f>
        <v>225461.944796</v>
      </c>
      <c r="L34" s="8">
        <f>6.85537400000007*(96.487*1000)</f>
        <v>661454.471138007</v>
      </c>
    </row>
    <row r="35" spans="1:12">
      <c r="A35" s="17" t="s">
        <v>60</v>
      </c>
      <c r="B35" s="21" t="s">
        <v>61</v>
      </c>
      <c r="C35" s="13">
        <f t="shared" ref="C35:L35" si="6">0*(96.487*1000)</f>
        <v>0</v>
      </c>
      <c r="D35" s="13">
        <f t="shared" si="6"/>
        <v>0</v>
      </c>
      <c r="E35" s="13">
        <f t="shared" si="6"/>
        <v>0</v>
      </c>
      <c r="F35" s="25">
        <f t="shared" si="6"/>
        <v>0</v>
      </c>
      <c r="G35" s="13">
        <f t="shared" si="6"/>
        <v>0</v>
      </c>
      <c r="H35" s="13">
        <f t="shared" si="6"/>
        <v>0</v>
      </c>
      <c r="I35" s="13">
        <f t="shared" si="6"/>
        <v>0</v>
      </c>
      <c r="J35" s="13">
        <f t="shared" si="6"/>
        <v>0</v>
      </c>
      <c r="K35" s="13">
        <f t="shared" si="6"/>
        <v>0</v>
      </c>
      <c r="L35" s="8">
        <f t="shared" si="6"/>
        <v>0</v>
      </c>
    </row>
    <row r="36" spans="1:12">
      <c r="A36" s="17" t="s">
        <v>62</v>
      </c>
      <c r="B36" s="21"/>
      <c r="C36" s="13">
        <f>2.88221800000008*(96.487*1000)</f>
        <v>278096.568166008</v>
      </c>
      <c r="D36" s="13">
        <f>2.68188399999999*(96.487*1000)</f>
        <v>258766.941507999</v>
      </c>
      <c r="E36" s="13">
        <f>2.70695199999999*(96.487*1000)</f>
        <v>261185.677623999</v>
      </c>
      <c r="F36" s="25">
        <f>2.714676*(96.487*1000)</f>
        <v>261930.943212</v>
      </c>
      <c r="G36" s="13">
        <f>1.85991600000001*(96.487*1000)</f>
        <v>179457.715092001</v>
      </c>
      <c r="H36" s="13">
        <f>1.80337699999998*(96.487*1000)</f>
        <v>174002.436598998</v>
      </c>
      <c r="I36" s="13">
        <f>2.42983399999998*(96.487*1000)</f>
        <v>234447.393157998</v>
      </c>
      <c r="J36" s="13">
        <f>2.03497599999999*(96.487*1000)</f>
        <v>196348.729311999</v>
      </c>
      <c r="K36" s="13">
        <f>2.06828400000001*(96.487*1000)</f>
        <v>199562.518308001</v>
      </c>
      <c r="L36" s="8">
        <f>2.88221800000008*(96.487*1000)</f>
        <v>278096.568166008</v>
      </c>
    </row>
    <row r="37" spans="1:12">
      <c r="A37" s="17" t="s">
        <v>63</v>
      </c>
      <c r="B37" s="21" t="s">
        <v>64</v>
      </c>
      <c r="C37" s="13">
        <f t="shared" ref="C37:L37" si="7">0*(96.487*1000)</f>
        <v>0</v>
      </c>
      <c r="D37" s="13">
        <f t="shared" si="7"/>
        <v>0</v>
      </c>
      <c r="E37" s="13">
        <f t="shared" si="7"/>
        <v>0</v>
      </c>
      <c r="F37" s="25">
        <f t="shared" si="7"/>
        <v>0</v>
      </c>
      <c r="G37" s="13">
        <f t="shared" si="7"/>
        <v>0</v>
      </c>
      <c r="H37" s="13">
        <f t="shared" si="7"/>
        <v>0</v>
      </c>
      <c r="I37" s="13">
        <f t="shared" si="7"/>
        <v>0</v>
      </c>
      <c r="J37" s="13">
        <f t="shared" si="7"/>
        <v>0</v>
      </c>
      <c r="K37" s="13">
        <f t="shared" si="7"/>
        <v>0</v>
      </c>
      <c r="L37" s="8">
        <f t="shared" si="7"/>
        <v>0</v>
      </c>
    </row>
    <row r="38" spans="1:12">
      <c r="A38" s="17" t="s">
        <v>65</v>
      </c>
      <c r="B38" s="21"/>
      <c r="C38" s="13">
        <f>5.56164000000004*(96.487*1000)</f>
        <v>536625.958680004</v>
      </c>
      <c r="D38" s="13">
        <f>4.541637*(96.487*1000)</f>
        <v>438208.929219</v>
      </c>
      <c r="E38" s="13">
        <f>4.57044099999997*(96.487*1000)</f>
        <v>440988.140766997</v>
      </c>
      <c r="F38" s="25">
        <f>3.90955399999994*(96.487*1000)</f>
        <v>377221.136797994</v>
      </c>
      <c r="G38" s="13">
        <f>2.504447*(96.487*1000)</f>
        <v>241646.577689</v>
      </c>
      <c r="H38" s="13">
        <f>3.74656599999999*(96.487*1000)</f>
        <v>361494.913641999</v>
      </c>
      <c r="I38" s="13">
        <f>3.791136*(96.487*1000)</f>
        <v>365795.339232</v>
      </c>
      <c r="J38" s="13">
        <f>2.55175700000001*(96.487*1000)</f>
        <v>246211.377659001</v>
      </c>
      <c r="K38" s="13">
        <f>2.56328200000002*(96.487*1000)</f>
        <v>247323.390334002</v>
      </c>
      <c r="L38" s="8">
        <f>5.56164000000004*(96.487*1000)</f>
        <v>536625.958680004</v>
      </c>
    </row>
    <row r="39" spans="1:12">
      <c r="A39" s="17" t="s">
        <v>66</v>
      </c>
      <c r="B39" s="33" t="s">
        <v>67</v>
      </c>
      <c r="C39" s="13"/>
      <c r="D39" s="13"/>
      <c r="E39" s="13"/>
      <c r="F39" s="25"/>
      <c r="G39" s="13"/>
      <c r="H39" s="13"/>
      <c r="I39" s="13"/>
      <c r="J39" s="13"/>
      <c r="K39" s="13"/>
      <c r="L39" s="8"/>
    </row>
    <row r="40" spans="1:12">
      <c r="A40" s="17" t="s">
        <v>68</v>
      </c>
      <c r="B40" s="33"/>
      <c r="C40" s="13"/>
      <c r="D40" s="13"/>
      <c r="E40" s="13"/>
      <c r="F40" s="25"/>
      <c r="G40" s="13"/>
      <c r="H40" s="13"/>
      <c r="I40" s="13"/>
      <c r="J40" s="13"/>
      <c r="K40" s="13"/>
      <c r="L40" s="8"/>
    </row>
    <row r="41" spans="1:12">
      <c r="A41" s="17" t="s">
        <v>69</v>
      </c>
      <c r="B41" s="33" t="s">
        <v>70</v>
      </c>
      <c r="C41" s="13"/>
      <c r="D41" s="13"/>
      <c r="E41" s="13"/>
      <c r="F41" s="25"/>
      <c r="G41" s="13"/>
      <c r="H41" s="13"/>
      <c r="I41" s="13"/>
      <c r="J41" s="13"/>
      <c r="K41" s="13"/>
      <c r="L41" s="8"/>
    </row>
    <row r="42" spans="1:12">
      <c r="A42" s="17" t="s">
        <v>71</v>
      </c>
      <c r="C42" s="13"/>
      <c r="D42" s="13"/>
      <c r="E42" s="13"/>
      <c r="F42" s="25"/>
      <c r="G42" s="13"/>
      <c r="H42" s="13"/>
      <c r="I42" s="13"/>
      <c r="J42" s="13"/>
      <c r="K42" s="13"/>
      <c r="L42" s="8"/>
    </row>
    <row r="43" spans="1:12">
      <c r="A43" s="17"/>
      <c r="B43" s="17" t="s">
        <v>72</v>
      </c>
      <c r="C43" s="13"/>
      <c r="D43" s="13"/>
      <c r="E43" s="13"/>
      <c r="F43" s="25"/>
      <c r="G43" s="13"/>
      <c r="H43" s="13"/>
      <c r="I43" s="13"/>
      <c r="J43" s="13"/>
      <c r="K43" s="13"/>
      <c r="L43" s="8"/>
    </row>
    <row r="44" ht="14.8" spans="1:21">
      <c r="A44" s="34" t="s">
        <v>73</v>
      </c>
      <c r="B44" s="35" t="s">
        <v>74</v>
      </c>
      <c r="C44" s="13">
        <f>1.97*(96.487*1000)</f>
        <v>190079.39</v>
      </c>
      <c r="D44" s="13">
        <f>1.408298*(96.487*1000)</f>
        <v>135882.449126</v>
      </c>
      <c r="E44" s="13">
        <f>1.310897*(96.487*1000)</f>
        <v>126484.518839</v>
      </c>
      <c r="F44" s="8">
        <f>0.532002*(96.487*1000)</f>
        <v>51331.276974</v>
      </c>
      <c r="G44" s="13">
        <f>0.17979*(96.487*1000)</f>
        <v>17347.39773</v>
      </c>
      <c r="H44" s="13">
        <f>0.202518000000029*(96.487*1000)</f>
        <v>19540.3542660028</v>
      </c>
      <c r="I44" s="13">
        <f>0.836894*(96.487*1000)</f>
        <v>80749.391378</v>
      </c>
      <c r="J44" s="13">
        <f>0.201788*(96.487*1000)</f>
        <v>19469.918756</v>
      </c>
      <c r="K44" s="13">
        <f>0.356259*(96.487*1000)</f>
        <v>34374.362133</v>
      </c>
      <c r="L44" s="8">
        <f>1.97*(96.487*1000)</f>
        <v>190079.39</v>
      </c>
      <c r="M44" s="13"/>
      <c r="N44" s="13"/>
      <c r="O44" s="13"/>
      <c r="P44" s="13"/>
      <c r="Q44" s="13"/>
      <c r="R44" s="13"/>
      <c r="S44" s="13"/>
      <c r="T44" s="13"/>
      <c r="U44" s="13"/>
    </row>
    <row r="45" spans="1:21">
      <c r="A45" s="34" t="s">
        <v>75</v>
      </c>
      <c r="B45" s="36"/>
      <c r="C45" s="13">
        <f>0.36*(96.487*1000)</f>
        <v>34735.32</v>
      </c>
      <c r="D45" s="13">
        <f>0.463882*(96.487*1000)</f>
        <v>44758.582534</v>
      </c>
      <c r="E45" s="13">
        <f>0.66013*(96.487*1000)</f>
        <v>63693.96331</v>
      </c>
      <c r="F45" s="8">
        <f>0.312176*(96.487*1000)</f>
        <v>30120.925712</v>
      </c>
      <c r="G45" s="13">
        <f>0.327489*(96.487*1000)</f>
        <v>31598.431143</v>
      </c>
      <c r="H45" s="13">
        <f>0.333605000000029*(96.487*1000)</f>
        <v>32188.5456350028</v>
      </c>
      <c r="I45" s="13">
        <f>0.419211*(96.487*1000)</f>
        <v>40448.411757</v>
      </c>
      <c r="J45" s="13">
        <f>0.142229*(96.487*1000)</f>
        <v>13723.249523</v>
      </c>
      <c r="K45" s="13">
        <f>0.38876*(96.487*1000)</f>
        <v>37510.28612</v>
      </c>
      <c r="L45" s="8">
        <f>0.36*(96.487*1000)</f>
        <v>34735.32</v>
      </c>
      <c r="M45" s="13"/>
      <c r="N45" s="13"/>
      <c r="O45" s="13"/>
      <c r="P45" s="13"/>
      <c r="Q45" s="13"/>
      <c r="R45" s="13"/>
      <c r="S45" s="13"/>
      <c r="T45" s="13"/>
      <c r="U45" s="13"/>
    </row>
    <row r="46" ht="14.8" spans="1:21">
      <c r="A46" s="34" t="s">
        <v>76</v>
      </c>
      <c r="B46" s="35" t="s">
        <v>77</v>
      </c>
      <c r="C46" s="13">
        <f>1*(96.487*1000)</f>
        <v>96487</v>
      </c>
      <c r="D46" s="13">
        <f>1.028088*(96.487*1000)</f>
        <v>99197.126856</v>
      </c>
      <c r="E46" s="13">
        <f>0.823449*(96.487*1000)</f>
        <v>79452.123663</v>
      </c>
      <c r="F46" s="8">
        <f>0.277742*(96.487*1000)</f>
        <v>26798.492354</v>
      </c>
      <c r="G46" s="13">
        <f>0.111809478166227*(96.487*1000)</f>
        <v>10788.1611198247</v>
      </c>
      <c r="H46" s="13">
        <f>0.338081*(96.487*1000)</f>
        <v>32620.421447</v>
      </c>
      <c r="I46" s="13">
        <f>0.640837*(96.487*1000)</f>
        <v>61832.439619</v>
      </c>
      <c r="J46" s="13">
        <f>0.671532999999988*(96.487*1000)</f>
        <v>64794.2045709988</v>
      </c>
      <c r="K46" s="13">
        <f>0.374162*(96.487*1000)</f>
        <v>36101.768894</v>
      </c>
      <c r="L46" s="8">
        <f>1*(96.487*1000)</f>
        <v>96487</v>
      </c>
      <c r="M46" s="13"/>
      <c r="N46" s="13"/>
      <c r="O46" s="13"/>
      <c r="P46" s="13"/>
      <c r="Q46" s="13"/>
      <c r="R46" s="13"/>
      <c r="S46" s="13"/>
      <c r="T46" s="13"/>
      <c r="U46" s="13"/>
    </row>
    <row r="47" spans="1:21">
      <c r="A47" s="34" t="s">
        <v>78</v>
      </c>
      <c r="B47" s="36"/>
      <c r="C47" s="13">
        <f>0.09*(96.487*1000)</f>
        <v>8683.83</v>
      </c>
      <c r="D47" s="13">
        <f>0.182072*(96.487*1000)</f>
        <v>17567.581064</v>
      </c>
      <c r="E47" s="13">
        <f>0.213917*(96.487*1000)</f>
        <v>20640.209579</v>
      </c>
      <c r="F47" s="25">
        <v>0</v>
      </c>
      <c r="G47" s="13">
        <f>0.120364478166227*(96.487*1000)</f>
        <v>11613.6074048247</v>
      </c>
      <c r="H47" s="13">
        <f>0.216634*(96.487*1000)</f>
        <v>20902.364758</v>
      </c>
      <c r="I47" s="13">
        <f>0.0496409999999999*(96.487*1000)</f>
        <v>4789.71116699999</v>
      </c>
      <c r="J47" s="13">
        <f>0.0348039999999883*(96.487*1000)</f>
        <v>3358.13354799887</v>
      </c>
      <c r="K47" s="25">
        <v>0</v>
      </c>
      <c r="L47" s="8">
        <f>0.09*(96.487*1000)</f>
        <v>8683.83</v>
      </c>
      <c r="M47" s="13"/>
      <c r="N47" s="13"/>
      <c r="O47" s="13"/>
      <c r="P47" s="25"/>
      <c r="Q47" s="13"/>
      <c r="R47" s="13"/>
      <c r="S47" s="13"/>
      <c r="T47" s="13"/>
      <c r="U47" s="25"/>
    </row>
    <row r="48" spans="1:16">
      <c r="A48" s="34"/>
      <c r="B48" s="22" t="s">
        <v>79</v>
      </c>
      <c r="C48" s="13"/>
      <c r="D48" s="13"/>
      <c r="E48" s="13"/>
      <c r="F48" s="25"/>
      <c r="G48" s="13"/>
      <c r="H48" s="13"/>
      <c r="I48" s="13"/>
      <c r="J48" s="13"/>
      <c r="K48" s="13"/>
      <c r="L48" s="8"/>
      <c r="N48" s="1"/>
      <c r="O48" s="1"/>
      <c r="P48" s="1"/>
    </row>
    <row r="49" spans="1:16">
      <c r="A49" s="34" t="s">
        <v>80</v>
      </c>
      <c r="B49" s="23" t="s">
        <v>81</v>
      </c>
      <c r="C49" s="13">
        <f t="shared" ref="C49:L49" si="8">0*(96.487*1000)</f>
        <v>0</v>
      </c>
      <c r="D49" s="13">
        <f t="shared" si="8"/>
        <v>0</v>
      </c>
      <c r="E49" s="13">
        <f t="shared" si="8"/>
        <v>0</v>
      </c>
      <c r="F49" s="25">
        <f t="shared" si="8"/>
        <v>0</v>
      </c>
      <c r="G49" s="13">
        <f t="shared" si="8"/>
        <v>0</v>
      </c>
      <c r="H49" s="13">
        <f t="shared" si="8"/>
        <v>0</v>
      </c>
      <c r="I49" s="13">
        <f t="shared" si="8"/>
        <v>0</v>
      </c>
      <c r="J49" s="13">
        <f t="shared" si="8"/>
        <v>0</v>
      </c>
      <c r="K49" s="13">
        <f t="shared" si="8"/>
        <v>0</v>
      </c>
      <c r="L49" s="8">
        <f t="shared" si="8"/>
        <v>0</v>
      </c>
      <c r="M49" s="13"/>
      <c r="N49" s="1"/>
      <c r="O49" s="1"/>
      <c r="P49" s="1"/>
    </row>
    <row r="50" spans="1:16">
      <c r="A50" s="34" t="s">
        <v>82</v>
      </c>
      <c r="B50" s="23"/>
      <c r="C50" s="13">
        <f>6.34242199999996*(96.487*1000)</f>
        <v>611961.271513996</v>
      </c>
      <c r="D50" s="13">
        <f>5.52275300000001*(96.487*1000)</f>
        <v>532873.868711001</v>
      </c>
      <c r="E50" s="13">
        <f>5.52648899999997*(96.487*1000)</f>
        <v>533234.344142997</v>
      </c>
      <c r="F50" s="25">
        <f>4.85787799999994*(96.487*1000)</f>
        <v>468722.074585994</v>
      </c>
      <c r="G50" s="13">
        <f>4.30753099999999*(96.487*1000)</f>
        <v>415620.743596999</v>
      </c>
      <c r="H50" s="13">
        <f>5.60618900000001*(96.487*1000)</f>
        <v>540924.358043001</v>
      </c>
      <c r="I50" s="13">
        <f>5.02430200000002*(96.487*1000)</f>
        <v>484779.827074002</v>
      </c>
      <c r="J50" s="13">
        <f>4.17978100000002*(96.487*1000)</f>
        <v>403294.529347002</v>
      </c>
      <c r="K50" s="13">
        <f>4.15799800000001*(96.487*1000)</f>
        <v>401192.753026001</v>
      </c>
      <c r="L50" s="8">
        <f>6.34242199999996*(96.487*1000)</f>
        <v>611961.271513996</v>
      </c>
      <c r="M50" s="13"/>
      <c r="N50" s="1"/>
      <c r="O50" s="1"/>
      <c r="P50" s="1"/>
    </row>
    <row r="51" spans="1:16">
      <c r="A51" s="34" t="s">
        <v>83</v>
      </c>
      <c r="B51" s="23" t="s">
        <v>84</v>
      </c>
      <c r="C51" s="13">
        <f t="shared" ref="C51:L51" si="9">0*(96.487*1000)</f>
        <v>0</v>
      </c>
      <c r="D51" s="13">
        <f t="shared" si="9"/>
        <v>0</v>
      </c>
      <c r="E51" s="13">
        <f t="shared" si="9"/>
        <v>0</v>
      </c>
      <c r="F51" s="25">
        <f t="shared" si="9"/>
        <v>0</v>
      </c>
      <c r="G51" s="13">
        <f t="shared" si="9"/>
        <v>0</v>
      </c>
      <c r="H51" s="13">
        <f t="shared" si="9"/>
        <v>0</v>
      </c>
      <c r="I51" s="13">
        <f t="shared" si="9"/>
        <v>0</v>
      </c>
      <c r="J51" s="13">
        <f t="shared" si="9"/>
        <v>0</v>
      </c>
      <c r="K51" s="13">
        <f t="shared" si="9"/>
        <v>0</v>
      </c>
      <c r="L51" s="8">
        <f t="shared" si="9"/>
        <v>0</v>
      </c>
      <c r="M51" s="13"/>
      <c r="N51" s="1"/>
      <c r="O51" s="1"/>
      <c r="P51" s="1"/>
    </row>
    <row r="52" spans="1:16">
      <c r="A52" s="34" t="s">
        <v>85</v>
      </c>
      <c r="B52" s="23"/>
      <c r="C52" s="13">
        <f>2.36926599999997*(96.487*1000)</f>
        <v>228603.368541997</v>
      </c>
      <c r="D52" s="13">
        <f>2.84244100000002*(96.487*1000)</f>
        <v>274258.604767002</v>
      </c>
      <c r="E52" s="13">
        <f>2.878058*(96.487*1000)</f>
        <v>277695.182246</v>
      </c>
      <c r="F52" s="25">
        <f>2.78480599999993*(96.487*1000)</f>
        <v>268697.576521993</v>
      </c>
      <c r="G52" s="13">
        <f>1.459199*(96.487*1000)</f>
        <v>140793.733913</v>
      </c>
      <c r="H52" s="13">
        <f>3.05577199999997*(96.487*1000)</f>
        <v>294842.272963997</v>
      </c>
      <c r="I52" s="13">
        <f>3.47030300000001*(96.487*1000)</f>
        <v>334839.125561001</v>
      </c>
      <c r="J52" s="13">
        <f>3.60999600000001*(96.487*1000)</f>
        <v>348317.684052001</v>
      </c>
      <c r="K52" s="13">
        <f>3.88957400000002*(96.487*1000)</f>
        <v>375293.326538002</v>
      </c>
      <c r="L52" s="8">
        <f>2.36926599999997*(96.487*1000)</f>
        <v>228603.368541997</v>
      </c>
      <c r="M52" s="13"/>
      <c r="N52" s="1"/>
      <c r="O52" s="1"/>
      <c r="P52" s="1"/>
    </row>
    <row r="53" spans="1:13">
      <c r="A53" s="34" t="s">
        <v>86</v>
      </c>
      <c r="B53" s="23" t="s">
        <v>87</v>
      </c>
      <c r="C53" s="13">
        <f t="shared" ref="C53:L53" si="10">0*(96.487*1000)</f>
        <v>0</v>
      </c>
      <c r="D53" s="13">
        <f t="shared" si="10"/>
        <v>0</v>
      </c>
      <c r="E53" s="13">
        <f t="shared" si="10"/>
        <v>0</v>
      </c>
      <c r="F53" s="25">
        <f t="shared" si="10"/>
        <v>0</v>
      </c>
      <c r="G53" s="13">
        <f t="shared" si="10"/>
        <v>0</v>
      </c>
      <c r="H53" s="13">
        <f t="shared" si="10"/>
        <v>0</v>
      </c>
      <c r="I53" s="13">
        <f t="shared" si="10"/>
        <v>0</v>
      </c>
      <c r="J53" s="13">
        <f t="shared" si="10"/>
        <v>0</v>
      </c>
      <c r="K53" s="13">
        <f t="shared" si="10"/>
        <v>0</v>
      </c>
      <c r="L53" s="8">
        <f t="shared" si="10"/>
        <v>0</v>
      </c>
      <c r="M53" s="13"/>
    </row>
    <row r="54" spans="1:13">
      <c r="A54" s="34" t="s">
        <v>88</v>
      </c>
      <c r="B54" s="23"/>
      <c r="C54" s="13">
        <f>1.36062999999996*(96.487*1000)</f>
        <v>131283.106809996</v>
      </c>
      <c r="D54" s="13">
        <f>2.316252*(96.487*1000)</f>
        <v>223488.206724</v>
      </c>
      <c r="E54" s="13">
        <f>2.24208700000002*(96.487*1000)</f>
        <v>216332.248369002</v>
      </c>
      <c r="F54" s="25">
        <f>2.52163800000004*(96.487*1000)</f>
        <v>243305.285706004</v>
      </c>
      <c r="G54" s="13">
        <f>2.52416400000001*(96.487*1000)</f>
        <v>243549.011868001</v>
      </c>
      <c r="H54" s="13">
        <f>2.50042800000001*(96.487*1000)</f>
        <v>241258.796436001</v>
      </c>
      <c r="I54" s="13">
        <f>2.66507199999999*(96.487*1000)</f>
        <v>257144.802063999</v>
      </c>
      <c r="J54" s="13">
        <f>3.12879999999999*(96.487*1000)</f>
        <v>301888.525599999</v>
      </c>
      <c r="K54" s="13">
        <f>3.43282599999998*(96.487*1000)</f>
        <v>331223.082261998</v>
      </c>
      <c r="L54" s="8">
        <f>1.36062999999996*(96.487*1000)</f>
        <v>131283.106809996</v>
      </c>
      <c r="M54" s="13"/>
    </row>
    <row r="55" s="1" customFormat="1" spans="1:13">
      <c r="A55" s="29" t="s">
        <v>89</v>
      </c>
      <c r="B55" s="37" t="s">
        <v>90</v>
      </c>
      <c r="C55" s="38">
        <f t="shared" ref="C55:L55" si="11">0*(96.487*1000)</f>
        <v>0</v>
      </c>
      <c r="D55" s="38">
        <f t="shared" si="11"/>
        <v>0</v>
      </c>
      <c r="E55" s="38">
        <f t="shared" si="11"/>
        <v>0</v>
      </c>
      <c r="F55" s="25">
        <f t="shared" si="11"/>
        <v>0</v>
      </c>
      <c r="G55" s="38">
        <f t="shared" si="11"/>
        <v>0</v>
      </c>
      <c r="H55" s="38">
        <f t="shared" si="11"/>
        <v>0</v>
      </c>
      <c r="I55" s="38">
        <f t="shared" si="11"/>
        <v>0</v>
      </c>
      <c r="J55" s="38">
        <f t="shared" si="11"/>
        <v>0</v>
      </c>
      <c r="K55" s="38">
        <f t="shared" si="11"/>
        <v>0</v>
      </c>
      <c r="L55" s="8">
        <f t="shared" si="11"/>
        <v>0</v>
      </c>
      <c r="M55" s="38"/>
    </row>
    <row r="56" spans="1:13">
      <c r="A56" s="34" t="s">
        <v>91</v>
      </c>
      <c r="B56" s="23"/>
      <c r="C56" s="13">
        <f>2.51552400000004*(96.487*1000)</f>
        <v>242715.364188004</v>
      </c>
      <c r="D56" s="13">
        <f>2.556442*(96.487*1000)</f>
        <v>246663.419254</v>
      </c>
      <c r="E56" s="13">
        <f>2.63904399999998*(96.487*1000)</f>
        <v>254633.438427998</v>
      </c>
      <c r="F56" s="25">
        <f>3.064836*(96.487*1000)</f>
        <v>295716.831132</v>
      </c>
      <c r="G56" s="13">
        <f>3.70511399999998*(96.487*1000)</f>
        <v>357495.334517998</v>
      </c>
      <c r="H56" s="13">
        <f>2.67157600000002*(96.487*1000)</f>
        <v>257772.353512002</v>
      </c>
      <c r="I56" s="13">
        <f>2.77882099999997*(96.487*1000)</f>
        <v>268120.101826997</v>
      </c>
      <c r="J56" s="13">
        <f>3.411609*(96.487*1000)</f>
        <v>329175.917583</v>
      </c>
      <c r="K56" s="13">
        <f>3.03073*(96.487*1000)</f>
        <v>292426.04551</v>
      </c>
      <c r="L56" s="8">
        <f>2.51552400000004*(96.487*1000)</f>
        <v>242715.364188004</v>
      </c>
      <c r="M56" s="13"/>
    </row>
    <row r="57" spans="1:13">
      <c r="A57" s="34" t="s">
        <v>92</v>
      </c>
      <c r="B57" s="39" t="s">
        <v>93</v>
      </c>
      <c r="C57" s="13">
        <f t="shared" ref="C57:L57" si="12">0*(96.487*1000)</f>
        <v>0</v>
      </c>
      <c r="D57" s="13">
        <f t="shared" si="12"/>
        <v>0</v>
      </c>
      <c r="E57" s="13">
        <f t="shared" si="12"/>
        <v>0</v>
      </c>
      <c r="F57" s="25">
        <f t="shared" si="12"/>
        <v>0</v>
      </c>
      <c r="G57" s="13">
        <f t="shared" si="12"/>
        <v>0</v>
      </c>
      <c r="H57" s="13">
        <f t="shared" si="12"/>
        <v>0</v>
      </c>
      <c r="I57" s="13">
        <f t="shared" si="12"/>
        <v>0</v>
      </c>
      <c r="J57" s="13">
        <f t="shared" si="12"/>
        <v>0</v>
      </c>
      <c r="K57" s="13">
        <f t="shared" si="12"/>
        <v>0</v>
      </c>
      <c r="L57" s="8">
        <f t="shared" si="12"/>
        <v>0</v>
      </c>
      <c r="M57" s="13"/>
    </row>
    <row r="58" spans="1:13">
      <c r="A58" s="34" t="s">
        <v>94</v>
      </c>
      <c r="B58" s="23"/>
      <c r="C58" s="13">
        <f>4.81176699999999*(96.487*1000)</f>
        <v>464272.962528999</v>
      </c>
      <c r="D58" s="13">
        <f>5.52959000000001*(96.487*1000)</f>
        <v>533533.550330001</v>
      </c>
      <c r="E58" s="13">
        <f>5.49716200000001*(96.487*1000)</f>
        <v>530404.669894001</v>
      </c>
      <c r="F58" s="25">
        <f>5.88233799999997*(96.487*1000)</f>
        <v>567569.146605997</v>
      </c>
      <c r="G58" s="13">
        <f>5.65217472745579*(96.487*1000)</f>
        <v>545361.382928027</v>
      </c>
      <c r="H58" s="13">
        <f>6.16830449297929*(96.487*1000)</f>
        <v>595161.195614093</v>
      </c>
      <c r="I58" s="13">
        <f>6.36439849991152*(96.487*1000)</f>
        <v>614081.718060963</v>
      </c>
      <c r="J58" s="13">
        <f>7.78545883809854*(96.487*1000)</f>
        <v>751195.566911614</v>
      </c>
      <c r="K58" s="13">
        <f>8.00479910768857*(96.487*1000)</f>
        <v>772359.051503547</v>
      </c>
      <c r="L58" s="8">
        <f>4.81176699999999*(96.487*1000)</f>
        <v>464272.962528999</v>
      </c>
      <c r="M58" s="13"/>
    </row>
    <row r="59" spans="1:15">
      <c r="A59" s="34" t="s">
        <v>95</v>
      </c>
      <c r="B59" s="39" t="s">
        <v>96</v>
      </c>
      <c r="C59" s="13">
        <f t="shared" ref="C59:L59" si="13">0*(96.487*1000)</f>
        <v>0</v>
      </c>
      <c r="D59" s="13">
        <f t="shared" si="13"/>
        <v>0</v>
      </c>
      <c r="E59" s="13">
        <f t="shared" si="13"/>
        <v>0</v>
      </c>
      <c r="F59" s="25">
        <f t="shared" si="13"/>
        <v>0</v>
      </c>
      <c r="G59" s="13">
        <f t="shared" si="13"/>
        <v>0</v>
      </c>
      <c r="H59" s="13">
        <f t="shared" si="13"/>
        <v>0</v>
      </c>
      <c r="I59" s="13">
        <f t="shared" si="13"/>
        <v>0</v>
      </c>
      <c r="J59" s="13">
        <f t="shared" si="13"/>
        <v>0</v>
      </c>
      <c r="K59" s="13">
        <f t="shared" si="13"/>
        <v>0</v>
      </c>
      <c r="L59" s="8">
        <f t="shared" si="13"/>
        <v>0</v>
      </c>
      <c r="M59" s="13"/>
      <c r="O59" s="15"/>
    </row>
    <row r="60" spans="1:13">
      <c r="A60" s="34" t="s">
        <v>97</v>
      </c>
      <c r="C60" s="28">
        <f>2.5*(96.487*1000)</f>
        <v>241217.5</v>
      </c>
      <c r="D60" s="13">
        <f>1.64682473469132*(96.487*1000)</f>
        <v>158897.178176161</v>
      </c>
      <c r="E60" s="13">
        <f>1.63203692437948*(96.487*1000)</f>
        <v>157470.346722603</v>
      </c>
      <c r="F60" s="25">
        <f>1.86141499999997*(96.487*1000)</f>
        <v>179602.349104997</v>
      </c>
      <c r="G60" s="13">
        <f>2.48640153616101*(96.487*1000)</f>
        <v>239905.425019567</v>
      </c>
      <c r="H60" s="13">
        <f>2.5939227808078*(96.487*1000)</f>
        <v>250279.827351802</v>
      </c>
      <c r="I60" s="13">
        <f>1.90292263201876*(96.487*1000)</f>
        <v>183607.295995594</v>
      </c>
      <c r="J60" s="13">
        <f>2.32279898329845*(96.487*1000)</f>
        <v>224119.905501518</v>
      </c>
      <c r="K60" s="13">
        <f>2.26478700870305*(96.487*1000)</f>
        <v>218522.504108731</v>
      </c>
      <c r="L60" s="11">
        <f>1.37*(96.487*1000)</f>
        <v>132187.19</v>
      </c>
      <c r="M60" s="13"/>
    </row>
    <row r="61" spans="2:12">
      <c r="B61" s="17" t="s">
        <v>98</v>
      </c>
      <c r="C61" s="40" t="s">
        <v>99</v>
      </c>
      <c r="L61" s="12" t="s">
        <v>99</v>
      </c>
    </row>
    <row r="62" spans="1:12">
      <c r="A62" s="17" t="s">
        <v>100</v>
      </c>
      <c r="B62" s="15" t="s">
        <v>101</v>
      </c>
      <c r="C62" s="13">
        <f>1.47855311000003*(96.487*1000)</f>
        <v>142661.153924573</v>
      </c>
      <c r="D62" s="13">
        <f>1.45915579*(96.487*1000)</f>
        <v>140789.56470973</v>
      </c>
      <c r="E62" s="13">
        <f>1.46557309999999*(96.487*1000)</f>
        <v>141408.751699699</v>
      </c>
      <c r="F62" s="25">
        <f>1.52164094*(96.487*1000)</f>
        <v>146818.56937778</v>
      </c>
      <c r="G62" s="13">
        <f>1.47806663551129*(96.487*1000)</f>
        <v>142614.215460578</v>
      </c>
      <c r="H62" s="13">
        <f>1.51852466282358*(96.487*1000)</f>
        <v>146517.889141859</v>
      </c>
      <c r="I62" s="13">
        <f>1.57865443497258*(96.487*1000)</f>
        <v>152319.630467199</v>
      </c>
      <c r="J62" s="13">
        <f>1.64858371981054*(96.487*1000)</f>
        <v>159066.89737336</v>
      </c>
      <c r="K62" s="13">
        <f>1.68715610768857*(96.487*1000)</f>
        <v>162788.631362547</v>
      </c>
      <c r="L62" s="8">
        <f>1.47855311000003*(96.487*1000)</f>
        <v>142661.153924573</v>
      </c>
    </row>
    <row r="63" spans="1:12">
      <c r="A63" s="17" t="s">
        <v>102</v>
      </c>
      <c r="C63" s="13">
        <f>0.289672109999939*(96.487*1000)</f>
        <v>27949.5928775641</v>
      </c>
      <c r="D63" s="13">
        <f>0.332846789999993*(96.487*1000)</f>
        <v>32115.3882267293</v>
      </c>
      <c r="E63" s="13">
        <f>0.318563100000012*(96.487*1000)</f>
        <v>30737.1978297012</v>
      </c>
      <c r="F63" s="25">
        <f>0.193766939999996*(96.487*1000)</f>
        <v>18695.9907397796</v>
      </c>
      <c r="G63" s="13">
        <f>0.290754908055507*(96.487*1000)</f>
        <v>28054.0688135517</v>
      </c>
      <c r="H63" s="13">
        <f>0.200703169844287*(96.487*1000)</f>
        <v>19365.2467487657</v>
      </c>
      <c r="I63" s="13">
        <f>0.0668659350610383*(96.487*1000)</f>
        <v>6451.6934762344</v>
      </c>
      <c r="J63" s="13">
        <v>0</v>
      </c>
      <c r="K63" s="13">
        <f>0*(96.487*1000)</f>
        <v>0</v>
      </c>
      <c r="L63" s="8">
        <f>0.289672109999939*(96.487*1000)</f>
        <v>27949.5928775641</v>
      </c>
    </row>
    <row r="64" spans="1:12">
      <c r="A64" s="17" t="s">
        <v>103</v>
      </c>
      <c r="B64" s="15" t="s">
        <v>104</v>
      </c>
      <c r="C64" s="13">
        <f>1.63216896000003*(96.487*1000)</f>
        <v>157483.086443523</v>
      </c>
      <c r="D64" s="13">
        <f>1.13792139*(96.487*1000)</f>
        <v>109794.62115693</v>
      </c>
      <c r="E64" s="13">
        <f>1.12178713*(96.487*1000)</f>
        <v>108237.87481231</v>
      </c>
      <c r="F64" s="25">
        <f>1.26734917999999*(96.487*1000)</f>
        <v>122282.720330659</v>
      </c>
      <c r="G64" s="13">
        <f>0.801797380000003*(96.487*1000)</f>
        <v>77363.0238040603</v>
      </c>
      <c r="H64" s="13">
        <f>0.865709769999991*(96.487*1000)</f>
        <v>83529.7385779891</v>
      </c>
      <c r="I64" s="13">
        <f>0.987053379999982*(96.487*1000)</f>
        <v>95237.8194760583</v>
      </c>
      <c r="J64" s="13">
        <f>0.996666480000002*(96.487*1000)</f>
        <v>96165.3586557602</v>
      </c>
      <c r="K64" s="13">
        <f>1.00677031000001*(96.487*1000)</f>
        <v>97140.246900971</v>
      </c>
      <c r="L64" s="8">
        <f>1.63216896000003*(96.487*1000)</f>
        <v>157483.086443523</v>
      </c>
    </row>
    <row r="65" spans="1:12">
      <c r="A65" s="17" t="s">
        <v>105</v>
      </c>
      <c r="C65" s="13">
        <v>0</v>
      </c>
      <c r="D65" s="13">
        <f>1.04785239000001*(96.487*1000)</f>
        <v>101104.133553931</v>
      </c>
      <c r="E65" s="13">
        <f>1.08376413*(96.487*1000)</f>
        <v>104569.14961131</v>
      </c>
      <c r="F65" s="25">
        <f>0.759771180000019*(96.487*1000)</f>
        <v>73308.0418446618</v>
      </c>
      <c r="G65" s="13">
        <f>1.79599937999999*(96.487*1000)</f>
        <v>173290.592178059</v>
      </c>
      <c r="H65" s="13">
        <f>1.65374277000002*(96.487*1000)</f>
        <v>159564.678648992</v>
      </c>
      <c r="I65" s="13">
        <f>1.38365538000004*(96.487*1000)</f>
        <v>133504.756650064</v>
      </c>
      <c r="J65" s="13">
        <f>1.36225848*(96.487*1000)</f>
        <v>131440.23395976</v>
      </c>
      <c r="K65" s="13">
        <f>1.33976930999999*(96.487*1000)</f>
        <v>129270.321413969</v>
      </c>
      <c r="L65" s="8">
        <v>0</v>
      </c>
    </row>
    <row r="66" spans="1:12">
      <c r="A66" s="17" t="s">
        <v>106</v>
      </c>
      <c r="B66" s="15" t="s">
        <v>107</v>
      </c>
      <c r="C66" s="13">
        <f>1.25511379000002*(96.487*1000)</f>
        <v>121102.164255732</v>
      </c>
      <c r="D66" s="13">
        <f>1.34916314*(96.487*1000)</f>
        <v>130176.70388918</v>
      </c>
      <c r="E66" s="13">
        <f>1.20537212000001*(96.487*1000)</f>
        <v>116302.739742441</v>
      </c>
      <c r="F66" s="25">
        <f>1.29331912*(96.487*1000)</f>
        <v>124788.48193144</v>
      </c>
      <c r="G66" s="13">
        <f>0.867885040000004*(96.487*1000)</f>
        <v>83739.6238544804</v>
      </c>
      <c r="H66" s="13">
        <f>0.862096099999997*(96.487*1000)</f>
        <v>83181.0664006997</v>
      </c>
      <c r="I66" s="13">
        <f>1.01978689999999*(96.487*1000)</f>
        <v>98396.178620299</v>
      </c>
      <c r="J66" s="13">
        <f>0.870647449999997*(96.487*1000)</f>
        <v>84006.1605081497</v>
      </c>
      <c r="K66" s="13">
        <f>0.909659710000008*(96.487*1000)</f>
        <v>87770.3364387708</v>
      </c>
      <c r="L66" s="8">
        <f>1.25511379000002*(96.487*1000)</f>
        <v>121102.164255732</v>
      </c>
    </row>
    <row r="67" spans="1:12">
      <c r="A67" s="17" t="s">
        <v>108</v>
      </c>
      <c r="C67" s="13">
        <f>0.787004789999946*(96.487*1000)</f>
        <v>75935.7311727248</v>
      </c>
      <c r="D67" s="13">
        <f>0.577669139999996*(96.487*1000)</f>
        <v>55737.5623111796</v>
      </c>
      <c r="E67" s="13">
        <f>0.897720119999988*(96.487*1000)</f>
        <v>86618.3212184388</v>
      </c>
      <c r="F67" s="25">
        <f>0.701967120000008*(96.487*1000)</f>
        <v>67730.7015074408</v>
      </c>
      <c r="G67" s="13">
        <f>1.64890103999999*(96.487*1000)</f>
        <v>159097.514646479</v>
      </c>
      <c r="H67" s="13">
        <f>1.66178610000001*(96.487*1000)</f>
        <v>160340.755430701</v>
      </c>
      <c r="I67" s="13">
        <f>1.31079690000002*(96.487*1000)</f>
        <v>126474.860490302</v>
      </c>
      <c r="J67" s="13">
        <f>1.64275245000001*(96.487*1000)</f>
        <v>158504.255643151</v>
      </c>
      <c r="K67" s="13">
        <f>1.55591870999998*(96.487*1000)</f>
        <v>150125.928571768</v>
      </c>
      <c r="L67" s="8">
        <f>0.787004789999946*(96.487*1000)</f>
        <v>75935.7311727248</v>
      </c>
    </row>
    <row r="68" spans="1:12">
      <c r="A68" s="17" t="s">
        <v>109</v>
      </c>
      <c r="B68" s="15" t="s">
        <v>110</v>
      </c>
      <c r="C68" s="13">
        <f>0*(96.487*1000)</f>
        <v>0</v>
      </c>
      <c r="D68" s="13">
        <f>1.43221586*(96.487*1000)</f>
        <v>138190.21168382</v>
      </c>
      <c r="E68" s="13">
        <f>1.40296580999999*(96.487*1000)</f>
        <v>135367.962109469</v>
      </c>
      <c r="F68" s="25">
        <f>1.27334737000001*(96.487*1000)</f>
        <v>122861.467689191</v>
      </c>
      <c r="G68" s="13">
        <f>1.20537801000001*(96.487*1000)</f>
        <v>116303.308050871</v>
      </c>
      <c r="H68" s="13">
        <f>1.2119001*(96.487*1000)</f>
        <v>116932.6049487</v>
      </c>
      <c r="I68" s="13">
        <f>1.30017786999999*(96.487*1000)</f>
        <v>125450.262142689</v>
      </c>
      <c r="J68" s="13">
        <f>1.14242879*(96.487*1000)</f>
        <v>110229.52666073</v>
      </c>
      <c r="K68" s="13">
        <f>1.2038277*(96.487*1000)</f>
        <v>116153.7232899</v>
      </c>
      <c r="L68" s="8">
        <f>0*(96.487*1000)</f>
        <v>0</v>
      </c>
    </row>
    <row r="69" spans="1:12">
      <c r="A69" s="17" t="s">
        <v>111</v>
      </c>
      <c r="C69" s="13">
        <f>0*(96.487*1000)</f>
        <v>0</v>
      </c>
      <c r="D69" s="13">
        <f>0.392809860000002*(96.487*1000)</f>
        <v>37901.0449618202</v>
      </c>
      <c r="E69" s="13">
        <f>0.457914810000018*(96.487*1000)</f>
        <v>44182.8262724717</v>
      </c>
      <c r="F69" s="25">
        <f>0.746420369999984*(96.487*1000)</f>
        <v>72019.8622401884</v>
      </c>
      <c r="G69" s="13">
        <f>0.89770700999998*(96.487*1000)</f>
        <v>86617.0562738681</v>
      </c>
      <c r="H69" s="13">
        <f>0.883190099999995*(96.487*1000)</f>
        <v>85216.3631786995</v>
      </c>
      <c r="I69" s="13">
        <f>0.686700870000017*(96.487*1000)</f>
        <v>66257.7068436916</v>
      </c>
      <c r="J69" s="13">
        <f>1.03781979000001*(96.487*1000)</f>
        <v>100136.118077731</v>
      </c>
      <c r="K69" s="13">
        <f>0.901157699999992*(96.487*1000)</f>
        <v>86950.0029998992</v>
      </c>
      <c r="L69" s="8">
        <f>0*(96.487*1000)</f>
        <v>0</v>
      </c>
    </row>
    <row r="70" spans="1:12">
      <c r="A70" s="17" t="s">
        <v>112</v>
      </c>
      <c r="B70" s="15" t="s">
        <v>113</v>
      </c>
      <c r="C70" s="13">
        <f>0.960622470000016*(96.487*1000)</f>
        <v>92687.5802628915</v>
      </c>
      <c r="D70" s="13">
        <f>1.22695432*(96.487*1000)</f>
        <v>118385.14147384</v>
      </c>
      <c r="E70" s="13">
        <f>1.20949357*(96.487*1000)</f>
        <v>116700.40608859</v>
      </c>
      <c r="F70" s="25">
        <f>1.14109827000001*(96.487*1000)</f>
        <v>110101.148777491</v>
      </c>
      <c r="G70" s="13">
        <f>0.971814400000012*(96.487*1000)</f>
        <v>93767.4560128012</v>
      </c>
      <c r="H70" s="13">
        <f>0.916743210000003*(96.487*1000)</f>
        <v>88453.8021032703</v>
      </c>
      <c r="I70" s="13">
        <f>1.01447784*(96.487*1000)</f>
        <v>97883.92334808</v>
      </c>
      <c r="J70" s="13">
        <f>0.857972169999991*(96.487*1000)</f>
        <v>82783.1607667891</v>
      </c>
      <c r="K70" s="13">
        <f>0.797341750000003*(96.487*1000)</f>
        <v>76933.1134322503</v>
      </c>
      <c r="L70" s="8">
        <f>0.960622470000016*(96.487*1000)</f>
        <v>92687.5802628915</v>
      </c>
    </row>
    <row r="71" spans="1:12">
      <c r="A71" s="17" t="s">
        <v>114</v>
      </c>
      <c r="C71" s="13">
        <f>1.44248546999996*(96.487*1000)</f>
        <v>139181.095543886</v>
      </c>
      <c r="D71" s="13">
        <f>0.849682320000006*(96.487*1000)</f>
        <v>81983.2980098406</v>
      </c>
      <c r="E71" s="13">
        <f>0.88854657000001*(96.487*1000)</f>
        <v>85733.192899591</v>
      </c>
      <c r="F71" s="25">
        <f>1.04078126999997*(96.487*1000)</f>
        <v>100421.862398487</v>
      </c>
      <c r="G71" s="13">
        <f>1.41757439999997*(96.487*1000)</f>
        <v>136777.501132797</v>
      </c>
      <c r="H71" s="13">
        <f>1.54015220999999*(96.487*1000)</f>
        <v>148604.666286269</v>
      </c>
      <c r="I71" s="13">
        <f>1.32261384000001*(96.487*1000)</f>
        <v>127615.041580081</v>
      </c>
      <c r="J71" s="13">
        <f>1.67096517000002*(96.487*1000)</f>
        <v>161226.416357792</v>
      </c>
      <c r="K71" s="13">
        <f>1.80591674999999*(96.487*1000)</f>
        <v>174247.489457249</v>
      </c>
      <c r="L71" s="8">
        <f>1.44248546999996*(96.487*1000)</f>
        <v>139181.095543886</v>
      </c>
    </row>
    <row r="72" spans="1:12">
      <c r="A72" s="17" t="s">
        <v>115</v>
      </c>
      <c r="B72" s="15" t="s">
        <v>116</v>
      </c>
      <c r="C72" s="13">
        <f>1.33767764000002*(96.487*1000)</f>
        <v>129068.502450682</v>
      </c>
      <c r="D72" s="13">
        <f>1.01571256999999*(96.487*1000)</f>
        <v>98003.058741589</v>
      </c>
      <c r="E72" s="13">
        <f>1.12590857999999*(96.487*1000)</f>
        <v>108635.541158459</v>
      </c>
      <c r="F72" s="25">
        <f>1.11512833000001*(96.487*1000)</f>
        <v>107595.387176711</v>
      </c>
      <c r="G72" s="13">
        <f>0.905726740000011*(96.487*1000)</f>
        <v>87390.8559623811</v>
      </c>
      <c r="H72" s="13">
        <f>0.920356879999998*(96.487*1000)</f>
        <v>88802.4742805598</v>
      </c>
      <c r="I72" s="13">
        <f>0.981744319999987*(96.487*1000)</f>
        <v>94725.5642038387</v>
      </c>
      <c r="J72" s="13">
        <f>0.983991199999996*(96.487*1000)</f>
        <v>94942.3589143996</v>
      </c>
      <c r="K72" s="13">
        <f>0.89445235*(96.487*1000)</f>
        <v>86303.02389445</v>
      </c>
      <c r="L72" s="8">
        <f>1.33767764000002*(96.487*1000)</f>
        <v>129068.502450682</v>
      </c>
    </row>
    <row r="73" spans="1:12">
      <c r="A73" s="17" t="s">
        <v>117</v>
      </c>
      <c r="C73" s="13">
        <f>0.60323363999996*(96.487*1000)</f>
        <v>58204.2042226761</v>
      </c>
      <c r="D73" s="13">
        <f>1.31986557000002*(96.487*1000)</f>
        <v>127349.869252592</v>
      </c>
      <c r="E73" s="13">
        <f>1.07459058000002*(96.487*1000)</f>
        <v>103684.021292462</v>
      </c>
      <c r="F73" s="25">
        <f>1.09858532999998*(96.487*1000)</f>
        <v>105999.202735708</v>
      </c>
      <c r="G73" s="13">
        <f>1.56467273999997*(96.487*1000)</f>
        <v>150970.578664377</v>
      </c>
      <c r="H73" s="13">
        <f>1.53210888000001*(96.487*1000)</f>
        <v>147828.589504561</v>
      </c>
      <c r="I73" s="13">
        <f>1.39547232000003*(96.487*1000)</f>
        <v>134644.937739843</v>
      </c>
      <c r="J73" s="13">
        <f>1.39047120000001*(96.487*1000)</f>
        <v>134162.394674401</v>
      </c>
      <c r="K73" s="13">
        <f>1.58976735*(96.487*1000)</f>
        <v>153391.88229945</v>
      </c>
      <c r="L73" s="8">
        <f>0.60323363999996*(96.487*1000)</f>
        <v>58204.2042226761</v>
      </c>
    </row>
    <row r="74" spans="1:12">
      <c r="A74" s="17" t="s">
        <v>118</v>
      </c>
      <c r="B74" s="15" t="s">
        <v>119</v>
      </c>
      <c r="C74" s="13">
        <f>0*(96.487*1000)</f>
        <v>0</v>
      </c>
      <c r="D74" s="13">
        <f>1.22112074*(96.487*1000)</f>
        <v>117822.27684038</v>
      </c>
      <c r="E74" s="13">
        <f>1.23957566*(96.487*1000)</f>
        <v>119602.93670642</v>
      </c>
      <c r="F74" s="25">
        <f>1.25840474999999*(96.487*1000)</f>
        <v>121419.699113249</v>
      </c>
      <c r="G74" s="13">
        <f>0.921932920000008*(96.487*1000)</f>
        <v>88954.5416520408</v>
      </c>
      <c r="H74" s="13">
        <f>0.718106989999993*(96.487*1000)</f>
        <v>69287.9891441293</v>
      </c>
      <c r="I74" s="13">
        <f>1.0614695*(96.487*1000)</f>
        <v>102418.0076465</v>
      </c>
      <c r="J74" s="13">
        <f>0.738932790000007*(96.487*1000)</f>
        <v>71297.4081087307</v>
      </c>
      <c r="K74" s="13">
        <f>0.748376940000002*(96.487*1000)</f>
        <v>72208.6458097802</v>
      </c>
      <c r="L74" s="8">
        <f>0*(96.487*1000)</f>
        <v>0</v>
      </c>
    </row>
    <row r="75" spans="1:12">
      <c r="A75" s="17" t="s">
        <v>120</v>
      </c>
      <c r="C75" s="13">
        <f>0*(96.487*1000)</f>
        <v>0</v>
      </c>
      <c r="D75" s="13">
        <f>0.862666740000008*(96.487*1000)</f>
        <v>83236.1257423808</v>
      </c>
      <c r="E75" s="13">
        <f>0.821589660000008*(96.487*1000)</f>
        <v>79272.7215244208</v>
      </c>
      <c r="F75" s="25">
        <f>0.779679750000013*(96.487*1000)</f>
        <v>75228.9600382513</v>
      </c>
      <c r="G75" s="13">
        <f>1.52860091999998*(96.487*1000)</f>
        <v>147490.116968038</v>
      </c>
      <c r="H75" s="13">
        <f>1.98227799000002*(96.487*1000)</f>
        <v>191264.056421132</v>
      </c>
      <c r="I75" s="13">
        <f>1.2180195*(96.487*1000)</f>
        <v>117523.0474965</v>
      </c>
      <c r="J75" s="13">
        <f>1.93592378999998*(96.487*1000)</f>
        <v>186791.478725728</v>
      </c>
      <c r="K75" s="13">
        <f>1.91490294*(96.487*1000)</f>
        <v>184763.23997178</v>
      </c>
      <c r="L75" s="8">
        <f>0*(96.487*1000)</f>
        <v>0</v>
      </c>
    </row>
    <row r="76" spans="1:12">
      <c r="A76" s="17" t="s">
        <v>121</v>
      </c>
      <c r="B76" s="15" t="s">
        <v>122</v>
      </c>
      <c r="C76" s="13">
        <f>1.57543834000003*(96.487*1000)</f>
        <v>152009.319111583</v>
      </c>
      <c r="D76" s="13">
        <f>1.42638228*(96.487*1000)</f>
        <v>137627.34705036</v>
      </c>
      <c r="E76" s="13">
        <f>1.43304789999999*(96.487*1000)</f>
        <v>138270.492727299</v>
      </c>
      <c r="F76" s="25">
        <f>1.39065384999999*(96.487*1000)</f>
        <v>134180.018024949</v>
      </c>
      <c r="G76" s="13">
        <f>1.15549653000001*(96.487*1000)</f>
        <v>111490.393690111</v>
      </c>
      <c r="H76" s="13">
        <f>1.01326387999999*(96.487*1000)</f>
        <v>97766.791989559</v>
      </c>
      <c r="I76" s="13">
        <f>1.34716953*(96.487*1000)</f>
        <v>129984.34644111</v>
      </c>
      <c r="J76" s="13">
        <f>1.02338941000001*(96.487*1000)</f>
        <v>98743.774002671</v>
      </c>
      <c r="K76" s="13">
        <f>1.15486289*(96.487*1000)</f>
        <v>111429.25566743</v>
      </c>
      <c r="L76" s="8">
        <f>1.57543834000003*(96.487*1000)</f>
        <v>152009.319111583</v>
      </c>
    </row>
    <row r="77" spans="1:12">
      <c r="A77" s="17" t="s">
        <v>123</v>
      </c>
      <c r="C77" s="13">
        <f>0.0740243399999299*(96.487*1000)</f>
        <v>7142.38649357324</v>
      </c>
      <c r="D77" s="13">
        <f>0.405794280000004*(96.487*1000)</f>
        <v>39153.8726943604</v>
      </c>
      <c r="E77" s="13">
        <f>0.390957900000016*(96.487*1000)</f>
        <v>37722.3548973015</v>
      </c>
      <c r="F77" s="25">
        <f>0.485318850000025*(96.487*1000)</f>
        <v>46826.9598799524</v>
      </c>
      <c r="G77" s="13">
        <f>1.00873352999999*(96.487*1000)</f>
        <v>97329.672109109</v>
      </c>
      <c r="H77" s="13">
        <f>1.32531588000002*(96.487*1000)</f>
        <v>127875.753313562</v>
      </c>
      <c r="I77" s="13">
        <f>0.582106530000009*(96.487*1000)</f>
        <v>56165.7127601109</v>
      </c>
      <c r="J77" s="13">
        <f>1.30277840999997*(96.487*1000)</f>
        <v>125701.180445667</v>
      </c>
      <c r="K77" s="13">
        <f>1.01014388999999*(96.487*1000)</f>
        <v>97465.753514429</v>
      </c>
      <c r="L77" s="8">
        <f>0.0740243399999299*(96.487*1000)</f>
        <v>7142.38649357324</v>
      </c>
    </row>
    <row r="78" spans="1:12">
      <c r="A78" s="17" t="s">
        <v>124</v>
      </c>
      <c r="B78" s="15" t="s">
        <v>125</v>
      </c>
      <c r="C78" s="13">
        <f>1.52837321000005*(96.487*1000)</f>
        <v>147468.145913275</v>
      </c>
      <c r="D78" s="13">
        <f>1.25813257*(96.487*1000)</f>
        <v>121393.43728159</v>
      </c>
      <c r="E78" s="13">
        <f>1.30355625*(96.487*1000)</f>
        <v>125776.23189375</v>
      </c>
      <c r="F78" s="25">
        <f>1.10683768999998*(96.487*1000)</f>
        <v>106795.448195028</v>
      </c>
      <c r="G78" s="13">
        <f>0.8607631*(96.487*1000)</f>
        <v>83052.4492297</v>
      </c>
      <c r="H78" s="13">
        <f>0.764671469999986*(96.487*1000)</f>
        <v>73780.8561258886</v>
      </c>
      <c r="I78" s="13">
        <f>1.13011992999999*(96.487*1000)</f>
        <v>109041.881685909</v>
      </c>
      <c r="J78" s="13">
        <f>0.756994940000011*(96.487*1000)</f>
        <v>73040.1707757811</v>
      </c>
      <c r="K78" s="13">
        <f>0.893884430000005*(96.487*1000)</f>
        <v>86248.2269974105</v>
      </c>
      <c r="L78" s="8">
        <f>1.52837321000005*(96.487*1000)</f>
        <v>147468.145913275</v>
      </c>
    </row>
    <row r="79" spans="1:12">
      <c r="A79" s="17" t="s">
        <v>126</v>
      </c>
      <c r="C79" s="13">
        <f>0.178782209999883*(96.487*1000)</f>
        <v>17250.1590962587</v>
      </c>
      <c r="D79" s="13">
        <f>0.780285569999991*(96.487*1000)</f>
        <v>75287.4137925891</v>
      </c>
      <c r="E79" s="13">
        <f>0.679181249999993*(96.487*1000)</f>
        <v>65532.1612687493</v>
      </c>
      <c r="F79" s="25">
        <f>1.11703869000003*(96.487*1000)</f>
        <v>107779.712082033</v>
      </c>
      <c r="G79" s="13">
        <f>1.6647531*(96.487*1000)</f>
        <v>160627.0323597</v>
      </c>
      <c r="H79" s="13">
        <f>1.87863447000003*(96.487*1000)</f>
        <v>181263.804106893</v>
      </c>
      <c r="I79" s="13">
        <f>1.06521693000003*(96.487*1000)</f>
        <v>102779.585924913</v>
      </c>
      <c r="J79" s="13">
        <f>1.89572093999998*(96.487*1000)</f>
        <v>182912.426337778</v>
      </c>
      <c r="K79" s="13">
        <f>1.59103142999999*(96.487*1000)</f>
        <v>153513.849586409</v>
      </c>
      <c r="L79" s="8">
        <f>0.178782209999883*(96.487*1000)</f>
        <v>17250.1590962587</v>
      </c>
    </row>
    <row r="80" spans="1:12">
      <c r="A80" s="17" t="s">
        <v>127</v>
      </c>
      <c r="B80" s="15" t="s">
        <v>128</v>
      </c>
      <c r="C80" s="13">
        <f>1.46668321000002*(96.487*1000)</f>
        <v>141515.862883272</v>
      </c>
      <c r="D80" s="13">
        <f>1.31410802999999*(96.487*1000)</f>
        <v>126794.341490609</v>
      </c>
      <c r="E80" s="13">
        <f>1.3172815*(96.487*1000)</f>
        <v>127100.5400905</v>
      </c>
      <c r="F80" s="25">
        <f>1.08484102*(96.487*1000)</f>
        <v>104673.05549674</v>
      </c>
      <c r="G80" s="13">
        <f>1.45209275*(96.487*1000)</f>
        <v>140108.07316925</v>
      </c>
      <c r="H80" s="13">
        <f>0.981379139999993*(96.487*1000)</f>
        <v>94690.3290811793</v>
      </c>
      <c r="I80" s="13">
        <f>1.08453783999999*(96.487*1000)</f>
        <v>104643.802568079</v>
      </c>
      <c r="J80" s="13">
        <f>0.771475039999995*(96.487*1000)</f>
        <v>74437.3121844795</v>
      </c>
      <c r="K80" s="13">
        <f>0.919833290000004*(96.487*1000)</f>
        <v>88751.9546522304</v>
      </c>
      <c r="L80" s="8">
        <f>1.46668321000002*(96.487*1000)</f>
        <v>141515.862883272</v>
      </c>
    </row>
    <row r="81" spans="1:12">
      <c r="A81" s="17" t="s">
        <v>129</v>
      </c>
      <c r="C81" s="13">
        <f>0.316092209999961*(96.487*1000)</f>
        <v>30498.7890662662</v>
      </c>
      <c r="D81" s="13">
        <f>0.655695030000019*(96.487*1000)</f>
        <v>63266.0463596118</v>
      </c>
      <c r="E81" s="13">
        <f>0.648631500000003*(96.487*1000)</f>
        <v>62584.5075405003</v>
      </c>
      <c r="F81" s="25">
        <f>1.16599902*(96.487*1000)</f>
        <v>112503.74744274</v>
      </c>
      <c r="G81" s="13">
        <f>0.348567750000003*(96.487*1000)</f>
        <v>33632.2564942503</v>
      </c>
      <c r="H81" s="13">
        <f>1.39628514000002*(96.487*1000)</f>
        <v>134723.364303182</v>
      </c>
      <c r="I81" s="13">
        <f>1.16667384000002*(96.487*1000)</f>
        <v>112568.858800082</v>
      </c>
      <c r="J81" s="13">
        <f>1.86349104000001*(96.487*1000)</f>
        <v>179802.659976481</v>
      </c>
      <c r="K81" s="13">
        <f>1.53327428999999*(96.487*1000)</f>
        <v>147941.036419229</v>
      </c>
      <c r="L81" s="8">
        <f>0.316092209999961*(96.487*1000)</f>
        <v>30498.7890662662</v>
      </c>
    </row>
    <row r="82" spans="1:12">
      <c r="A82" s="17" t="s">
        <v>130</v>
      </c>
      <c r="B82" s="15" t="s">
        <v>131</v>
      </c>
      <c r="C82" s="13">
        <f>1.51374834*(96.487*1000)</f>
        <v>146057.03608158</v>
      </c>
      <c r="D82" s="13">
        <f>1.48235773999999*(96.487*1000)</f>
        <v>143028.251259379</v>
      </c>
      <c r="E82" s="13">
        <f>1.44677314999999*(96.487*1000)</f>
        <v>139594.800924049</v>
      </c>
      <c r="F82" s="25">
        <f>1.36865718*(96.487*1000)</f>
        <v>132057.62532666</v>
      </c>
      <c r="G82" s="13">
        <f>2.05*(96.487*1000)</f>
        <v>197798.35</v>
      </c>
      <c r="H82" s="13">
        <f>1.22997155*(96.487*1000)</f>
        <v>118676.26494485</v>
      </c>
      <c r="I82" s="13">
        <f>1.30158744*(96.487*1000)</f>
        <v>125586.26732328</v>
      </c>
      <c r="J82" s="13">
        <f>1.03786951*(96.487*1000)</f>
        <v>100140.91541137</v>
      </c>
      <c r="K82" s="13">
        <f>1.18081175*(96.487*1000)</f>
        <v>113932.98332225</v>
      </c>
      <c r="L82" s="8">
        <f>1.51374834*(96.487*1000)</f>
        <v>146057.03608158</v>
      </c>
    </row>
    <row r="83" spans="1:12">
      <c r="A83" s="17" t="s">
        <v>132</v>
      </c>
      <c r="C83" s="13">
        <f>0.211334340000007*(96.487*1000)</f>
        <v>20391.0164635807</v>
      </c>
      <c r="D83" s="13">
        <f>0.281203740000032*(96.487*1000)</f>
        <v>27132.5052613831</v>
      </c>
      <c r="E83" s="13">
        <f>0.360408150000027*(96.487*1000)</f>
        <v>34774.7011690526</v>
      </c>
      <c r="F83" s="25">
        <f>0.534279179999991*(96.487*1000)</f>
        <v>51550.9952406591</v>
      </c>
      <c r="G83" s="13">
        <v>0</v>
      </c>
      <c r="H83" s="13">
        <f>0.842966550000004*(96.487*1000)</f>
        <v>81335.3135098504</v>
      </c>
      <c r="I83" s="13">
        <f>0.683563440000001*(96.487*1000)</f>
        <v>65954.9856352801</v>
      </c>
      <c r="J83" s="13">
        <f>1.27054851000001*(96.487*1000)</f>
        <v>122591.414084371</v>
      </c>
      <c r="K83" s="13">
        <f>0.952386749999993*(96.487*1000)</f>
        <v>91892.9403472493</v>
      </c>
      <c r="L83" s="8">
        <f>0.211334340000007*(96.487*1000)</f>
        <v>20391.0164635807</v>
      </c>
    </row>
    <row r="84" spans="1:12">
      <c r="A84" s="17" t="s">
        <v>133</v>
      </c>
      <c r="B84" s="36" t="s">
        <v>134</v>
      </c>
      <c r="C84" s="13">
        <f>0.401780820000027*(96.487*1000)</f>
        <v>38766.6259793426</v>
      </c>
      <c r="D84" s="13">
        <f>0.352290869999992*(96.487*1000)</f>
        <v>33991.4891736892</v>
      </c>
      <c r="E84" s="13">
        <f>0.381001830000013*(96.487*1000)</f>
        <v>36761.7235712113</v>
      </c>
      <c r="F84" s="25">
        <f>0.452843400000014*(96.487*1000)</f>
        <v>43693.5011358014</v>
      </c>
      <c r="G84" s="13">
        <f>0*(96.487*1000)</f>
        <v>0</v>
      </c>
      <c r="H84" s="13">
        <f>0.179937689999984*(96.487*1000)</f>
        <v>17361.6478950285</v>
      </c>
      <c r="I84" s="13">
        <f>0.378772000000015*(96.487*1000)</f>
        <v>36546.5739640014</v>
      </c>
      <c r="J84" s="13">
        <f>0.459733769999989*(96.487*1000)</f>
        <v>44358.3322659889</v>
      </c>
      <c r="K84" s="13">
        <f>0.333349250000007*(96.487*1000)</f>
        <v>32163.8690847507</v>
      </c>
      <c r="L84" s="8">
        <f>0.401780820000027*(96.487*1000)</f>
        <v>38766.6259793426</v>
      </c>
    </row>
    <row r="85" spans="1:12">
      <c r="A85" s="17" t="s">
        <v>135</v>
      </c>
      <c r="C85" s="13">
        <f>2.68635881999994*(96.487*1000)</f>
        <v>259198.703465334</v>
      </c>
      <c r="D85" s="13">
        <f>2.79651387000002*(96.487*1000)</f>
        <v>269827.233774692</v>
      </c>
      <c r="E85" s="13">
        <f>2.73260882999997*(96.487*1000)</f>
        <v>263661.228180207</v>
      </c>
      <c r="F85" s="25">
        <f>2.57270339999997*(96.487*1000)</f>
        <v>248232.432955797</v>
      </c>
      <c r="G85" s="13">
        <f>4.27116899999995*(96.487*1000)</f>
        <v>412112.283302995</v>
      </c>
      <c r="H85" s="13">
        <f>3.18013869000004*(96.487*1000)</f>
        <v>306842.041782034</v>
      </c>
      <c r="I85" s="13">
        <f>2.73757199999997*(96.487*1000)</f>
        <v>264140.109563997</v>
      </c>
      <c r="J85" s="13">
        <f>2.55736677000003*(96.487*1000)</f>
        <v>246752.647536993</v>
      </c>
      <c r="K85" s="13">
        <f>2.83867424999998*(96.487*1000)</f>
        <v>273895.162359748</v>
      </c>
      <c r="L85" s="8">
        <f>2.68635881999994*(96.487*1000)</f>
        <v>259198.703465334</v>
      </c>
    </row>
    <row r="86" spans="2:12">
      <c r="B86" s="22" t="s">
        <v>136</v>
      </c>
      <c r="C86" s="13"/>
      <c r="D86" s="13"/>
      <c r="E86" s="13"/>
      <c r="F86" s="25"/>
      <c r="G86" s="13"/>
      <c r="H86" s="13"/>
      <c r="I86" s="13"/>
      <c r="J86" s="13"/>
      <c r="K86" s="13"/>
      <c r="L86" s="8"/>
    </row>
    <row r="87" spans="1:13">
      <c r="A87" s="29" t="s">
        <v>137</v>
      </c>
      <c r="B87" s="15" t="s">
        <v>138</v>
      </c>
      <c r="C87" s="13">
        <f t="shared" ref="C87:L87" si="14">0*(96.487*1000)</f>
        <v>0</v>
      </c>
      <c r="D87" s="13">
        <f t="shared" si="14"/>
        <v>0</v>
      </c>
      <c r="E87" s="13">
        <f t="shared" si="14"/>
        <v>0</v>
      </c>
      <c r="F87" s="25">
        <f t="shared" si="14"/>
        <v>0</v>
      </c>
      <c r="G87" s="13">
        <f t="shared" si="14"/>
        <v>0</v>
      </c>
      <c r="H87" s="13">
        <f t="shared" si="14"/>
        <v>0</v>
      </c>
      <c r="I87" s="13">
        <f t="shared" si="14"/>
        <v>0</v>
      </c>
      <c r="J87" s="13">
        <f t="shared" si="14"/>
        <v>0</v>
      </c>
      <c r="K87" s="13">
        <f t="shared" si="14"/>
        <v>0</v>
      </c>
      <c r="L87" s="8">
        <f t="shared" si="14"/>
        <v>0</v>
      </c>
      <c r="M87" s="13"/>
    </row>
    <row r="88" spans="1:13">
      <c r="A88" s="29" t="s">
        <v>139</v>
      </c>
      <c r="C88" s="13">
        <f>1.69333699999999*(96.487*1000)</f>
        <v>163385.007118999</v>
      </c>
      <c r="D88" s="13">
        <f>1.55557499999998*(96.487*1000)</f>
        <v>150092.765024998</v>
      </c>
      <c r="E88" s="13">
        <f>1.55994200000001*(96.487*1000)</f>
        <v>150514.123754001</v>
      </c>
      <c r="F88" s="25">
        <f>1.38680199999999*(96.487*1000)</f>
        <v>133808.364573999</v>
      </c>
      <c r="G88" s="13">
        <f>0.672604272544228*(96.487*1000)</f>
        <v>64897.5684449749</v>
      </c>
      <c r="H88" s="13">
        <f>0.485555507020689*(96.487*1000)</f>
        <v>46849.7942059052</v>
      </c>
      <c r="I88" s="13">
        <f>0.918045500088444*(96.487*1000)</f>
        <v>88579.4561670337</v>
      </c>
      <c r="J88" s="13">
        <f>0.297609161901474*(96.487*1000)</f>
        <v>28715.4152043875</v>
      </c>
      <c r="K88" s="13">
        <f>0.381127892311437*(96.487*1000)</f>
        <v>36773.8869454536</v>
      </c>
      <c r="L88" s="8">
        <f>1.69333699999999*(96.487*1000)</f>
        <v>163385.007118999</v>
      </c>
      <c r="M88" s="13"/>
    </row>
    <row r="89" spans="1:13">
      <c r="A89" s="29" t="s">
        <v>140</v>
      </c>
      <c r="B89" s="15" t="s">
        <v>141</v>
      </c>
      <c r="C89" s="13">
        <f t="shared" ref="C89:L89" si="15">0*(96.487*1000)</f>
        <v>0</v>
      </c>
      <c r="D89" s="13">
        <f t="shared" si="15"/>
        <v>0</v>
      </c>
      <c r="E89" s="13">
        <f t="shared" si="15"/>
        <v>0</v>
      </c>
      <c r="F89" s="25">
        <f t="shared" si="15"/>
        <v>0</v>
      </c>
      <c r="G89" s="13">
        <f t="shared" si="15"/>
        <v>0</v>
      </c>
      <c r="H89" s="13">
        <f t="shared" si="15"/>
        <v>0</v>
      </c>
      <c r="I89" s="13">
        <f t="shared" si="15"/>
        <v>0</v>
      </c>
      <c r="J89" s="13">
        <f t="shared" si="15"/>
        <v>0</v>
      </c>
      <c r="K89" s="13">
        <f t="shared" si="15"/>
        <v>0</v>
      </c>
      <c r="L89" s="8">
        <f t="shared" si="15"/>
        <v>0</v>
      </c>
      <c r="M89" s="13"/>
    </row>
    <row r="90" spans="1:13">
      <c r="A90" s="29" t="s">
        <v>142</v>
      </c>
      <c r="C90" s="13">
        <f>1.197802*(96.487*1000)</f>
        <v>115572.321574</v>
      </c>
      <c r="D90" s="13">
        <f>2.591815*(96.487*1000)</f>
        <v>250076.453905</v>
      </c>
      <c r="E90" s="13">
        <f>2.66892899999999*(96.487*1000)</f>
        <v>257516.952422999</v>
      </c>
      <c r="F90" s="25">
        <f>2.20709800000003*(96.487*1000)</f>
        <v>212956.264726003</v>
      </c>
      <c r="G90" s="13">
        <f>2.854118*(96.487*1000)</f>
        <v>275385.283466</v>
      </c>
      <c r="H90" s="13">
        <f>2.59141000000001*(96.487*1000)</f>
        <v>250037.376670001</v>
      </c>
      <c r="I90" s="13">
        <f>2.82643600000004*(96.487*1000)</f>
        <v>272714.330332004</v>
      </c>
      <c r="J90" s="13">
        <f>2.40056799999999*(96.487*1000)</f>
        <v>231623.604615999</v>
      </c>
      <c r="K90" s="13">
        <f>2.40128299999999*(96.487*1000)</f>
        <v>231692.592820999</v>
      </c>
      <c r="L90" s="8">
        <f>1.197802*(96.487*1000)</f>
        <v>115572.321574</v>
      </c>
      <c r="M90" s="13"/>
    </row>
    <row r="91" spans="1:13">
      <c r="A91" s="29" t="s">
        <v>143</v>
      </c>
      <c r="B91" s="15" t="s">
        <v>144</v>
      </c>
      <c r="C91" s="13">
        <f t="shared" ref="C91:L91" si="16">0*(96.487*1000)</f>
        <v>0</v>
      </c>
      <c r="D91" s="13">
        <f t="shared" si="16"/>
        <v>0</v>
      </c>
      <c r="E91" s="13">
        <f t="shared" si="16"/>
        <v>0</v>
      </c>
      <c r="F91" s="25">
        <f t="shared" si="16"/>
        <v>0</v>
      </c>
      <c r="G91" s="13">
        <f t="shared" si="16"/>
        <v>0</v>
      </c>
      <c r="H91" s="13">
        <f t="shared" si="16"/>
        <v>0</v>
      </c>
      <c r="I91" s="13">
        <f t="shared" si="16"/>
        <v>0</v>
      </c>
      <c r="J91" s="13">
        <f t="shared" si="16"/>
        <v>0</v>
      </c>
      <c r="K91" s="13">
        <f t="shared" si="16"/>
        <v>0</v>
      </c>
      <c r="L91" s="8">
        <f t="shared" si="16"/>
        <v>0</v>
      </c>
      <c r="M91" s="13"/>
    </row>
    <row r="92" spans="1:13">
      <c r="A92" s="29" t="s">
        <v>145</v>
      </c>
      <c r="C92" s="13">
        <f>2.414109*(96.487*1000)</f>
        <v>232930.135083</v>
      </c>
      <c r="D92" s="13">
        <f>1.91038999999999*(96.487*1000)</f>
        <v>184327.799929999</v>
      </c>
      <c r="E92" s="13">
        <f>2.39929999999997*(96.487*1000)</f>
        <v>231501.259099997</v>
      </c>
      <c r="F92" s="25">
        <f>2.12332400000001*(96.487*1000)</f>
        <v>204873.162788001</v>
      </c>
      <c r="G92" s="13">
        <f>2.640932*(96.487*1000)</f>
        <v>254815.605884</v>
      </c>
      <c r="H92" s="13">
        <f>2.60306699999999*(96.487*1000)</f>
        <v>251162.125628999</v>
      </c>
      <c r="I92" s="13">
        <f>2.72084400000001*(96.487*1000)</f>
        <v>262526.075028001</v>
      </c>
      <c r="J92" s="13">
        <f>2.807081*(96.487*1000)</f>
        <v>270846.824447</v>
      </c>
      <c r="K92" s="13">
        <f>2.71454299999999*(96.487*1000)</f>
        <v>261918.110440999</v>
      </c>
      <c r="L92" s="8">
        <f>2.414109*(96.487*1000)</f>
        <v>232930.135083</v>
      </c>
      <c r="M92" s="13"/>
    </row>
    <row r="93" spans="1:13">
      <c r="A93" s="29" t="s">
        <v>146</v>
      </c>
      <c r="B93" s="15" t="s">
        <v>147</v>
      </c>
      <c r="C93" s="13">
        <f t="shared" ref="C93:L93" si="17">0*(96.487*1000)</f>
        <v>0</v>
      </c>
      <c r="D93" s="13">
        <f t="shared" si="17"/>
        <v>0</v>
      </c>
      <c r="E93" s="13">
        <f t="shared" si="17"/>
        <v>0</v>
      </c>
      <c r="F93" s="25">
        <f t="shared" si="17"/>
        <v>0</v>
      </c>
      <c r="G93" s="13">
        <f t="shared" si="17"/>
        <v>0</v>
      </c>
      <c r="H93" s="13">
        <f t="shared" si="17"/>
        <v>0</v>
      </c>
      <c r="I93" s="13">
        <f t="shared" si="17"/>
        <v>0</v>
      </c>
      <c r="J93" s="13">
        <f t="shared" si="17"/>
        <v>0</v>
      </c>
      <c r="K93" s="13">
        <f t="shared" si="17"/>
        <v>0</v>
      </c>
      <c r="L93" s="8">
        <f t="shared" si="17"/>
        <v>0</v>
      </c>
      <c r="M93" s="13"/>
    </row>
    <row r="94" spans="1:13">
      <c r="A94" s="29" t="s">
        <v>148</v>
      </c>
      <c r="C94" s="13">
        <f>0*(96.487*1000)</f>
        <v>0</v>
      </c>
      <c r="D94" s="13">
        <f>1.64247799999999*(96.487*1000)</f>
        <v>158477.774785999</v>
      </c>
      <c r="E94" s="13">
        <f>1.76190100000002*(96.487*1000)</f>
        <v>170000.541787002</v>
      </c>
      <c r="F94" s="25">
        <f>2.18774899999998*(96.487*1000)</f>
        <v>211089.337762998</v>
      </c>
      <c r="G94" s="13">
        <f>1.55224499999999*(96.487*1000)</f>
        <v>149771.463314999</v>
      </c>
      <c r="H94" s="13">
        <f>1.47466699999998*(96.487*1000)</f>
        <v>142286.194828998</v>
      </c>
      <c r="I94" s="13">
        <f>1.81635700000001*(96.487*1000)</f>
        <v>175254.837859001</v>
      </c>
      <c r="J94" s="13">
        <f>1.930367*(96.487*1000)</f>
        <v>186255.320729</v>
      </c>
      <c r="K94" s="13">
        <f>1.765614*(96.487*1000)</f>
        <v>170358.798018</v>
      </c>
      <c r="L94" s="8">
        <f>0*(96.487*1000)</f>
        <v>0</v>
      </c>
      <c r="M94" s="13"/>
    </row>
    <row r="95" spans="1:13">
      <c r="A95" s="29" t="s">
        <v>149</v>
      </c>
      <c r="B95" s="15" t="s">
        <v>150</v>
      </c>
      <c r="C95" s="13">
        <f>0*(96.487*1000)</f>
        <v>0</v>
      </c>
      <c r="D95" s="13">
        <f t="shared" ref="D95:L95" si="18">0*(96.487*1000)</f>
        <v>0</v>
      </c>
      <c r="E95" s="13">
        <f t="shared" si="18"/>
        <v>0</v>
      </c>
      <c r="F95" s="25">
        <f t="shared" si="18"/>
        <v>0</v>
      </c>
      <c r="G95" s="13">
        <f t="shared" si="18"/>
        <v>0</v>
      </c>
      <c r="H95" s="13">
        <f t="shared" si="18"/>
        <v>0</v>
      </c>
      <c r="I95" s="13">
        <f t="shared" si="18"/>
        <v>0</v>
      </c>
      <c r="J95" s="13">
        <f t="shared" si="18"/>
        <v>0</v>
      </c>
      <c r="K95" s="13">
        <f t="shared" si="18"/>
        <v>0</v>
      </c>
      <c r="L95" s="8">
        <f t="shared" si="18"/>
        <v>0</v>
      </c>
      <c r="M95" s="13"/>
    </row>
    <row r="96" spans="1:13">
      <c r="A96" s="29" t="s">
        <v>151</v>
      </c>
      <c r="C96" s="13">
        <f>3.36408100000003*(96.487*1000)</f>
        <v>324590.083447003</v>
      </c>
      <c r="D96" s="13">
        <f>2.304612*(96.487*1000)</f>
        <v>222365.098044</v>
      </c>
      <c r="E96" s="13">
        <f>2.38600500000001*(96.487*1000)</f>
        <v>230218.464435001</v>
      </c>
      <c r="F96" s="25">
        <f>2.61435899999996*(96.487*1000)</f>
        <v>252251.656832996</v>
      </c>
      <c r="G96" s="13">
        <f>2.30567599999998*(96.487*1000)</f>
        <v>222467.760211998</v>
      </c>
      <c r="H96" s="13">
        <f>2.42678599999997*(96.487*1000)</f>
        <v>234153.300781997</v>
      </c>
      <c r="I96" s="13">
        <f>2.73796999999999*(96.487*1000)</f>
        <v>264178.511389999</v>
      </c>
      <c r="J96" s="13">
        <f>2.84796900000002*(96.487*1000)</f>
        <v>274791.984903002</v>
      </c>
      <c r="K96" s="13">
        <f>3.076859*(96.487*1000)</f>
        <v>296876.894333</v>
      </c>
      <c r="L96" s="8">
        <f>3.36408100000003*(96.487*1000)</f>
        <v>324590.083447003</v>
      </c>
      <c r="M96" s="13"/>
    </row>
    <row r="97" spans="1:13">
      <c r="A97" s="29" t="s">
        <v>152</v>
      </c>
      <c r="B97" s="15" t="s">
        <v>153</v>
      </c>
      <c r="C97" s="13">
        <f t="shared" ref="C97:L97" si="19">0*(96.487*1000)</f>
        <v>0</v>
      </c>
      <c r="D97" s="13">
        <f t="shared" si="19"/>
        <v>0</v>
      </c>
      <c r="E97" s="13">
        <f t="shared" si="19"/>
        <v>0</v>
      </c>
      <c r="F97" s="25">
        <f t="shared" si="19"/>
        <v>0</v>
      </c>
      <c r="G97" s="13">
        <f t="shared" si="19"/>
        <v>0</v>
      </c>
      <c r="H97" s="13">
        <f t="shared" si="19"/>
        <v>0</v>
      </c>
      <c r="I97" s="13">
        <f t="shared" si="19"/>
        <v>0</v>
      </c>
      <c r="J97" s="13">
        <f t="shared" si="19"/>
        <v>0</v>
      </c>
      <c r="K97" s="13">
        <f t="shared" si="19"/>
        <v>0</v>
      </c>
      <c r="L97" s="8">
        <f t="shared" si="19"/>
        <v>0</v>
      </c>
      <c r="M97" s="13"/>
    </row>
    <row r="98" spans="1:13">
      <c r="A98" s="29" t="s">
        <v>154</v>
      </c>
      <c r="C98" s="13">
        <f>0*(96.487*1000)</f>
        <v>0</v>
      </c>
      <c r="D98" s="13">
        <f>2.32343*(96.487*1000)</f>
        <v>224180.79041</v>
      </c>
      <c r="E98" s="13">
        <f>2.288966*(96.487*1000)</f>
        <v>220855.462442</v>
      </c>
      <c r="F98" s="25">
        <f>2.23595100000002*(96.487*1000)</f>
        <v>215740.204137002</v>
      </c>
      <c r="G98" s="13">
        <f>2.46658399999999*(96.487*1000)</f>
        <v>237993.290407999</v>
      </c>
      <c r="H98" s="13">
        <f>3.06754800000001*(96.487*1000)</f>
        <v>295978.503876001</v>
      </c>
      <c r="I98" s="13">
        <f>2.58638399999998*(96.487*1000)</f>
        <v>249552.433007998</v>
      </c>
      <c r="J98" s="13">
        <f>3.23196699999997*(96.487*1000)</f>
        <v>311842.799928997</v>
      </c>
      <c r="K98" s="13">
        <f>3.23481*(96.487*1000)</f>
        <v>312117.11247</v>
      </c>
      <c r="L98" s="8">
        <f>0*(96.487*1000)</f>
        <v>0</v>
      </c>
      <c r="M98" s="13"/>
    </row>
    <row r="99" spans="1:13">
      <c r="A99" s="29" t="s">
        <v>155</v>
      </c>
      <c r="B99" s="15" t="s">
        <v>156</v>
      </c>
      <c r="C99" s="13">
        <f>0*(96.487*1000)</f>
        <v>0</v>
      </c>
      <c r="D99" s="13">
        <f t="shared" ref="D99:L99" si="20">0*(96.487*1000)</f>
        <v>0</v>
      </c>
      <c r="E99" s="13">
        <f t="shared" si="20"/>
        <v>0</v>
      </c>
      <c r="F99" s="25">
        <f t="shared" si="20"/>
        <v>0</v>
      </c>
      <c r="G99" s="13">
        <f t="shared" si="20"/>
        <v>0</v>
      </c>
      <c r="H99" s="13">
        <f t="shared" si="20"/>
        <v>0</v>
      </c>
      <c r="I99" s="13">
        <f t="shared" si="20"/>
        <v>0</v>
      </c>
      <c r="J99" s="13">
        <f t="shared" si="20"/>
        <v>0</v>
      </c>
      <c r="K99" s="13">
        <f t="shared" si="20"/>
        <v>0</v>
      </c>
      <c r="L99" s="8">
        <f t="shared" si="20"/>
        <v>0</v>
      </c>
      <c r="M99" s="13"/>
    </row>
    <row r="100" spans="1:13">
      <c r="A100" s="29" t="s">
        <v>157</v>
      </c>
      <c r="C100" s="13">
        <f>2.14777400000002*(96.487*1000)</f>
        <v>207232.269938002</v>
      </c>
      <c r="D100" s="13">
        <f>2.98603700000001*(96.487*1000)</f>
        <v>288113.752019001</v>
      </c>
      <c r="E100" s="13">
        <f>2.65563400000002*(96.487*1000)</f>
        <v>256234.157758002</v>
      </c>
      <c r="F100" s="25">
        <f>2.69813299999997*(96.487*1000)</f>
        <v>260334.758770997</v>
      </c>
      <c r="G100" s="13">
        <f>2.51886199999998*(96.487*1000)</f>
        <v>243037.437793998</v>
      </c>
      <c r="H100" s="13">
        <f>2.41512899999999*(96.487*1000)</f>
        <v>233028.551822999</v>
      </c>
      <c r="I100" s="13">
        <f>2.84356200000002*(96.487*1000)</f>
        <v>274366.766694002</v>
      </c>
      <c r="J100" s="13">
        <f>2.44145600000001*(96.487*1000)</f>
        <v>235568.765072001</v>
      </c>
      <c r="K100" s="13">
        <f>2.76359900000001*(96.487*1000)</f>
        <v>266651.376713001</v>
      </c>
      <c r="L100" s="8">
        <f>2.14777400000002*(96.487*1000)</f>
        <v>207232.269938002</v>
      </c>
      <c r="M100" s="13"/>
    </row>
    <row r="101" spans="1:13">
      <c r="A101" s="29" t="s">
        <v>158</v>
      </c>
      <c r="B101" s="15" t="s">
        <v>159</v>
      </c>
      <c r="C101" s="13">
        <f t="shared" ref="C101:L101" si="21">0*(96.487*1000)</f>
        <v>0</v>
      </c>
      <c r="D101" s="13">
        <f t="shared" si="21"/>
        <v>0</v>
      </c>
      <c r="E101" s="13">
        <f t="shared" si="21"/>
        <v>0</v>
      </c>
      <c r="F101" s="25">
        <f t="shared" si="21"/>
        <v>0</v>
      </c>
      <c r="G101" s="13">
        <f t="shared" si="21"/>
        <v>0</v>
      </c>
      <c r="H101" s="13">
        <f t="shared" si="21"/>
        <v>0</v>
      </c>
      <c r="I101" s="13">
        <f t="shared" si="21"/>
        <v>0</v>
      </c>
      <c r="J101" s="13">
        <f t="shared" si="21"/>
        <v>0</v>
      </c>
      <c r="K101" s="13">
        <f t="shared" si="21"/>
        <v>0</v>
      </c>
      <c r="L101" s="8">
        <f t="shared" si="21"/>
        <v>0</v>
      </c>
      <c r="M101" s="13"/>
    </row>
    <row r="102" spans="1:13">
      <c r="A102" s="29" t="s">
        <v>160</v>
      </c>
      <c r="C102" s="13">
        <f>1.38080399999998*(96.487*1000)</f>
        <v>133229.635547998</v>
      </c>
      <c r="D102" s="13">
        <f>1.661296*(96.487*1000)</f>
        <v>160293.467152</v>
      </c>
      <c r="E102" s="13">
        <f>1.66486200000001*(96.487*1000)</f>
        <v>160637.539794001</v>
      </c>
      <c r="F102" s="25">
        <f>1.80934100000004*(96.487*1000)</f>
        <v>174577.885067004</v>
      </c>
      <c r="G102" s="13">
        <f>1.713153*(96.487*1000)</f>
        <v>165296.993511</v>
      </c>
      <c r="H102" s="13">
        <f>2.11542900000001*(96.487*1000)</f>
        <v>204111.397923001</v>
      </c>
      <c r="I102" s="13">
        <f>1.664771*(96.487*1000)</f>
        <v>160628.759477</v>
      </c>
      <c r="J102" s="13">
        <f>2.31436499999995*(96.487*1000)</f>
        <v>223306.135754995</v>
      </c>
      <c r="K102" s="13">
        <f>1.923565*(96.487*1000)</f>
        <v>185599.016155</v>
      </c>
      <c r="L102" s="8">
        <f>1.38080399999998*(96.487*1000)</f>
        <v>133229.635547998</v>
      </c>
      <c r="M102" s="13"/>
    </row>
    <row r="103" spans="1:13">
      <c r="A103" s="29" t="s">
        <v>161</v>
      </c>
      <c r="B103" s="15" t="s">
        <v>162</v>
      </c>
      <c r="C103" s="13">
        <f t="shared" ref="C103:L103" si="22">0*(96.487*1000)</f>
        <v>0</v>
      </c>
      <c r="D103" s="13">
        <f t="shared" si="22"/>
        <v>0</v>
      </c>
      <c r="E103" s="13">
        <f t="shared" si="22"/>
        <v>0</v>
      </c>
      <c r="F103" s="25">
        <f t="shared" si="22"/>
        <v>0</v>
      </c>
      <c r="G103" s="13">
        <f t="shared" si="22"/>
        <v>0</v>
      </c>
      <c r="H103" s="13">
        <f t="shared" si="22"/>
        <v>0</v>
      </c>
      <c r="I103" s="13">
        <f t="shared" si="22"/>
        <v>0</v>
      </c>
      <c r="J103" s="13">
        <f t="shared" si="22"/>
        <v>0</v>
      </c>
      <c r="K103" s="13">
        <f t="shared" si="22"/>
        <v>0</v>
      </c>
      <c r="L103" s="8">
        <f t="shared" si="22"/>
        <v>0</v>
      </c>
      <c r="M103" s="13"/>
    </row>
    <row r="104" spans="1:13">
      <c r="A104" s="29" t="s">
        <v>163</v>
      </c>
      <c r="C104" s="13">
        <f>1.53262699999991*(96.487*1000)</f>
        <v>147878.581348991</v>
      </c>
      <c r="D104" s="13">
        <f>2.20403699999998*(96.487*1000)</f>
        <v>212660.918018998</v>
      </c>
      <c r="E104" s="13">
        <f>2.08257699999998*(96.487*1000)</f>
        <v>200941.606998998</v>
      </c>
      <c r="F104" s="25">
        <f>2.72487700000005*(96.487*1000)</f>
        <v>262915.207099005</v>
      </c>
      <c r="G104" s="13">
        <f>2.66390600000002*(96.487*1000)</f>
        <v>257032.298222002</v>
      </c>
      <c r="H104" s="13">
        <f>2.91734000000003*(96.487*1000)</f>
        <v>281485.384580003</v>
      </c>
      <c r="I104" s="13">
        <f>2.36493100000002*(96.487*1000)</f>
        <v>228185.097397002</v>
      </c>
      <c r="J104" s="13">
        <f>3.17370199999996*(96.487*1000)</f>
        <v>306220.984873996</v>
      </c>
      <c r="K104" s="13">
        <f>2.765431*(96.487*1000)</f>
        <v>266828.140897</v>
      </c>
      <c r="L104" s="8">
        <f>1.53262699999991*(96.487*1000)</f>
        <v>147878.581348991</v>
      </c>
      <c r="M104" s="13"/>
    </row>
    <row r="105" spans="1:13">
      <c r="A105" s="29" t="s">
        <v>164</v>
      </c>
      <c r="B105" s="15" t="s">
        <v>165</v>
      </c>
      <c r="C105" s="13">
        <f t="shared" ref="C105:L105" si="23">0*(96.487*1000)</f>
        <v>0</v>
      </c>
      <c r="D105" s="13">
        <f t="shared" si="23"/>
        <v>0</v>
      </c>
      <c r="E105" s="13">
        <f t="shared" si="23"/>
        <v>0</v>
      </c>
      <c r="F105" s="25">
        <f t="shared" si="23"/>
        <v>0</v>
      </c>
      <c r="G105" s="13">
        <f t="shared" si="23"/>
        <v>0</v>
      </c>
      <c r="H105" s="13">
        <f t="shared" si="23"/>
        <v>0</v>
      </c>
      <c r="I105" s="13">
        <f t="shared" si="23"/>
        <v>0</v>
      </c>
      <c r="J105" s="13">
        <f t="shared" si="23"/>
        <v>0</v>
      </c>
      <c r="K105" s="13">
        <f t="shared" si="23"/>
        <v>0</v>
      </c>
      <c r="L105" s="8">
        <f t="shared" si="23"/>
        <v>0</v>
      </c>
      <c r="M105" s="13"/>
    </row>
    <row r="106" spans="1:13">
      <c r="A106" s="29" t="s">
        <v>166</v>
      </c>
      <c r="C106" s="13">
        <f>1.57980400000009*(96.487*1000)</f>
        <v>152430.548548009</v>
      </c>
      <c r="D106" s="13">
        <f>1.48073000000004*(96.487*1000)</f>
        <v>142871.195510004</v>
      </c>
      <c r="E106" s="13">
        <f>1.62058700000003*(96.487*1000)</f>
        <v>156365.577869003</v>
      </c>
      <c r="F106" s="25">
        <f>1.88029799999999*(96.487*1000)</f>
        <v>181424.313125999</v>
      </c>
      <c r="G106" s="13">
        <f>-0.194362000000001*(96.487*1000)</f>
        <v>-18753.4062940001</v>
      </c>
      <c r="H106" s="13">
        <f>1.41637199999999*(96.487*1000)</f>
        <v>136661.485163999</v>
      </c>
      <c r="I106" s="13">
        <f>1.81180999999998*(96.487*1000)</f>
        <v>174816.111469998</v>
      </c>
      <c r="J106" s="13">
        <f>2.26765500000001*(96.487*1000)</f>
        <v>218799.227985001</v>
      </c>
      <c r="K106" s="13">
        <f>1.839859*(96.487*1000)</f>
        <v>177522.475333</v>
      </c>
      <c r="L106" s="8">
        <f>1.57980400000009*(96.487*1000)</f>
        <v>152430.548548009</v>
      </c>
      <c r="M106" s="13"/>
    </row>
    <row r="107" spans="1:13">
      <c r="A107" s="29" t="s">
        <v>167</v>
      </c>
      <c r="B107" s="15" t="s">
        <v>168</v>
      </c>
      <c r="C107" s="13">
        <f t="shared" ref="C107:L107" si="24">0*(96.487*1000)</f>
        <v>0</v>
      </c>
      <c r="D107" s="13">
        <f t="shared" si="24"/>
        <v>0</v>
      </c>
      <c r="E107" s="13">
        <f t="shared" si="24"/>
        <v>0</v>
      </c>
      <c r="F107" s="25">
        <f t="shared" si="24"/>
        <v>0</v>
      </c>
      <c r="G107" s="13">
        <f t="shared" si="24"/>
        <v>0</v>
      </c>
      <c r="H107" s="13">
        <f t="shared" si="24"/>
        <v>0</v>
      </c>
      <c r="I107" s="13">
        <f t="shared" si="24"/>
        <v>0</v>
      </c>
      <c r="J107" s="13">
        <f t="shared" si="24"/>
        <v>0</v>
      </c>
      <c r="K107" s="13">
        <f t="shared" si="24"/>
        <v>0</v>
      </c>
      <c r="L107" s="8">
        <f t="shared" si="24"/>
        <v>0</v>
      </c>
      <c r="M107" s="13"/>
    </row>
    <row r="108" spans="1:13">
      <c r="A108" s="29" t="s">
        <v>169</v>
      </c>
      <c r="C108" s="13">
        <f>1.73162700000003*(96.487*1000)</f>
        <v>167079.494349003</v>
      </c>
      <c r="D108" s="13">
        <f>2.02347100000002*(96.487*1000)</f>
        <v>195238.646377002</v>
      </c>
      <c r="E108" s="13">
        <f>2.038302*(96.487*1000)</f>
        <v>196669.645074</v>
      </c>
      <c r="F108" s="25">
        <f>2.795834*(96.487*1000)</f>
        <v>269761.635158</v>
      </c>
      <c r="G108" s="13">
        <f>0.756391000000019*(96.487*1000)</f>
        <v>72981.8984170018</v>
      </c>
      <c r="H108" s="13">
        <f>2.21828300000001*(96.487*1000)</f>
        <v>214035.471821001</v>
      </c>
      <c r="I108" s="13">
        <f>2.51197000000001*(96.487*1000)</f>
        <v>242372.449390001</v>
      </c>
      <c r="J108" s="13">
        <f>3.12699200000001*(96.487*1000)</f>
        <v>301714.077104001</v>
      </c>
      <c r="K108" s="13">
        <f>2.681725*(96.487*1000)</f>
        <v>258751.600075</v>
      </c>
      <c r="L108" s="8">
        <f>1.73162700000003*(96.487*1000)</f>
        <v>167079.494349003</v>
      </c>
      <c r="M108" s="13"/>
    </row>
    <row r="109" spans="1:13">
      <c r="A109" s="29" t="s">
        <v>170</v>
      </c>
      <c r="B109" s="36" t="s">
        <v>171</v>
      </c>
      <c r="C109" s="13">
        <f t="shared" ref="C109:L109" si="25">0*(96.487*1000)</f>
        <v>0</v>
      </c>
      <c r="D109" s="13">
        <f t="shared" si="25"/>
        <v>0</v>
      </c>
      <c r="E109" s="13">
        <f t="shared" si="25"/>
        <v>0</v>
      </c>
      <c r="F109" s="25">
        <f t="shared" si="25"/>
        <v>0</v>
      </c>
      <c r="G109" s="13">
        <f t="shared" si="25"/>
        <v>0</v>
      </c>
      <c r="H109" s="13">
        <f t="shared" si="25"/>
        <v>0</v>
      </c>
      <c r="I109" s="13">
        <f t="shared" si="25"/>
        <v>0</v>
      </c>
      <c r="J109" s="13">
        <f t="shared" si="25"/>
        <v>0</v>
      </c>
      <c r="K109" s="13">
        <f t="shared" si="25"/>
        <v>0</v>
      </c>
      <c r="L109" s="8">
        <f t="shared" si="25"/>
        <v>0</v>
      </c>
      <c r="M109" s="13"/>
    </row>
    <row r="110" spans="1:13">
      <c r="A110" s="29" t="s">
        <v>172</v>
      </c>
      <c r="C110" s="13">
        <f>5.166796*(96.487*1000)</f>
        <v>498528.645652</v>
      </c>
      <c r="D110" s="13">
        <f>5.12610700000002*(96.487*1000)</f>
        <v>494602.686109002</v>
      </c>
      <c r="E110" s="13">
        <f>5.05855899999995*(96.487*1000)</f>
        <v>488085.182232995</v>
      </c>
      <c r="F110" s="25">
        <f>4.83453599999995*(96.487*1000)</f>
        <v>466469.875031995</v>
      </c>
      <c r="G110" s="13">
        <f>6.13108499999996*(96.487*1000)</f>
        <v>591569.998394996</v>
      </c>
      <c r="H110" s="13">
        <f>4.80357800000003*(96.487*1000)</f>
        <v>463482.830486003</v>
      </c>
      <c r="I110" s="13">
        <f>4.78863399999994*(96.487*1000)</f>
        <v>462040.928757994</v>
      </c>
      <c r="J110" s="13">
        <f>4.13260900000003*(96.487*1000)</f>
        <v>398743.044583003</v>
      </c>
      <c r="K110" s="13">
        <f>4.57360899999999*(96.487*1000)</f>
        <v>441293.811582999</v>
      </c>
      <c r="L110" s="8">
        <f>5.166796*(96.487*1000)</f>
        <v>498528.645652</v>
      </c>
      <c r="M110" s="13"/>
    </row>
    <row r="111" spans="1:13">
      <c r="A111" s="29" t="s">
        <v>173</v>
      </c>
      <c r="B111" s="15" t="s">
        <v>174</v>
      </c>
      <c r="C111" s="13">
        <f t="shared" ref="C111:L111" si="26">0*(96.487*1000)</f>
        <v>0</v>
      </c>
      <c r="D111" s="13">
        <f t="shared" si="26"/>
        <v>0</v>
      </c>
      <c r="E111" s="13">
        <f t="shared" si="26"/>
        <v>0</v>
      </c>
      <c r="F111" s="25">
        <f t="shared" si="26"/>
        <v>0</v>
      </c>
      <c r="G111" s="13">
        <f t="shared" si="26"/>
        <v>0</v>
      </c>
      <c r="H111" s="13">
        <f t="shared" si="26"/>
        <v>0</v>
      </c>
      <c r="I111" s="13">
        <f t="shared" si="26"/>
        <v>0</v>
      </c>
      <c r="J111" s="13">
        <f t="shared" si="26"/>
        <v>0</v>
      </c>
      <c r="K111" s="13">
        <f t="shared" si="26"/>
        <v>0</v>
      </c>
      <c r="L111" s="8">
        <f t="shared" si="26"/>
        <v>0</v>
      </c>
      <c r="M111" s="13"/>
    </row>
    <row r="112" spans="1:13">
      <c r="A112" s="29" t="s">
        <v>175</v>
      </c>
      <c r="C112" s="13">
        <f>4.13583800000001*(96.487*1000)</f>
        <v>399054.601106001</v>
      </c>
      <c r="D112" s="13">
        <f>4.24272399999997*(96.487*1000)</f>
        <v>409367.710587997</v>
      </c>
      <c r="E112" s="13">
        <f>4.17904600000002*(96.487*1000)</f>
        <v>403223.611402002</v>
      </c>
      <c r="F112" s="25">
        <f>4.48433400000004*(96.487*1000)</f>
        <v>432679.934658004</v>
      </c>
      <c r="G112" s="13">
        <f>4.86558000000002*(96.487*1000)</f>
        <v>469465.217460002</v>
      </c>
      <c r="H112" s="13">
        <f>3.59808800000001*(96.487*1000)</f>
        <v>347168.716856001</v>
      </c>
      <c r="I112" s="13">
        <f>3.81214099999996*(96.487*1000)</f>
        <v>367822.048666996</v>
      </c>
      <c r="J112" s="13">
        <f>4.47307200000001*(96.487*1000)</f>
        <v>431593.298064001</v>
      </c>
      <c r="K112" s="13">
        <f>4.49635299999999*(96.487*1000)</f>
        <v>433839.611910999</v>
      </c>
      <c r="L112" s="8">
        <f>4.13583800000001*(96.487*1000)</f>
        <v>399054.601106001</v>
      </c>
      <c r="M112" s="13"/>
    </row>
    <row r="113" spans="1:13">
      <c r="A113" s="29" t="s">
        <v>176</v>
      </c>
      <c r="B113" s="15" t="s">
        <v>177</v>
      </c>
      <c r="C113" s="13">
        <f t="shared" ref="C113:L113" si="27">0*(96.487*1000)</f>
        <v>0</v>
      </c>
      <c r="D113" s="13">
        <f t="shared" si="27"/>
        <v>0</v>
      </c>
      <c r="E113" s="13">
        <f t="shared" si="27"/>
        <v>0</v>
      </c>
      <c r="F113" s="25">
        <f t="shared" si="27"/>
        <v>0</v>
      </c>
      <c r="G113" s="13">
        <f t="shared" si="27"/>
        <v>0</v>
      </c>
      <c r="H113" s="13">
        <f t="shared" si="27"/>
        <v>0</v>
      </c>
      <c r="I113" s="13">
        <f t="shared" si="27"/>
        <v>0</v>
      </c>
      <c r="J113" s="13">
        <f t="shared" si="27"/>
        <v>0</v>
      </c>
      <c r="K113" s="13">
        <f t="shared" si="27"/>
        <v>0</v>
      </c>
      <c r="L113" s="8">
        <f t="shared" si="27"/>
        <v>0</v>
      </c>
      <c r="M113" s="13"/>
    </row>
    <row r="114" spans="1:13">
      <c r="A114" s="29" t="s">
        <v>178</v>
      </c>
      <c r="C114" s="13">
        <f>3.97301000000005*(96.487*1000)</f>
        <v>383343.815870005</v>
      </c>
      <c r="D114" s="13">
        <f>4.51828699999997*(96.487*1000)</f>
        <v>435955.957768997</v>
      </c>
      <c r="E114" s="13">
        <f>4.60588799999998*(96.487*1000)</f>
        <v>444408.315455998</v>
      </c>
      <c r="F114" s="25">
        <f>4.16979400000003*(96.487*1000)</f>
        <v>402330.913678003</v>
      </c>
      <c r="G114" s="13">
        <f>5.19553400000002*(96.487*1000)</f>
        <v>501301.489058002</v>
      </c>
      <c r="H114" s="13">
        <f>3.68907000000002*(96.487*1000)</f>
        <v>355947.297090002</v>
      </c>
      <c r="I114" s="13">
        <f>3.97350500000001*(96.487*1000)</f>
        <v>383391.576935001</v>
      </c>
      <c r="J114" s="13">
        <f>3.74484*(96.487*1000)</f>
        <v>361328.37708</v>
      </c>
      <c r="K114" s="13">
        <f>3.46481000000001*(96.487*1000)</f>
        <v>334309.122470001</v>
      </c>
      <c r="L114" s="8">
        <f>3.97301000000005*(96.487*1000)</f>
        <v>383343.815870005</v>
      </c>
      <c r="M114" s="13"/>
    </row>
    <row r="115" spans="1:13">
      <c r="A115" s="42" t="s">
        <v>179</v>
      </c>
      <c r="B115" s="43" t="s">
        <v>180</v>
      </c>
      <c r="C115" s="44">
        <f t="shared" ref="C115:L115" si="28">0*(96.487*1000)</f>
        <v>0</v>
      </c>
      <c r="D115" s="44">
        <f t="shared" si="28"/>
        <v>0</v>
      </c>
      <c r="E115" s="44">
        <f t="shared" si="28"/>
        <v>0</v>
      </c>
      <c r="F115" s="25">
        <f t="shared" si="28"/>
        <v>0</v>
      </c>
      <c r="G115" s="44">
        <f t="shared" si="28"/>
        <v>0</v>
      </c>
      <c r="H115" s="44">
        <f t="shared" si="28"/>
        <v>0</v>
      </c>
      <c r="I115" s="44">
        <f t="shared" si="28"/>
        <v>0</v>
      </c>
      <c r="J115" s="44">
        <f t="shared" si="28"/>
        <v>0</v>
      </c>
      <c r="K115" s="44">
        <f t="shared" si="28"/>
        <v>0</v>
      </c>
      <c r="L115" s="44">
        <f t="shared" si="28"/>
        <v>0</v>
      </c>
      <c r="M115" s="13"/>
    </row>
    <row r="116" spans="1:13">
      <c r="A116" s="42" t="s">
        <v>181</v>
      </c>
      <c r="B116" s="43"/>
      <c r="C116" s="44">
        <f>0.248516999999968*(96.487*1000)</f>
        <v>23978.6597789969</v>
      </c>
      <c r="D116" s="44">
        <v>0</v>
      </c>
      <c r="E116" s="44">
        <v>0</v>
      </c>
      <c r="F116" s="25">
        <v>0</v>
      </c>
      <c r="G116" s="44">
        <v>0</v>
      </c>
      <c r="H116" s="44">
        <v>0</v>
      </c>
      <c r="I116" s="44">
        <v>0</v>
      </c>
      <c r="J116" s="44">
        <v>0</v>
      </c>
      <c r="K116" s="44">
        <v>0</v>
      </c>
      <c r="L116" s="44">
        <f>0.248516999999968*(96.487*1000)</f>
        <v>23978.6597789969</v>
      </c>
      <c r="M116" s="13"/>
    </row>
    <row r="117" spans="2:12">
      <c r="B117" s="15" t="s">
        <v>182</v>
      </c>
      <c r="C117" s="2" t="s">
        <v>4</v>
      </c>
      <c r="D117" s="2" t="s">
        <v>5</v>
      </c>
      <c r="E117" s="2" t="s">
        <v>6</v>
      </c>
      <c r="F117" s="41" t="s">
        <v>7</v>
      </c>
      <c r="G117" s="2" t="s">
        <v>8</v>
      </c>
      <c r="H117" s="2" t="s">
        <v>9</v>
      </c>
      <c r="I117" s="2" t="s">
        <v>10</v>
      </c>
      <c r="J117" s="2" t="s">
        <v>11</v>
      </c>
      <c r="K117" s="2" t="s">
        <v>12</v>
      </c>
      <c r="L117" s="7" t="s">
        <v>13</v>
      </c>
    </row>
    <row r="118" spans="1:12">
      <c r="A118" s="17" t="s">
        <v>183</v>
      </c>
      <c r="B118" s="15" t="s">
        <v>184</v>
      </c>
      <c r="C118" s="13">
        <f>0*(96.487*1000)</f>
        <v>0</v>
      </c>
      <c r="D118" s="13">
        <f>0.549618574399991*(96.487*1000)</f>
        <v>53031.0473881319</v>
      </c>
      <c r="E118" s="13">
        <f>0.452367*(96.487*1000)</f>
        <v>43647.534729</v>
      </c>
      <c r="F118" s="25">
        <f>1.15945871780002*(96.487*1000)</f>
        <v>111872.693304371</v>
      </c>
      <c r="G118" s="13">
        <f>1.50377420360001*(96.487*1000)</f>
        <v>145094.661582754</v>
      </c>
      <c r="H118" s="13">
        <f>1.140206*(96.487*1000)</f>
        <v>110015.056322</v>
      </c>
      <c r="I118" s="13">
        <f>1.261879*(96.487*1000)</f>
        <v>121754.919073</v>
      </c>
      <c r="J118" s="13">
        <f>2.957484*(96.487*1000)</f>
        <v>285358.758708</v>
      </c>
      <c r="K118" s="13">
        <f>3.00010270849999*(96.487*1000)</f>
        <v>289470.910035039</v>
      </c>
      <c r="L118" s="8">
        <f>0*(96.487*1000)</f>
        <v>0</v>
      </c>
    </row>
    <row r="119" spans="1:12">
      <c r="A119" s="17" t="s">
        <v>185</v>
      </c>
      <c r="C119" s="13">
        <f>2.1362*(96.487*1000)</f>
        <v>206115.5294</v>
      </c>
      <c r="D119" s="13">
        <f>1.6690905744*(96.487*1000)</f>
        <v>161045.542252133</v>
      </c>
      <c r="E119" s="13">
        <f>1.64316*(96.487*1000)</f>
        <v>158543.57892</v>
      </c>
      <c r="F119" s="25">
        <f>1.46287271779999*(96.487*1000)</f>
        <v>141148.199922368</v>
      </c>
      <c r="G119" s="13">
        <f>1.3464422036*(96.487*1000)</f>
        <v>129914.168898753</v>
      </c>
      <c r="H119" s="13">
        <f>1.78153*(96.487*1000)</f>
        <v>171894.48511</v>
      </c>
      <c r="I119" s="13">
        <f>1.077982*(96.487*1000)</f>
        <v>104011.249234</v>
      </c>
      <c r="J119" s="13">
        <f>0.951702*(96.487*1000)</f>
        <v>91826.870874</v>
      </c>
      <c r="K119" s="13">
        <f>0.840457708500003*(96.487*1000)</f>
        <v>81093.2429200398</v>
      </c>
      <c r="L119" s="8">
        <f>2.1362*(96.487*1000)</f>
        <v>206115.5294</v>
      </c>
    </row>
    <row r="120" spans="1:12">
      <c r="A120" s="45" t="s">
        <v>186</v>
      </c>
      <c r="B120" s="46" t="s">
        <v>187</v>
      </c>
      <c r="C120" s="47">
        <f>0.28967210999994*(96.487*1000)</f>
        <v>27949.5928775642</v>
      </c>
      <c r="D120" s="47">
        <f>0.332846789999993*(96.487*1000)</f>
        <v>32115.3882267293</v>
      </c>
      <c r="E120" s="47">
        <f>0.318563100000011*(96.487*1000)</f>
        <v>30737.1978297011</v>
      </c>
      <c r="F120" s="47">
        <f>0.193766939999994*(96.487*1000)</f>
        <v>18695.9907397794</v>
      </c>
      <c r="G120" s="47">
        <f>0.290754908055508*(96.487*1000)</f>
        <v>28054.0688135518</v>
      </c>
      <c r="H120" s="47">
        <f>0.200703169844287*(96.487*1000)</f>
        <v>19365.2467487657</v>
      </c>
      <c r="I120" s="47">
        <f>0.0668659350610383*(96.487*1000)</f>
        <v>6451.6934762344</v>
      </c>
      <c r="J120" s="47">
        <f>0*(96.487*1000)</f>
        <v>0</v>
      </c>
      <c r="K120" s="47">
        <f>0*(96.487*1000)</f>
        <v>0</v>
      </c>
      <c r="L120" s="47">
        <f>0.28967210999994*(96.487*1000)</f>
        <v>27949.5928775642</v>
      </c>
    </row>
    <row r="121" spans="1:12">
      <c r="A121" s="45" t="s">
        <v>188</v>
      </c>
      <c r="B121" s="46"/>
      <c r="C121" s="47">
        <f>1.47855311000003*(96.487*1000)</f>
        <v>142661.153924573</v>
      </c>
      <c r="D121" s="47">
        <f>1.45915579*(96.487*1000)</f>
        <v>140789.56470973</v>
      </c>
      <c r="E121" s="47">
        <f>1.4655731*(96.487*1000)</f>
        <v>141408.7516997</v>
      </c>
      <c r="F121" s="47">
        <f>1.52164094*(96.487*1000)</f>
        <v>146818.56937778</v>
      </c>
      <c r="G121" s="47">
        <f>1.47806663551129*(96.487*1000)</f>
        <v>142614.215460578</v>
      </c>
      <c r="H121" s="47">
        <f>1.51852466282358*(96.487*1000)</f>
        <v>146517.889141859</v>
      </c>
      <c r="I121" s="47">
        <f>1.57865443497258*(96.487*1000)</f>
        <v>152319.630467199</v>
      </c>
      <c r="J121" s="47">
        <f>1.73736683809852*(96.487*1000)</f>
        <v>167633.314107612</v>
      </c>
      <c r="K121" s="47">
        <f>1.68715610768857*(96.487*1000)</f>
        <v>162788.631362547</v>
      </c>
      <c r="L121" s="47">
        <f>1.47855311000003*(96.487*1000)</f>
        <v>142661.153924573</v>
      </c>
    </row>
    <row r="122" s="14" customFormat="1" spans="1:12">
      <c r="A122" s="48" t="s">
        <v>189</v>
      </c>
      <c r="B122" s="49" t="s">
        <v>190</v>
      </c>
      <c r="C122" s="50">
        <f>0.0625559999999999*(96.487*1000)</f>
        <v>6035.84077199999</v>
      </c>
      <c r="D122" s="50">
        <f>0.717103357199996*(96.487*1000)</f>
        <v>69191.151626156</v>
      </c>
      <c r="E122" s="50">
        <f>0.858347*(96.487*1000)</f>
        <v>82819.326989</v>
      </c>
      <c r="F122" s="50">
        <f>0.836678743200009*(96.487*1000)</f>
        <v>80728.6218951393</v>
      </c>
      <c r="G122" s="50">
        <f>1.42157175120001*(96.487*1000)</f>
        <v>137163.193558035</v>
      </c>
      <c r="H122" s="50">
        <f>0.802346*(96.487*1000)</f>
        <v>77415.958502</v>
      </c>
      <c r="I122" s="50">
        <f>1.291675*(96.487*1000)</f>
        <v>124629.845725</v>
      </c>
      <c r="J122" s="50">
        <f>1.666517*(96.487*1000)</f>
        <v>160797.225779</v>
      </c>
      <c r="K122" s="50">
        <f>1.7606915784*(96.487*1000)</f>
        <v>169883.848325081</v>
      </c>
      <c r="L122" s="50">
        <f>0.0625559999999999*(96.487*1000)</f>
        <v>6035.84077199999</v>
      </c>
    </row>
    <row r="123" spans="1:12">
      <c r="A123" s="17" t="s">
        <v>191</v>
      </c>
      <c r="C123" s="13">
        <f>1.880105*(96.487*1000)</f>
        <v>181405.691135</v>
      </c>
      <c r="D123" s="13">
        <f>1.5610123572*(96.487*1000)</f>
        <v>150617.399309156</v>
      </c>
      <c r="E123" s="13">
        <f>1.457212*(96.487*1000)</f>
        <v>140602.014244</v>
      </c>
      <c r="F123" s="25">
        <f>1.45463274319999*(96.487*1000)</f>
        <v>140353.149493137</v>
      </c>
      <c r="G123" s="13">
        <f>0.934285751199993*(96.487*1000)</f>
        <v>90146.4292760337</v>
      </c>
      <c r="H123" s="13">
        <f>1.738746*(96.487*1000)</f>
        <v>167766.385302</v>
      </c>
      <c r="I123" s="13">
        <f>1.243533*(96.487*1000)</f>
        <v>119984.768571</v>
      </c>
      <c r="J123" s="13">
        <f>0.51081*(96.487*1000)</f>
        <v>49286.52447</v>
      </c>
      <c r="K123" s="13">
        <f>0.632589578399998*(96.487*1000)</f>
        <v>61036.6706510806</v>
      </c>
      <c r="L123" s="8">
        <f>1.880105*(96.487*1000)</f>
        <v>181405.691135</v>
      </c>
    </row>
    <row r="124" spans="1:12">
      <c r="A124" s="17" t="s">
        <v>192</v>
      </c>
      <c r="B124" s="36" t="s">
        <v>193</v>
      </c>
      <c r="C124" s="13">
        <f>0*(96.487*1000)</f>
        <v>0</v>
      </c>
      <c r="D124" s="13">
        <f>0.00946226109999643*(96.487*1000)</f>
        <v>912.985186755356</v>
      </c>
      <c r="E124" s="13">
        <f>-0.00482100000003438*(96.487*1000)</f>
        <v>-465.163827003317</v>
      </c>
      <c r="F124" s="25">
        <f>0*(96.487*1000)</f>
        <v>0</v>
      </c>
      <c r="G124" s="13">
        <f>0*(96.487*1000)</f>
        <v>0</v>
      </c>
      <c r="H124" s="13">
        <f>0.0962809999999834*(96.487*1000)</f>
        <v>9289.8648469984</v>
      </c>
      <c r="I124" s="13">
        <f>0.145163999999995*(96.487*1000)</f>
        <v>14006.4388679995</v>
      </c>
      <c r="J124" s="13">
        <f>0.334511999999972*(96.487*1000)</f>
        <v>32276.0593439973</v>
      </c>
      <c r="K124" s="13">
        <f>0.413542409800002*(96.487*1000)</f>
        <v>39901.4664943728</v>
      </c>
      <c r="L124" s="8">
        <f>0*(96.487*1000)</f>
        <v>0</v>
      </c>
    </row>
    <row r="125" spans="1:12">
      <c r="A125" s="17" t="s">
        <v>194</v>
      </c>
      <c r="C125" s="13">
        <f>2.6058*(96.487*1000)</f>
        <v>251425.8246</v>
      </c>
      <c r="D125" s="13">
        <f>1.76733526110001*(96.487*1000)</f>
        <v>170524.877337757</v>
      </c>
      <c r="E125" s="13">
        <f>1.80245899999997*(96.487*1000)</f>
        <v>173913.861532997</v>
      </c>
      <c r="F125" s="25">
        <f>1.495041*(96.487*1000)</f>
        <v>144252.020967</v>
      </c>
      <c r="G125" s="13">
        <f>1.66558299999998*(96.487*1000)</f>
        <v>160707.106920998</v>
      </c>
      <c r="H125" s="13">
        <f>1.59410899999998*(96.487*1000)</f>
        <v>153810.795082998</v>
      </c>
      <c r="I125" s="13">
        <f>1.224844*(96.487*1000)</f>
        <v>118181.523028</v>
      </c>
      <c r="J125" s="13">
        <f>0.842845999999972*(96.487*1000)</f>
        <v>81323.6820019973</v>
      </c>
      <c r="K125" s="13">
        <f>0.550556409799995*(96.487*1000)</f>
        <v>53121.5363123721</v>
      </c>
      <c r="L125" s="8">
        <f>2.6058*(96.487*1000)</f>
        <v>251425.8246</v>
      </c>
    </row>
    <row r="126" spans="1:12">
      <c r="A126" s="17" t="s">
        <v>195</v>
      </c>
      <c r="B126" s="15" t="s">
        <v>196</v>
      </c>
      <c r="C126" s="13">
        <f>0*(96.487*1000)</f>
        <v>0</v>
      </c>
      <c r="D126" s="13">
        <f>0*(96.487*1000)</f>
        <v>0</v>
      </c>
      <c r="E126" s="13">
        <f>0.500702*(96.487*1000)</f>
        <v>48311.233874</v>
      </c>
      <c r="F126" s="25">
        <f>0.551763606400072*(96.487*1000)</f>
        <v>53238.0150907238</v>
      </c>
      <c r="G126" s="13">
        <f>2.10486371650002*(96.487*1000)</f>
        <v>203091.985413937</v>
      </c>
      <c r="H126" s="13">
        <f>0.347231*(96.487*1000)</f>
        <v>33503.277497</v>
      </c>
      <c r="I126" s="13">
        <f>0.7726*(96.487*1000)</f>
        <v>74545.8562</v>
      </c>
      <c r="J126" s="13">
        <f>1.944013*(96.487*1000)</f>
        <v>187571.982331</v>
      </c>
      <c r="K126" s="13">
        <f>1.86592829739997*(96.487*1000)</f>
        <v>180037.823631231</v>
      </c>
      <c r="L126" s="8">
        <f>0*(96.487*1000)</f>
        <v>0</v>
      </c>
    </row>
    <row r="127" spans="1:12">
      <c r="A127" s="17" t="s">
        <v>197</v>
      </c>
      <c r="C127" s="13">
        <f>2.2787*(96.487*1000)</f>
        <v>219864.9269</v>
      </c>
      <c r="D127" s="13">
        <f>2.05152300000005*(96.487*1000)</f>
        <v>197945.299701005</v>
      </c>
      <c r="E127" s="13">
        <f>1.975385*(96.487*1000)</f>
        <v>190598.972495</v>
      </c>
      <c r="F127" s="25">
        <f>1.51665960639997*(96.487*1000)</f>
        <v>146337.935442714</v>
      </c>
      <c r="G127" s="13">
        <f>0.765798716499992*(96.487*1000)</f>
        <v>73889.6207589347</v>
      </c>
      <c r="H127" s="13">
        <f>1.230665*(96.487*1000)</f>
        <v>118743.173855</v>
      </c>
      <c r="I127" s="13">
        <f>1.131088*(96.487*1000)</f>
        <v>109135.287856</v>
      </c>
      <c r="J127" s="13">
        <f>1.073165*(96.487*1000)</f>
        <v>103546.471355</v>
      </c>
      <c r="K127" s="13">
        <f>0.881314297400015*(96.487*1000)</f>
        <v>85035.3726132352</v>
      </c>
      <c r="L127" s="8">
        <f>2.2787*(96.487*1000)</f>
        <v>219864.9269</v>
      </c>
    </row>
    <row r="128" spans="1:12">
      <c r="A128" s="17" t="s">
        <v>198</v>
      </c>
      <c r="B128" s="15" t="s">
        <v>199</v>
      </c>
      <c r="C128" s="13">
        <f>0.28048012*(96.487*1000)</f>
        <v>27062.68533844</v>
      </c>
      <c r="D128" s="13">
        <f>0*(96.487*1000)</f>
        <v>0</v>
      </c>
      <c r="E128" s="13">
        <f>0.342863000000004*(96.487*1000)</f>
        <v>33081.8222810004</v>
      </c>
      <c r="F128" s="25">
        <f>0.474899456800033*(96.487*1000)</f>
        <v>45821.6238882648</v>
      </c>
      <c r="G128" s="13">
        <f>1.676337518*(96.487*1000)</f>
        <v>161744.778099266</v>
      </c>
      <c r="H128" s="13">
        <f>0.084377*(96.487*1000)</f>
        <v>8141.283599</v>
      </c>
      <c r="I128" s="13">
        <f>0.377136000000014*(96.487*1000)</f>
        <v>36388.7212320013</v>
      </c>
      <c r="J128" s="13">
        <f>1.258544*(96.487*1000)</f>
        <v>121433.134928</v>
      </c>
      <c r="K128" s="13">
        <f>0.610968131200005*(96.487*1000)</f>
        <v>58950.4820750949</v>
      </c>
      <c r="L128" s="8">
        <f>0.28048012*(96.487*1000)</f>
        <v>27062.68533844</v>
      </c>
    </row>
    <row r="129" spans="1:12">
      <c r="A129" s="17" t="s">
        <v>200</v>
      </c>
      <c r="C129" s="13">
        <f>1.19878012*(96.487*1000)</f>
        <v>115666.69743844</v>
      </c>
      <c r="D129" s="13">
        <f>1.49395300000005*(96.487*1000)</f>
        <v>144147.043111005</v>
      </c>
      <c r="E129" s="13">
        <f>1.541958*(96.487*1000)</f>
        <v>148778.901546</v>
      </c>
      <c r="F129" s="25">
        <f>1.06006145679998*(96.487*1000)</f>
        <v>102282.14978226</v>
      </c>
      <c r="G129" s="13">
        <f>0.202832517999999*(96.487*1000)</f>
        <v>19570.7011642659</v>
      </c>
      <c r="H129" s="13">
        <f>0.917827*(96.487*1000)</f>
        <v>88558.373749</v>
      </c>
      <c r="I129" s="13">
        <f>1.06082200000001*(96.487*1000)</f>
        <v>102355.532314001</v>
      </c>
      <c r="J129" s="13">
        <f>0.602928*(96.487*1000)</f>
        <v>58174.713936</v>
      </c>
      <c r="K129" s="13">
        <f>0.962976131199996*(96.487*1000)</f>
        <v>92914.677971094</v>
      </c>
      <c r="L129" s="8">
        <f>1.19878012*(96.487*1000)</f>
        <v>115666.69743844</v>
      </c>
    </row>
    <row r="130" spans="1:12">
      <c r="A130" s="17" t="s">
        <v>201</v>
      </c>
      <c r="B130" s="36" t="s">
        <v>202</v>
      </c>
      <c r="C130" s="13">
        <f>0*(96.487*1000)</f>
        <v>0</v>
      </c>
      <c r="D130" s="13">
        <f>0*(96.487*1000)</f>
        <v>0</v>
      </c>
      <c r="E130" s="13">
        <f>0*(96.487*1000)</f>
        <v>0</v>
      </c>
      <c r="F130" s="25">
        <f>0.0859049176000067*(96.487*1000)</f>
        <v>8288.70778447185</v>
      </c>
      <c r="G130" s="13">
        <f>0.1993935838*(96.487*1000)</f>
        <v>19238.8887201106</v>
      </c>
      <c r="H130" s="13">
        <f>0.200188999999989*(96.487*1000)</f>
        <v>19315.6360429989</v>
      </c>
      <c r="I130" s="13">
        <f>0.16164*(96.487*1000)</f>
        <v>15596.15868</v>
      </c>
      <c r="J130" s="13">
        <f>0.144733*(96.487*1000)</f>
        <v>13964.852971</v>
      </c>
      <c r="K130" s="13">
        <f>0.188453381799999*(96.487*1000)</f>
        <v>18183.3014497365</v>
      </c>
      <c r="L130" s="8">
        <f>0*(96.487*1000)</f>
        <v>0</v>
      </c>
    </row>
    <row r="131" spans="1:12">
      <c r="A131" s="17" t="s">
        <v>203</v>
      </c>
      <c r="C131" s="13">
        <f>2.8537*(96.487*1000)</f>
        <v>275344.9519</v>
      </c>
      <c r="D131" s="13">
        <f>2.27688400000003*(96.487*1000)</f>
        <v>219689.706508003</v>
      </c>
      <c r="E131" s="13">
        <f>2.31937*(96.487*1000)</f>
        <v>223789.05319</v>
      </c>
      <c r="F131" s="25">
        <f>2.12980091759993*(96.487*1000)</f>
        <v>205498.101136464</v>
      </c>
      <c r="G131" s="13">
        <f>0.857591583799996*(96.487*1000)</f>
        <v>82746.4391461102</v>
      </c>
      <c r="H131" s="13">
        <f>1.87661299999999*(96.487*1000)</f>
        <v>181068.758530999</v>
      </c>
      <c r="I131" s="13">
        <f>1.949157*(96.487*1000)</f>
        <v>188068.311459</v>
      </c>
      <c r="J131" s="13">
        <f>0.78759*(96.487*1000)</f>
        <v>75992.19633</v>
      </c>
      <c r="K131" s="13">
        <f>0.980231381800007*(96.487*1000)</f>
        <v>94579.5853357373</v>
      </c>
      <c r="L131" s="8">
        <f>2.8537*(96.487*1000)</f>
        <v>275344.9519</v>
      </c>
    </row>
    <row r="132" spans="1:12">
      <c r="A132" s="17" t="s">
        <v>204</v>
      </c>
      <c r="B132" s="36" t="s">
        <v>205</v>
      </c>
      <c r="C132" s="13">
        <f t="shared" ref="C132:L132" si="29">0*(96.487*1000)</f>
        <v>0</v>
      </c>
      <c r="D132" s="13">
        <f t="shared" si="29"/>
        <v>0</v>
      </c>
      <c r="E132" s="13">
        <f t="shared" si="29"/>
        <v>0</v>
      </c>
      <c r="F132" s="25">
        <f t="shared" si="29"/>
        <v>0</v>
      </c>
      <c r="G132" s="13">
        <f t="shared" si="29"/>
        <v>0</v>
      </c>
      <c r="H132" s="13">
        <f t="shared" si="29"/>
        <v>0</v>
      </c>
      <c r="I132" s="13">
        <f t="shared" si="29"/>
        <v>0</v>
      </c>
      <c r="J132" s="13">
        <f t="shared" si="29"/>
        <v>0</v>
      </c>
      <c r="K132" s="13">
        <f t="shared" si="29"/>
        <v>0</v>
      </c>
      <c r="L132" s="8">
        <f t="shared" si="29"/>
        <v>0</v>
      </c>
    </row>
    <row r="133" spans="1:12">
      <c r="A133" s="17" t="s">
        <v>206</v>
      </c>
      <c r="B133"/>
      <c r="C133" s="13">
        <f>2.8787*(96.487*1000)</f>
        <v>277757.1269</v>
      </c>
      <c r="D133" s="13">
        <f>2.56966500000001*(96.487*1000)</f>
        <v>247939.266855001</v>
      </c>
      <c r="E133" s="13">
        <f>2.4007*(96.487*1000)</f>
        <v>231636.3409</v>
      </c>
      <c r="F133" s="25">
        <f>1.76969999999996*(96.487*1000)</f>
        <v>170753.043899996</v>
      </c>
      <c r="G133" s="13">
        <f>2.42597099999998*(96.487*1000)</f>
        <v>234074.663876998</v>
      </c>
      <c r="H133" s="13">
        <f>1.7803*(96.487*1000)</f>
        <v>171775.8061</v>
      </c>
      <c r="I133" s="13">
        <f>1.94*(96.487*1000)</f>
        <v>187184.78</v>
      </c>
      <c r="J133" s="13">
        <f>0.5521*(96.487*1000)</f>
        <v>53270.4727</v>
      </c>
      <c r="K133" s="13">
        <f>1.54287899999999*(96.487*1000)</f>
        <v>148867.766072999</v>
      </c>
      <c r="L133" s="8">
        <f>2.8787*(96.487*1000)</f>
        <v>277757.1269</v>
      </c>
    </row>
    <row r="136" spans="1:12">
      <c r="A136" s="17" t="s">
        <v>207</v>
      </c>
      <c r="B136" s="21" t="s">
        <v>64</v>
      </c>
      <c r="C136" s="13">
        <f t="shared" ref="C136:L136" si="30">0*(96.487*1000)</f>
        <v>0</v>
      </c>
      <c r="D136" s="13">
        <f t="shared" si="30"/>
        <v>0</v>
      </c>
      <c r="E136" s="13">
        <f t="shared" si="30"/>
        <v>0</v>
      </c>
      <c r="F136" s="25">
        <f t="shared" si="30"/>
        <v>0</v>
      </c>
      <c r="G136" s="13">
        <f t="shared" si="30"/>
        <v>0</v>
      </c>
      <c r="H136" s="13">
        <f t="shared" si="30"/>
        <v>0</v>
      </c>
      <c r="I136" s="13">
        <f t="shared" si="30"/>
        <v>0</v>
      </c>
      <c r="J136" s="13">
        <f t="shared" si="30"/>
        <v>0</v>
      </c>
      <c r="K136" s="13">
        <f t="shared" si="30"/>
        <v>0</v>
      </c>
      <c r="L136" s="8">
        <f t="shared" si="30"/>
        <v>0</v>
      </c>
    </row>
    <row r="137" spans="1:12">
      <c r="A137" s="17" t="s">
        <v>208</v>
      </c>
      <c r="B137" s="21"/>
      <c r="C137" s="13">
        <f>5.56164000000004*(96.487*1000)</f>
        <v>536625.958680004</v>
      </c>
      <c r="D137" s="13">
        <f>4.541637*(96.487*1000)</f>
        <v>438208.929219</v>
      </c>
      <c r="E137" s="13">
        <f>4.57044099999997*(96.487*1000)</f>
        <v>440988.140766997</v>
      </c>
      <c r="F137" s="25">
        <f>3.90955399999994*(96.487*1000)</f>
        <v>377221.136797994</v>
      </c>
      <c r="G137" s="13">
        <f>2.504447*(96.487*1000)</f>
        <v>241646.577689</v>
      </c>
      <c r="H137" s="13">
        <f>3.74656599999999*(96.487*1000)</f>
        <v>361494.913641999</v>
      </c>
      <c r="I137" s="13">
        <f>3.791136*(96.487*1000)</f>
        <v>365795.339232</v>
      </c>
      <c r="J137" s="13">
        <f>2.55175700000001*(96.487*1000)</f>
        <v>246211.377659001</v>
      </c>
      <c r="K137" s="13">
        <f>2.56328200000002*(96.487*1000)</f>
        <v>247323.390334002</v>
      </c>
      <c r="L137" s="8">
        <f>5.56164000000004*(96.487*1000)</f>
        <v>536625.958680004</v>
      </c>
    </row>
    <row r="138" spans="1:12">
      <c r="A138" s="17" t="s">
        <v>209</v>
      </c>
      <c r="B138" s="21" t="s">
        <v>210</v>
      </c>
      <c r="C138" s="13">
        <f t="shared" ref="C138:L138" si="31">0*(96.487*1000)</f>
        <v>0</v>
      </c>
      <c r="D138" s="13">
        <f t="shared" si="31"/>
        <v>0</v>
      </c>
      <c r="E138" s="13">
        <f t="shared" si="31"/>
        <v>0</v>
      </c>
      <c r="F138" s="25">
        <f t="shared" si="31"/>
        <v>0</v>
      </c>
      <c r="G138" s="13">
        <f t="shared" si="31"/>
        <v>0</v>
      </c>
      <c r="H138" s="13">
        <f t="shared" si="31"/>
        <v>0</v>
      </c>
      <c r="I138" s="13">
        <f t="shared" si="31"/>
        <v>0</v>
      </c>
      <c r="J138" s="13">
        <f t="shared" si="31"/>
        <v>0</v>
      </c>
      <c r="K138" s="13">
        <f t="shared" si="31"/>
        <v>0</v>
      </c>
      <c r="L138" s="8">
        <f t="shared" si="31"/>
        <v>0</v>
      </c>
    </row>
    <row r="139" spans="1:12">
      <c r="A139" s="17" t="s">
        <v>211</v>
      </c>
      <c r="B139" s="21"/>
      <c r="C139" s="13">
        <f>2.84210399999999*(96.487*1000)</f>
        <v>274226.088647999</v>
      </c>
      <c r="D139" s="13">
        <f>3.42216499999999*(96.487*1000)</f>
        <v>330194.434354999</v>
      </c>
      <c r="E139" s="13">
        <f>3.39410400000002*(96.487*1000)</f>
        <v>327486.912648002</v>
      </c>
      <c r="F139" s="13">
        <f>3.60613999999997*(96.487*1000)</f>
        <v>347945.630179997</v>
      </c>
      <c r="G139" s="13">
        <f>2.66177900000002*(96.487*1000)</f>
        <v>256827.070373002</v>
      </c>
      <c r="H139" s="13">
        <f>2.99085999999998*(96.487*1000)</f>
        <v>288579.108819998</v>
      </c>
      <c r="I139" s="13">
        <f>3.61944399999997*(96.487*1000)</f>
        <v>349229.293227997</v>
      </c>
      <c r="J139" s="13">
        <f>4.42006800000002*(96.487*1000)</f>
        <v>426479.101116002</v>
      </c>
      <c r="K139" s="13">
        <f>4.72292700000001*(96.487*1000)</f>
        <v>455701.057449001</v>
      </c>
      <c r="L139" s="13">
        <f>2.84210399999999*(96.487*1000)</f>
        <v>274226.088647999</v>
      </c>
    </row>
  </sheetData>
  <pageMargins left="0.699305555555556" right="0.699305555555556" top="0.75" bottom="0.75" header="0.3" footer="0.3"/>
  <pageSetup paperSize="1" orientation="portrait"/>
  <headerFooter/>
  <ignoredErrors>
    <ignoredError sqref="D28:K28 D30:K30 C30 C28" formula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M133"/>
  <sheetViews>
    <sheetView workbookViewId="0">
      <selection activeCell="K1" sqref="K$1:K$1048576"/>
    </sheetView>
  </sheetViews>
  <sheetFormatPr defaultColWidth="9" defaultRowHeight="14"/>
  <cols>
    <col min="1" max="1" width="19.078125" customWidth="1"/>
    <col min="11" max="11" width="11.078125" style="1" customWidth="1"/>
  </cols>
  <sheetData>
    <row r="1" spans="11:11">
      <c r="K1" s="7" t="s">
        <v>1</v>
      </c>
    </row>
    <row r="2" spans="11:11">
      <c r="K2" s="7" t="s">
        <v>13</v>
      </c>
    </row>
    <row r="3" spans="11:11">
      <c r="K3" s="8">
        <f>0*(96.487*1000)</f>
        <v>0</v>
      </c>
    </row>
    <row r="4" spans="11:11">
      <c r="K4" s="8">
        <f>3.28998100000004*(96.487*1000)</f>
        <v>317440.396747004</v>
      </c>
    </row>
    <row r="5" spans="11:11">
      <c r="K5" s="8">
        <f>0*(96.487*1000)</f>
        <v>0</v>
      </c>
    </row>
    <row r="6" spans="11:13">
      <c r="K6" s="8">
        <f>1.51*(96.487*1000)</f>
        <v>145695.37</v>
      </c>
      <c r="M6" s="5" t="s">
        <v>2</v>
      </c>
    </row>
    <row r="7" spans="11:13">
      <c r="K7" s="8"/>
      <c r="M7" s="13">
        <f>96.487*1000</f>
        <v>96487</v>
      </c>
    </row>
    <row r="8" spans="11:11">
      <c r="K8" s="8">
        <f t="shared" ref="K8" si="0">0*(96.487*1000)</f>
        <v>0</v>
      </c>
    </row>
    <row r="9" ht="14.75" spans="2:11">
      <c r="B9" s="2" t="s">
        <v>212</v>
      </c>
      <c r="C9" s="2" t="s">
        <v>212</v>
      </c>
      <c r="D9" s="2" t="s">
        <v>212</v>
      </c>
      <c r="E9" s="2" t="s">
        <v>212</v>
      </c>
      <c r="F9" s="2" t="s">
        <v>212</v>
      </c>
      <c r="G9" s="2" t="s">
        <v>212</v>
      </c>
      <c r="H9" s="2" t="s">
        <v>212</v>
      </c>
      <c r="I9" s="2" t="s">
        <v>212</v>
      </c>
      <c r="J9" s="2" t="s">
        <v>212</v>
      </c>
      <c r="K9" s="8">
        <f>1.43*(96.487*1000)</f>
        <v>137976.41</v>
      </c>
    </row>
    <row r="10" ht="14.75" spans="1:11">
      <c r="A10" s="3" t="s">
        <v>72</v>
      </c>
      <c r="B10" s="4" t="s">
        <v>4</v>
      </c>
      <c r="C10" s="4" t="s">
        <v>5</v>
      </c>
      <c r="D10" s="4" t="s">
        <v>6</v>
      </c>
      <c r="E10" s="4" t="s">
        <v>7</v>
      </c>
      <c r="F10" s="4" t="s">
        <v>8</v>
      </c>
      <c r="G10" s="4" t="s">
        <v>9</v>
      </c>
      <c r="H10" s="4" t="s">
        <v>10</v>
      </c>
      <c r="I10" s="4" t="s">
        <v>11</v>
      </c>
      <c r="J10" s="9" t="s">
        <v>12</v>
      </c>
      <c r="K10" s="8">
        <f t="shared" ref="K10" si="1">0*(96.487*1000)</f>
        <v>0</v>
      </c>
    </row>
    <row r="11" ht="14.75" spans="1:11">
      <c r="A11" t="s">
        <v>74</v>
      </c>
      <c r="B11" s="5">
        <f>190079.39/(96.487*1000)</f>
        <v>1.97</v>
      </c>
      <c r="C11" s="5">
        <f>135882.449126/(96.487*1000)</f>
        <v>1.408298</v>
      </c>
      <c r="D11" s="5">
        <f>126484.518839/(96.487*1000)</f>
        <v>1.310897</v>
      </c>
      <c r="E11" s="5">
        <f>51331.276974/(96.487*1000)</f>
        <v>0.532002</v>
      </c>
      <c r="F11" s="5">
        <f>17347.39773/(96.487*1000)</f>
        <v>0.17979</v>
      </c>
      <c r="G11" s="5">
        <f>19540.3542660028/(96.487*1000)</f>
        <v>0.202518000000029</v>
      </c>
      <c r="H11" s="5">
        <f>80749.391378/(96.487*1000)</f>
        <v>0.836894</v>
      </c>
      <c r="I11" s="5">
        <f>19469.9187559999/(96.487*1000)</f>
        <v>0.201788</v>
      </c>
      <c r="J11" s="5">
        <f>34374.362133/(96.487*1000)</f>
        <v>0.356259</v>
      </c>
      <c r="K11" s="8">
        <f>1.13*(96.487*1000)</f>
        <v>109030.31</v>
      </c>
    </row>
    <row r="12" ht="14.75" spans="1:11">
      <c r="A12" s="3" t="s">
        <v>213</v>
      </c>
      <c r="B12" s="6">
        <f>34735.32/(96.487*1000)</f>
        <v>0.36</v>
      </c>
      <c r="C12" s="6">
        <f>44758.582534/(96.487*1000)</f>
        <v>0.463882</v>
      </c>
      <c r="D12" s="6">
        <f>63693.96331/(96.487*1000)</f>
        <v>0.66013</v>
      </c>
      <c r="E12" s="6">
        <f>30120.925712/(96.487*1000)</f>
        <v>0.312176</v>
      </c>
      <c r="F12" s="6">
        <f>31598.431143/(96.487*1000)</f>
        <v>0.327489</v>
      </c>
      <c r="G12" s="6">
        <f>32188.5456350028/(96.487*1000)</f>
        <v>0.333605000000029</v>
      </c>
      <c r="H12" s="6">
        <f>40448.411757/(96.487*1000)</f>
        <v>0.419211</v>
      </c>
      <c r="I12" s="6">
        <f>13723.249523/(96.487*1000)</f>
        <v>0.142229</v>
      </c>
      <c r="J12" s="10">
        <f>37510.28612/(96.487*1000)</f>
        <v>0.38876</v>
      </c>
      <c r="K12" s="8">
        <f>1.43*(96.487*1000)</f>
        <v>137976.41</v>
      </c>
    </row>
    <row r="13" ht="14.75" spans="1:11">
      <c r="A13" t="s">
        <v>77</v>
      </c>
      <c r="B13" s="5">
        <f>96487/(96.487*1000)</f>
        <v>1</v>
      </c>
      <c r="C13" s="5">
        <f>99197.126856/(96.487*1000)</f>
        <v>1.028088</v>
      </c>
      <c r="D13" s="5">
        <f>79452.123663/(96.487*1000)</f>
        <v>0.823449</v>
      </c>
      <c r="E13" s="5">
        <f>26798.492354/(96.487*1000)</f>
        <v>0.277742</v>
      </c>
      <c r="F13" s="5">
        <f>10788.1611198247/(96.487*1000)</f>
        <v>0.111809478166227</v>
      </c>
      <c r="G13" s="5">
        <f>32620.421447/(96.487*1000)</f>
        <v>0.338081</v>
      </c>
      <c r="H13" s="5">
        <f>61832.439619/(96.487*1000)</f>
        <v>0.640837</v>
      </c>
      <c r="I13" s="5">
        <f>64794.2045709988/(96.487*1000)</f>
        <v>0.671532999999988</v>
      </c>
      <c r="J13" s="5">
        <f>36101.768894/(96.487*1000)</f>
        <v>0.374162</v>
      </c>
      <c r="K13" s="8">
        <f>3.28998100000004*(96.487*1000)</f>
        <v>317440.396747004</v>
      </c>
    </row>
    <row r="14" ht="14.75" spans="1:11">
      <c r="A14" s="3" t="s">
        <v>214</v>
      </c>
      <c r="B14" s="6">
        <f>8683.83/(96.487*1000)</f>
        <v>0.09</v>
      </c>
      <c r="C14" s="6">
        <f>17567.581064/(96.487*1000)</f>
        <v>0.182072</v>
      </c>
      <c r="D14" s="6">
        <f>20640.209579/(96.487*1000)</f>
        <v>0.213917</v>
      </c>
      <c r="E14" s="6">
        <f>0/(96.487*1000)</f>
        <v>0</v>
      </c>
      <c r="F14" s="6">
        <f>11613.6074048247/(96.487*1000)</f>
        <v>0.120364478166227</v>
      </c>
      <c r="G14" s="6">
        <f>20902.364758/(96.487*1000)</f>
        <v>0.216634</v>
      </c>
      <c r="H14" s="6">
        <f>4789.71116699999/(96.487*1000)</f>
        <v>0.0496409999999999</v>
      </c>
      <c r="I14" s="6">
        <f>3358.13354799887/(96.487*1000)</f>
        <v>0.0348039999999883</v>
      </c>
      <c r="J14" s="10">
        <f>0/(96.487*1000)</f>
        <v>0</v>
      </c>
      <c r="K14" s="8">
        <f>0*(96.487*1000)</f>
        <v>0</v>
      </c>
    </row>
    <row r="15" spans="11:11">
      <c r="K15" s="8">
        <f>0.38*(96.487*1000)</f>
        <v>36665.06</v>
      </c>
    </row>
    <row r="16" spans="11:11">
      <c r="K16" s="8"/>
    </row>
    <row r="17" spans="11:11">
      <c r="K17" s="8">
        <f>1.23771992000002*(96.487*1000)</f>
        <v>119423.881921042</v>
      </c>
    </row>
    <row r="18" spans="11:11">
      <c r="K18" s="8">
        <f>0.724767919999913*(96.487*1000)</f>
        <v>69930.6822970316</v>
      </c>
    </row>
    <row r="19" spans="11:11">
      <c r="K19" s="8">
        <f>1.71690816000004*(96.487*1000)</f>
        <v>165659.317633924</v>
      </c>
    </row>
    <row r="20" spans="11:11">
      <c r="K20" s="8">
        <f>0.195320159999919*(96.487*1000)</f>
        <v>18845.8562779122</v>
      </c>
    </row>
    <row r="21" spans="11:11">
      <c r="K21" s="8">
        <f>1.40801476000002*(96.487*1000)</f>
        <v>135855.120148122</v>
      </c>
    </row>
    <row r="22" spans="11:11">
      <c r="K22" s="8">
        <f>1.04132075999998*(96.487*1000)</f>
        <v>100473.916170118</v>
      </c>
    </row>
    <row r="23" spans="11:11">
      <c r="K23" s="8"/>
    </row>
    <row r="24" spans="11:11">
      <c r="K24" s="8">
        <f>0.956942000000041*(96.487*1000)</f>
        <v>92332.462754004</v>
      </c>
    </row>
    <row r="25" spans="11:11">
      <c r="K25" s="8">
        <f t="shared" ref="K25" si="2">0*(96.487*1000)</f>
        <v>0</v>
      </c>
    </row>
    <row r="26" spans="11:11">
      <c r="K26" s="8">
        <f>3.12144500000006*(96.487*1000)</f>
        <v>301178.863715006</v>
      </c>
    </row>
    <row r="27" spans="11:11">
      <c r="K27" s="8">
        <f t="shared" ref="K27" si="3">(0*(96.487*1000))*(96.487*1000)</f>
        <v>0</v>
      </c>
    </row>
    <row r="28" spans="11:11">
      <c r="K28" s="8">
        <f>1.282455*(96.487*1000)</f>
        <v>123740.235585</v>
      </c>
    </row>
    <row r="29" spans="11:11">
      <c r="K29" s="8">
        <f t="shared" ref="K29:K31" si="4">(0*(96.487*1000))*(96.487*1000)</f>
        <v>0</v>
      </c>
    </row>
    <row r="30" spans="11:11">
      <c r="K30" s="8">
        <f>3.05611300000006*(96.487*1000)</f>
        <v>294875.175031006</v>
      </c>
    </row>
    <row r="31" spans="11:11">
      <c r="K31" s="8">
        <f t="shared" si="4"/>
        <v>0</v>
      </c>
    </row>
    <row r="32" spans="11:11">
      <c r="K32" s="8"/>
    </row>
    <row r="33" spans="11:11">
      <c r="K33" s="8">
        <f t="shared" ref="K33" si="5">0*(96.487*1000)</f>
        <v>0</v>
      </c>
    </row>
    <row r="34" spans="11:11">
      <c r="K34" s="8">
        <f>6.85537400000007*(96.487*1000)</f>
        <v>661454.471138007</v>
      </c>
    </row>
    <row r="35" spans="11:11">
      <c r="K35" s="8">
        <f t="shared" ref="K35" si="6">0*(96.487*1000)</f>
        <v>0</v>
      </c>
    </row>
    <row r="36" spans="11:11">
      <c r="K36" s="8">
        <f>2.88221800000008*(96.487*1000)</f>
        <v>278096.568166008</v>
      </c>
    </row>
    <row r="37" spans="11:11">
      <c r="K37" s="8">
        <f t="shared" ref="K37" si="7">0*(96.487*1000)</f>
        <v>0</v>
      </c>
    </row>
    <row r="38" spans="11:11">
      <c r="K38" s="8">
        <f>5.56164000000004*(96.487*1000)</f>
        <v>536625.958680004</v>
      </c>
    </row>
    <row r="39" spans="11:11">
      <c r="K39" s="8"/>
    </row>
    <row r="40" spans="11:11">
      <c r="K40" s="8"/>
    </row>
    <row r="41" spans="11:11">
      <c r="K41" s="8"/>
    </row>
    <row r="42" spans="11:11">
      <c r="K42" s="8"/>
    </row>
    <row r="43" spans="11:11">
      <c r="K43" s="8"/>
    </row>
    <row r="44" spans="11:11">
      <c r="K44" s="8">
        <f>1.97*(96.487*1000)</f>
        <v>190079.39</v>
      </c>
    </row>
    <row r="45" spans="11:11">
      <c r="K45" s="8">
        <f>0.36*(96.487*1000)</f>
        <v>34735.32</v>
      </c>
    </row>
    <row r="46" spans="11:11">
      <c r="K46" s="8">
        <f>1*(96.487*1000)</f>
        <v>96487</v>
      </c>
    </row>
    <row r="47" spans="11:11">
      <c r="K47" s="8">
        <f>0.09*(96.487*1000)</f>
        <v>8683.83</v>
      </c>
    </row>
    <row r="48" spans="11:11">
      <c r="K48" s="8"/>
    </row>
    <row r="49" spans="11:11">
      <c r="K49" s="8">
        <f t="shared" ref="K49" si="8">0*(96.487*1000)</f>
        <v>0</v>
      </c>
    </row>
    <row r="50" spans="11:11">
      <c r="K50" s="8">
        <f>6.34242199999996*(96.487*1000)</f>
        <v>611961.271513996</v>
      </c>
    </row>
    <row r="51" spans="11:11">
      <c r="K51" s="8">
        <f t="shared" ref="K51" si="9">0*(96.487*1000)</f>
        <v>0</v>
      </c>
    </row>
    <row r="52" spans="11:11">
      <c r="K52" s="8">
        <f>2.36926599999997*(96.487*1000)</f>
        <v>228603.368541997</v>
      </c>
    </row>
    <row r="53" spans="11:11">
      <c r="K53" s="8">
        <f t="shared" ref="K53" si="10">0*(96.487*1000)</f>
        <v>0</v>
      </c>
    </row>
    <row r="54" spans="11:11">
      <c r="K54" s="8">
        <f>1.36062999999996*(96.487*1000)</f>
        <v>131283.106809996</v>
      </c>
    </row>
    <row r="55" spans="11:11">
      <c r="K55" s="8">
        <f t="shared" ref="K55" si="11">0*(96.487*1000)</f>
        <v>0</v>
      </c>
    </row>
    <row r="56" spans="11:11">
      <c r="K56" s="8">
        <f>2.51552400000004*(96.487*1000)</f>
        <v>242715.364188004</v>
      </c>
    </row>
    <row r="57" spans="11:11">
      <c r="K57" s="8">
        <f t="shared" ref="K57" si="12">0*(96.487*1000)</f>
        <v>0</v>
      </c>
    </row>
    <row r="58" spans="11:11">
      <c r="K58" s="8">
        <f>4.81176699999999*(96.487*1000)</f>
        <v>464272.962528999</v>
      </c>
    </row>
    <row r="59" spans="11:11">
      <c r="K59" s="8">
        <f t="shared" ref="K59" si="13">0*(96.487*1000)</f>
        <v>0</v>
      </c>
    </row>
    <row r="60" spans="11:11">
      <c r="K60" s="11">
        <f>1.37*(96.487*1000)</f>
        <v>132187.19</v>
      </c>
    </row>
    <row r="61" spans="11:11">
      <c r="K61" s="12" t="s">
        <v>99</v>
      </c>
    </row>
    <row r="62" spans="11:11">
      <c r="K62" s="8">
        <f>1.47855311000003*(96.487*1000)</f>
        <v>142661.153924573</v>
      </c>
    </row>
    <row r="63" spans="11:11">
      <c r="K63" s="8">
        <f>0.289672109999939*(96.487*1000)</f>
        <v>27949.5928775641</v>
      </c>
    </row>
    <row r="64" spans="11:11">
      <c r="K64" s="8">
        <f>1.63216896000003*(96.487*1000)</f>
        <v>157483.086443523</v>
      </c>
    </row>
    <row r="65" spans="11:11">
      <c r="K65" s="8">
        <v>0</v>
      </c>
    </row>
    <row r="66" spans="11:11">
      <c r="K66" s="8">
        <f>1.25511379000002*(96.487*1000)</f>
        <v>121102.164255732</v>
      </c>
    </row>
    <row r="67" spans="11:11">
      <c r="K67" s="8">
        <f>0.787004789999946*(96.487*1000)</f>
        <v>75935.7311727248</v>
      </c>
    </row>
    <row r="68" spans="11:11">
      <c r="K68" s="8">
        <f>0*(96.487*1000)</f>
        <v>0</v>
      </c>
    </row>
    <row r="69" spans="11:11">
      <c r="K69" s="8">
        <f>0*(96.487*1000)</f>
        <v>0</v>
      </c>
    </row>
    <row r="70" spans="11:11">
      <c r="K70" s="8">
        <f>0.960622470000016*(96.487*1000)</f>
        <v>92687.5802628915</v>
      </c>
    </row>
    <row r="71" spans="11:11">
      <c r="K71" s="8">
        <f>1.44248546999996*(96.487*1000)</f>
        <v>139181.095543886</v>
      </c>
    </row>
    <row r="72" spans="11:11">
      <c r="K72" s="8">
        <f>1.33767764000002*(96.487*1000)</f>
        <v>129068.502450682</v>
      </c>
    </row>
    <row r="73" spans="11:11">
      <c r="K73" s="8">
        <f>0.60323363999996*(96.487*1000)</f>
        <v>58204.2042226761</v>
      </c>
    </row>
    <row r="74" spans="11:11">
      <c r="K74" s="8">
        <f>0*(96.487*1000)</f>
        <v>0</v>
      </c>
    </row>
    <row r="75" spans="11:11">
      <c r="K75" s="8">
        <f>0*(96.487*1000)</f>
        <v>0</v>
      </c>
    </row>
    <row r="76" spans="11:11">
      <c r="K76" s="8">
        <f>1.57543834000003*(96.487*1000)</f>
        <v>152009.319111583</v>
      </c>
    </row>
    <row r="77" spans="11:11">
      <c r="K77" s="8">
        <f>0.0740243399999299*(96.487*1000)</f>
        <v>7142.38649357324</v>
      </c>
    </row>
    <row r="78" spans="11:11">
      <c r="K78" s="8">
        <f>1.52837321000005*(96.487*1000)</f>
        <v>147468.145913275</v>
      </c>
    </row>
    <row r="79" spans="11:11">
      <c r="K79" s="8">
        <f>0.178782209999883*(96.487*1000)</f>
        <v>17250.1590962587</v>
      </c>
    </row>
    <row r="80" spans="11:11">
      <c r="K80" s="8">
        <f>1.46668321000002*(96.487*1000)</f>
        <v>141515.862883272</v>
      </c>
    </row>
    <row r="81" spans="11:11">
      <c r="K81" s="8">
        <f>0.316092209999961*(96.487*1000)</f>
        <v>30498.7890662662</v>
      </c>
    </row>
    <row r="82" spans="11:11">
      <c r="K82" s="8">
        <f>1.51374834*(96.487*1000)</f>
        <v>146057.03608158</v>
      </c>
    </row>
    <row r="83" spans="11:11">
      <c r="K83" s="8">
        <f>0.211334340000007*(96.487*1000)</f>
        <v>20391.0164635807</v>
      </c>
    </row>
    <row r="84" spans="11:11">
      <c r="K84" s="8">
        <f>0.401780820000027*(96.487*1000)</f>
        <v>38766.6259793426</v>
      </c>
    </row>
    <row r="85" spans="11:11">
      <c r="K85" s="8">
        <f>2.68635881999994*(96.487*1000)</f>
        <v>259198.703465334</v>
      </c>
    </row>
    <row r="86" spans="11:11">
      <c r="K86" s="8"/>
    </row>
    <row r="87" spans="11:11">
      <c r="K87" s="8">
        <f t="shared" ref="K87" si="14">0*(96.487*1000)</f>
        <v>0</v>
      </c>
    </row>
    <row r="88" spans="11:11">
      <c r="K88" s="8">
        <f>1.69333699999999*(96.487*1000)</f>
        <v>163385.007118999</v>
      </c>
    </row>
    <row r="89" spans="11:11">
      <c r="K89" s="8">
        <f t="shared" ref="K89" si="15">0*(96.487*1000)</f>
        <v>0</v>
      </c>
    </row>
    <row r="90" spans="11:11">
      <c r="K90" s="8">
        <f>1.197802*(96.487*1000)</f>
        <v>115572.321574</v>
      </c>
    </row>
    <row r="91" spans="11:11">
      <c r="K91" s="8">
        <f t="shared" ref="K91" si="16">0*(96.487*1000)</f>
        <v>0</v>
      </c>
    </row>
    <row r="92" spans="11:11">
      <c r="K92" s="8">
        <f>2.414109*(96.487*1000)</f>
        <v>232930.135083</v>
      </c>
    </row>
    <row r="93" spans="11:11">
      <c r="K93" s="8">
        <f t="shared" ref="K93:K95" si="17">0*(96.487*1000)</f>
        <v>0</v>
      </c>
    </row>
    <row r="94" spans="11:11">
      <c r="K94" s="8">
        <f t="shared" si="17"/>
        <v>0</v>
      </c>
    </row>
    <row r="95" spans="11:11">
      <c r="K95" s="8">
        <f t="shared" si="17"/>
        <v>0</v>
      </c>
    </row>
    <row r="96" spans="11:11">
      <c r="K96" s="8">
        <f>3.36408100000003*(96.487*1000)</f>
        <v>324590.083447003</v>
      </c>
    </row>
    <row r="97" spans="11:11">
      <c r="K97" s="8">
        <f t="shared" ref="K97:K99" si="18">0*(96.487*1000)</f>
        <v>0</v>
      </c>
    </row>
    <row r="98" spans="11:11">
      <c r="K98" s="8">
        <f t="shared" si="18"/>
        <v>0</v>
      </c>
    </row>
    <row r="99" spans="11:11">
      <c r="K99" s="8">
        <f t="shared" si="18"/>
        <v>0</v>
      </c>
    </row>
    <row r="100" spans="11:11">
      <c r="K100" s="8">
        <f>2.14777400000002*(96.487*1000)</f>
        <v>207232.269938002</v>
      </c>
    </row>
    <row r="101" spans="11:11">
      <c r="K101" s="8">
        <f t="shared" ref="K101" si="19">0*(96.487*1000)</f>
        <v>0</v>
      </c>
    </row>
    <row r="102" spans="11:11">
      <c r="K102" s="8">
        <f>1.38080399999998*(96.487*1000)</f>
        <v>133229.635547998</v>
      </c>
    </row>
    <row r="103" spans="11:11">
      <c r="K103" s="8">
        <f t="shared" ref="K103" si="20">0*(96.487*1000)</f>
        <v>0</v>
      </c>
    </row>
    <row r="104" spans="11:11">
      <c r="K104" s="8">
        <f>1.53262699999991*(96.487*1000)</f>
        <v>147878.581348991</v>
      </c>
    </row>
    <row r="105" spans="11:11">
      <c r="K105" s="8">
        <f t="shared" ref="K105" si="21">0*(96.487*1000)</f>
        <v>0</v>
      </c>
    </row>
    <row r="106" spans="11:11">
      <c r="K106" s="8">
        <f>1.57980400000009*(96.487*1000)</f>
        <v>152430.548548009</v>
      </c>
    </row>
    <row r="107" spans="11:11">
      <c r="K107" s="8">
        <f t="shared" ref="K107" si="22">0*(96.487*1000)</f>
        <v>0</v>
      </c>
    </row>
    <row r="108" spans="11:11">
      <c r="K108" s="8">
        <f>1.73162700000003*(96.487*1000)</f>
        <v>167079.494349003</v>
      </c>
    </row>
    <row r="109" spans="11:11">
      <c r="K109" s="8">
        <f t="shared" ref="K109" si="23">0*(96.487*1000)</f>
        <v>0</v>
      </c>
    </row>
    <row r="110" spans="11:11">
      <c r="K110" s="8">
        <f>5.166796*(96.487*1000)</f>
        <v>498528.645652</v>
      </c>
    </row>
    <row r="111" spans="11:11">
      <c r="K111" s="8">
        <f t="shared" ref="K111" si="24">0*(96.487*1000)</f>
        <v>0</v>
      </c>
    </row>
    <row r="112" spans="11:11">
      <c r="K112" s="8">
        <f>4.13583800000001*(96.487*1000)</f>
        <v>399054.601106001</v>
      </c>
    </row>
    <row r="113" spans="11:11">
      <c r="K113" s="8">
        <f t="shared" ref="K113" si="25">0*(96.487*1000)</f>
        <v>0</v>
      </c>
    </row>
    <row r="114" spans="11:11">
      <c r="K114" s="8">
        <f>3.97301000000005*(96.487*1000)</f>
        <v>383343.815870005</v>
      </c>
    </row>
    <row r="115" spans="11:11">
      <c r="K115" s="8">
        <f t="shared" ref="K115" si="26">0*(96.487*1000)</f>
        <v>0</v>
      </c>
    </row>
    <row r="116" spans="11:11">
      <c r="K116" s="8">
        <f>0.248516999999968*(96.487*1000)</f>
        <v>23978.6597789969</v>
      </c>
    </row>
    <row r="117" spans="11:11">
      <c r="K117" s="7" t="s">
        <v>13</v>
      </c>
    </row>
    <row r="118" spans="11:11">
      <c r="K118" s="8">
        <f>0*(96.487*1000)</f>
        <v>0</v>
      </c>
    </row>
    <row r="119" spans="11:11">
      <c r="K119" s="8">
        <f>2.1362*(96.487*1000)</f>
        <v>206115.5294</v>
      </c>
    </row>
    <row r="120" spans="11:11">
      <c r="K120" s="8">
        <f>0.28967210999994*(96.487*1000)</f>
        <v>27949.5928775642</v>
      </c>
    </row>
    <row r="121" spans="11:11">
      <c r="K121" s="8">
        <f>1.47855311000003*(96.487*1000)</f>
        <v>142661.153924573</v>
      </c>
    </row>
    <row r="122" spans="11:11">
      <c r="K122" s="8">
        <f>0.0625559999999999*(96.487*1000)</f>
        <v>6035.84077199999</v>
      </c>
    </row>
    <row r="123" spans="11:11">
      <c r="K123" s="8">
        <f>1.880105*(96.487*1000)</f>
        <v>181405.691135</v>
      </c>
    </row>
    <row r="124" spans="11:11">
      <c r="K124" s="8">
        <f>0*(96.487*1000)</f>
        <v>0</v>
      </c>
    </row>
    <row r="125" spans="11:11">
      <c r="K125" s="8">
        <f>2.6058*(96.487*1000)</f>
        <v>251425.8246</v>
      </c>
    </row>
    <row r="126" spans="11:11">
      <c r="K126" s="8">
        <f>0*(96.487*1000)</f>
        <v>0</v>
      </c>
    </row>
    <row r="127" spans="11:11">
      <c r="K127" s="8">
        <f>2.2787*(96.487*1000)</f>
        <v>219864.9269</v>
      </c>
    </row>
    <row r="128" spans="11:11">
      <c r="K128" s="8">
        <f>0.28048012*(96.487*1000)</f>
        <v>27062.68533844</v>
      </c>
    </row>
    <row r="129" spans="11:11">
      <c r="K129" s="8">
        <f>1.19878012*(96.487*1000)</f>
        <v>115666.69743844</v>
      </c>
    </row>
    <row r="130" spans="11:11">
      <c r="K130" s="8">
        <f>0*(96.487*1000)</f>
        <v>0</v>
      </c>
    </row>
    <row r="131" spans="11:11">
      <c r="K131" s="8">
        <f>2.8537*(96.487*1000)</f>
        <v>275344.9519</v>
      </c>
    </row>
    <row r="132" spans="11:11">
      <c r="K132" s="8">
        <f t="shared" ref="K132" si="27">0*(96.487*1000)</f>
        <v>0</v>
      </c>
    </row>
    <row r="133" spans="11:11">
      <c r="K133" s="8">
        <f>2.8787*(96.487*1000)</f>
        <v>277757.1269</v>
      </c>
    </row>
  </sheetData>
  <pageMargins left="0.699305555555556" right="0.699305555555556" top="0.75" bottom="0.75" header="0.3" footer="0.3"/>
  <pageSetup paperSize="1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EnergyInput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Tsung-Wei Liu</dc:creator>
  <cp:lastModifiedBy>Tsung-Wei Liu</cp:lastModifiedBy>
  <dcterms:created xsi:type="dcterms:W3CDTF">2021-09-11T13:54:00Z</dcterms:created>
  <dcterms:modified xsi:type="dcterms:W3CDTF">2023-06-05T20:01:26Z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1033-3.2.0.6370</vt:lpwstr>
  </property>
</Properties>
</file>