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Desktop\L3\S2\ECONOMETRIE\td\"/>
    </mc:Choice>
  </mc:AlternateContent>
  <xr:revisionPtr revIDLastSave="0" documentId="13_ncr:1_{EFC032CD-8F21-46CB-A40B-634D1065AC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RED Grap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4" i="1" l="1" a="1"/>
  <c r="E104" i="1" s="1"/>
  <c r="B62" i="1"/>
  <c r="B74" i="1"/>
  <c r="B72" i="1"/>
  <c r="B71" i="1"/>
  <c r="B70" i="1"/>
  <c r="E91" i="1" a="1"/>
  <c r="E91" i="1" s="1"/>
  <c r="E98" i="1" a="1"/>
  <c r="E98" i="1" s="1"/>
  <c r="E77" i="1" a="1"/>
  <c r="E77" i="1" s="1"/>
  <c r="H84" i="1" s="1" a="1"/>
  <c r="H84" i="1" s="1"/>
  <c r="E84" i="1" a="1"/>
  <c r="E84" i="1" s="1"/>
  <c r="B78" i="1"/>
  <c r="E65" i="1"/>
  <c r="Q62" i="1" l="1"/>
  <c r="Q65" i="1"/>
  <c r="Q67" i="1"/>
  <c r="Q66" i="1"/>
  <c r="Q61" i="1"/>
  <c r="K62" i="1"/>
  <c r="K63" i="1"/>
  <c r="K64" i="1"/>
  <c r="D58" i="1"/>
  <c r="D59" i="1" s="1"/>
  <c r="D56" i="1"/>
  <c r="D57" i="1" s="1"/>
  <c r="D55" i="1"/>
  <c r="D54" i="1"/>
  <c r="D5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" i="1"/>
  <c r="F58" i="1"/>
  <c r="F59" i="1" s="1"/>
  <c r="G58" i="1"/>
  <c r="G59" i="1" s="1"/>
  <c r="H58" i="1"/>
  <c r="H59" i="1" s="1"/>
  <c r="I58" i="1"/>
  <c r="I59" i="1" s="1"/>
  <c r="J58" i="1"/>
  <c r="J59" i="1" s="1"/>
  <c r="F56" i="1"/>
  <c r="F57" i="1" s="1"/>
  <c r="G56" i="1"/>
  <c r="G57" i="1" s="1"/>
  <c r="H56" i="1"/>
  <c r="H57" i="1" s="1"/>
  <c r="I56" i="1"/>
  <c r="I57" i="1" s="1"/>
  <c r="J56" i="1"/>
  <c r="J57" i="1" s="1"/>
  <c r="F55" i="1"/>
  <c r="G55" i="1"/>
  <c r="H55" i="1"/>
  <c r="I55" i="1"/>
  <c r="J55" i="1"/>
  <c r="F54" i="1"/>
  <c r="G54" i="1"/>
  <c r="H54" i="1"/>
  <c r="I54" i="1"/>
  <c r="J54" i="1"/>
  <c r="F53" i="1"/>
  <c r="G53" i="1"/>
  <c r="H53" i="1"/>
  <c r="I53" i="1"/>
  <c r="J53" i="1"/>
  <c r="B58" i="1"/>
  <c r="B59" i="1" s="1"/>
  <c r="B56" i="1"/>
  <c r="B57" i="1" s="1"/>
  <c r="B55" i="1"/>
  <c r="B54" i="1"/>
  <c r="B53" i="1"/>
  <c r="B88" i="1" l="1"/>
  <c r="B87" i="1"/>
  <c r="B86" i="1"/>
  <c r="E70" i="1" a="1"/>
  <c r="E70" i="1" s="1"/>
  <c r="B80" i="1"/>
  <c r="B82" i="1"/>
  <c r="B79" i="1"/>
  <c r="C58" i="1"/>
  <c r="C59" i="1" s="1"/>
  <c r="C56" i="1"/>
  <c r="C57" i="1" s="1"/>
  <c r="C55" i="1"/>
  <c r="C54" i="1"/>
  <c r="C53" i="1"/>
  <c r="E58" i="1"/>
  <c r="E59" i="1" s="1"/>
  <c r="E56" i="1"/>
  <c r="E57" i="1" s="1"/>
  <c r="E55" i="1"/>
  <c r="N2" i="1" s="1" a="1"/>
  <c r="N2" i="1" s="1"/>
  <c r="E54" i="1"/>
  <c r="E53" i="1"/>
  <c r="D60" i="1"/>
  <c r="B60" i="1"/>
  <c r="J60" i="1"/>
  <c r="I60" i="1"/>
  <c r="H60" i="1"/>
  <c r="G60" i="1"/>
  <c r="F60" i="1"/>
  <c r="M2" i="1" l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E60" i="1"/>
  <c r="C60" i="1"/>
  <c r="K2" i="1" l="1" a="1"/>
  <c r="K2" i="1" l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K58" i="1" l="1"/>
  <c r="K59" i="1" s="1"/>
  <c r="K56" i="1"/>
  <c r="K57" i="1" s="1"/>
  <c r="K55" i="1"/>
  <c r="K54" i="1"/>
  <c r="K53" i="1"/>
  <c r="L2" i="1"/>
  <c r="V61" i="1" l="1"/>
  <c r="K66" i="1"/>
  <c r="V64" i="1"/>
  <c r="V63" i="1"/>
  <c r="V62" i="1"/>
  <c r="V65" i="1"/>
  <c r="B108" i="1"/>
  <c r="B107" i="1"/>
  <c r="B106" i="1"/>
  <c r="B105" i="1"/>
  <c r="B104" i="1"/>
  <c r="L58" i="1"/>
  <c r="L59" i="1" s="1"/>
  <c r="L56" i="1"/>
  <c r="L57" i="1" s="1"/>
  <c r="L55" i="1"/>
  <c r="L54" i="1"/>
  <c r="L53" i="1"/>
  <c r="K60" i="1"/>
  <c r="N62" i="1" l="1"/>
  <c r="N63" i="1"/>
  <c r="K67" i="1"/>
  <c r="E66" i="1"/>
  <c r="E67" i="1" s="1"/>
  <c r="H65" i="1" s="1"/>
  <c r="B77" i="1"/>
  <c r="B84" i="1"/>
  <c r="B90" i="1" s="1"/>
  <c r="B97" i="1" s="1"/>
  <c r="L60" i="1"/>
  <c r="H63" i="1" l="1"/>
  <c r="H67" i="1"/>
  <c r="B95" i="1"/>
  <c r="B102" i="1" s="1"/>
  <c r="B94" i="1"/>
  <c r="B101" i="1" s="1"/>
  <c r="B93" i="1"/>
  <c r="B100" i="1" s="1"/>
  <c r="B92" i="1"/>
  <c r="B99" i="1" s="1"/>
  <c r="B91" i="1"/>
  <c r="B98" i="1" s="1"/>
  <c r="B75" i="1"/>
  <c r="B63" i="1"/>
  <c r="B66" i="1"/>
  <c r="B65" i="1" l="1"/>
  <c r="H62" i="1" s="1"/>
  <c r="E62" i="1"/>
  <c r="E63" i="1" l="1"/>
  <c r="N66" i="1" s="1"/>
  <c r="N6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<sst xmlns="http://schemas.openxmlformats.org/spreadsheetml/2006/main" count="96" uniqueCount="86">
  <si>
    <t>observation_date</t>
  </si>
  <si>
    <t>GDP = Y</t>
  </si>
  <si>
    <t>LN(GDP) = Y</t>
  </si>
  <si>
    <t>POPTHM = X</t>
  </si>
  <si>
    <t xml:space="preserve">LN(POP) = X </t>
  </si>
  <si>
    <t>UNRATE = X</t>
  </si>
  <si>
    <t>GCEGI = X</t>
  </si>
  <si>
    <t>CPIAUCSL= X</t>
  </si>
  <si>
    <t>NCPHIRSAXDCUSQ = X</t>
  </si>
  <si>
    <t xml:space="preserve">GPDI = X </t>
  </si>
  <si>
    <t>Y_ THEORIQUE</t>
  </si>
  <si>
    <t>Résidus</t>
  </si>
  <si>
    <t>Y-YMOY</t>
  </si>
  <si>
    <t>X-XMOY(LN(POP))</t>
  </si>
  <si>
    <t>X-MOY(UNRATE)</t>
  </si>
  <si>
    <t>X-MOY(GCEGI)</t>
  </si>
  <si>
    <t>X-MOY(CPIAUCSL)</t>
  </si>
  <si>
    <t>X-MOY(NCPHIRSAXDCUSQ)</t>
  </si>
  <si>
    <t>X-MOY(GPDI)</t>
  </si>
  <si>
    <t>N</t>
  </si>
  <si>
    <t>SOMME</t>
  </si>
  <si>
    <t>MOYENNE</t>
  </si>
  <si>
    <t>VARIANCE</t>
  </si>
  <si>
    <t>ET</t>
  </si>
  <si>
    <t>SIGMA²</t>
  </si>
  <si>
    <t>SIGMA</t>
  </si>
  <si>
    <t>COEFFICIENT DE VARAIATION</t>
  </si>
  <si>
    <t>T test 1 5%</t>
  </si>
  <si>
    <t>MIN</t>
  </si>
  <si>
    <t>COV(X;Y)</t>
  </si>
  <si>
    <t>a1</t>
  </si>
  <si>
    <t>R²</t>
  </si>
  <si>
    <t>F test 1%</t>
  </si>
  <si>
    <t>V(a1)</t>
  </si>
  <si>
    <t>T test 1 10%</t>
  </si>
  <si>
    <t>Q1</t>
  </si>
  <si>
    <t>a0</t>
  </si>
  <si>
    <t>F test 5%</t>
  </si>
  <si>
    <t>V(a0)</t>
  </si>
  <si>
    <t>T test  1 1%</t>
  </si>
  <si>
    <t>P-value a1</t>
  </si>
  <si>
    <t>MEDIANE</t>
  </si>
  <si>
    <t>F test 10%</t>
  </si>
  <si>
    <t>Q3</t>
  </si>
  <si>
    <t>Coefficient de correlation linéaire</t>
  </si>
  <si>
    <t>SCT</t>
  </si>
  <si>
    <t>F</t>
  </si>
  <si>
    <t>T1</t>
  </si>
  <si>
    <t>T test 2 5%</t>
  </si>
  <si>
    <t>P-value a2</t>
  </si>
  <si>
    <t>MAX</t>
  </si>
  <si>
    <t>SCR</t>
  </si>
  <si>
    <t>SIGMA(e)²</t>
  </si>
  <si>
    <t>T0</t>
  </si>
  <si>
    <t>T test 10%</t>
  </si>
  <si>
    <t>SCE</t>
  </si>
  <si>
    <t>P-value</t>
  </si>
  <si>
    <t>T test 2 1%</t>
  </si>
  <si>
    <t>X'X</t>
  </si>
  <si>
    <t>R² ajusté</t>
  </si>
  <si>
    <t xml:space="preserve">F observé </t>
  </si>
  <si>
    <t>(X'X)^-1</t>
  </si>
  <si>
    <t>F critique 1%</t>
  </si>
  <si>
    <t>F critique 5%</t>
  </si>
  <si>
    <t>F critique 10%</t>
  </si>
  <si>
    <t xml:space="preserve">P-value </t>
  </si>
  <si>
    <t>X'Y</t>
  </si>
  <si>
    <t xml:space="preserve">BETA </t>
  </si>
  <si>
    <t>T critique 1%</t>
  </si>
  <si>
    <t>T critique 5%</t>
  </si>
  <si>
    <t>T critique 10%</t>
  </si>
  <si>
    <t>OMEGA</t>
  </si>
  <si>
    <t>T2</t>
  </si>
  <si>
    <t>T3</t>
  </si>
  <si>
    <t>T4</t>
  </si>
  <si>
    <t>T5</t>
  </si>
  <si>
    <t>P-value T0</t>
  </si>
  <si>
    <t>P-value T1</t>
  </si>
  <si>
    <t>DROITEREG</t>
  </si>
  <si>
    <t>P-value T2</t>
  </si>
  <si>
    <t>P-value T3</t>
  </si>
  <si>
    <t>P-value T4</t>
  </si>
  <si>
    <t>P-value T5</t>
  </si>
  <si>
    <t xml:space="preserve">MIN </t>
  </si>
  <si>
    <t>DROITEREG(POP;EMP)</t>
  </si>
  <si>
    <t xml:space="preserve">Q3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</si>
</sst>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1" x14ac:knownFonts="1"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0" fillId="3" borderId="0" xfId="0" applyFill="1"/>
    <xf numFmtId="0" fontId="0" fillId="4" borderId="0" xfId="0" applyFill="1"/>
    <xf numFmtId="165" fontId="0" fillId="4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5" fontId="0" fillId="7" borderId="0" xfId="0" applyNumberFormat="1" applyFill="1"/>
    <xf numFmtId="0" fontId="0" fillId="8" borderId="0" xfId="0" applyFill="1"/>
    <xf numFmtId="165" fontId="0" fillId="8" borderId="0" xfId="0" applyNumberFormat="1" applyFill="1"/>
    <xf numFmtId="0" fontId="0" fillId="9" borderId="0" xfId="0" applyFill="1"/>
    <xf numFmtId="11" fontId="0" fillId="9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Résidu en fonction de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'FRED Graph'!$C$2:$C$51</c:f>
              <c:numCache>
                <c:formatCode>0.000</c:formatCode>
                <c:ptCount val="50"/>
                <c:pt idx="0">
                  <c:v>6.9785030763521396</c:v>
                </c:pt>
                <c:pt idx="1">
                  <c:v>7.0603473877253791</c:v>
                </c:pt>
                <c:pt idx="2">
                  <c:v>7.1539213661577756</c:v>
                </c:pt>
                <c:pt idx="3">
                  <c:v>7.2621909175470387</c:v>
                </c:pt>
                <c:pt idx="4">
                  <c:v>7.3429361349440416</c:v>
                </c:pt>
                <c:pt idx="5">
                  <c:v>7.429464461375102</c:v>
                </c:pt>
                <c:pt idx="6">
                  <c:v>7.5355169131131845</c:v>
                </c:pt>
                <c:pt idx="7">
                  <c:v>7.6410001918477679</c:v>
                </c:pt>
                <c:pt idx="8">
                  <c:v>7.7628506949749738</c:v>
                </c:pt>
                <c:pt idx="9">
                  <c:v>7.8737219730669654</c:v>
                </c:pt>
                <c:pt idx="10">
                  <c:v>7.9576353768003294</c:v>
                </c:pt>
                <c:pt idx="11">
                  <c:v>8.0731040620987411</c:v>
                </c:pt>
                <c:pt idx="12">
                  <c:v>8.1148599488931801</c:v>
                </c:pt>
                <c:pt idx="13">
                  <c:v>8.1980992929342946</c:v>
                </c:pt>
                <c:pt idx="14">
                  <c:v>8.3034092024264208</c:v>
                </c:pt>
                <c:pt idx="15">
                  <c:v>8.375394691665182</c:v>
                </c:pt>
                <c:pt idx="16">
                  <c:v>8.4293740337141436</c:v>
                </c:pt>
                <c:pt idx="17">
                  <c:v>8.487808921443051</c:v>
                </c:pt>
                <c:pt idx="18">
                  <c:v>8.563396775173663</c:v>
                </c:pt>
                <c:pt idx="19">
                  <c:v>8.6379193584760188</c:v>
                </c:pt>
                <c:pt idx="20">
                  <c:v>8.6933532215982385</c:v>
                </c:pt>
                <c:pt idx="21">
                  <c:v>8.7255283172216345</c:v>
                </c:pt>
                <c:pt idx="22">
                  <c:v>8.7826798453789277</c:v>
                </c:pt>
                <c:pt idx="23">
                  <c:v>8.8332525674439424</c:v>
                </c:pt>
                <c:pt idx="24">
                  <c:v>8.8938796722005797</c:v>
                </c:pt>
                <c:pt idx="25">
                  <c:v>8.9411200609413282</c:v>
                </c:pt>
                <c:pt idx="26">
                  <c:v>8.9962955204159432</c:v>
                </c:pt>
                <c:pt idx="27">
                  <c:v>9.0569038953784027</c:v>
                </c:pt>
                <c:pt idx="28">
                  <c:v>9.1119352502762716</c:v>
                </c:pt>
                <c:pt idx="29">
                  <c:v>9.1727601744410023</c:v>
                </c:pt>
                <c:pt idx="30">
                  <c:v>9.2351258583024354</c:v>
                </c:pt>
                <c:pt idx="31">
                  <c:v>9.2669030139348578</c:v>
                </c:pt>
                <c:pt idx="32">
                  <c:v>9.2991849904679533</c:v>
                </c:pt>
                <c:pt idx="33">
                  <c:v>9.346308125511678</c:v>
                </c:pt>
                <c:pt idx="34">
                  <c:v>9.410599726030874</c:v>
                </c:pt>
                <c:pt idx="35">
                  <c:v>9.4757152538299323</c:v>
                </c:pt>
                <c:pt idx="36">
                  <c:v>9.5335524369737961</c:v>
                </c:pt>
                <c:pt idx="37">
                  <c:v>9.5801248985972745</c:v>
                </c:pt>
                <c:pt idx="38">
                  <c:v>9.6003440152920447</c:v>
                </c:pt>
                <c:pt idx="39">
                  <c:v>9.5803901798208866</c:v>
                </c:pt>
                <c:pt idx="40">
                  <c:v>9.6190648957465203</c:v>
                </c:pt>
                <c:pt idx="41">
                  <c:v>9.6550089815510471</c:v>
                </c:pt>
                <c:pt idx="42">
                  <c:v>9.6960924656119261</c:v>
                </c:pt>
                <c:pt idx="43">
                  <c:v>9.7339252442265156</c:v>
                </c:pt>
                <c:pt idx="44">
                  <c:v>9.7761164747202276</c:v>
                </c:pt>
                <c:pt idx="45">
                  <c:v>9.8143841159878864</c:v>
                </c:pt>
                <c:pt idx="46">
                  <c:v>9.8418734577589913</c:v>
                </c:pt>
                <c:pt idx="47">
                  <c:v>9.8839021291494706</c:v>
                </c:pt>
                <c:pt idx="48">
                  <c:v>9.9357860692041413</c:v>
                </c:pt>
                <c:pt idx="49">
                  <c:v>9.9768028355948477</c:v>
                </c:pt>
              </c:numCache>
            </c:numRef>
          </c:xVal>
          <c:yVal>
            <c:numRef>
              <c:f>'FRED Graph'!$L$2:$L$51</c:f>
              <c:numCache>
                <c:formatCode>0.000</c:formatCode>
                <c:ptCount val="50"/>
                <c:pt idx="0">
                  <c:v>-0.3410277345445154</c:v>
                </c:pt>
                <c:pt idx="1">
                  <c:v>-0.23040000446806985</c:v>
                </c:pt>
                <c:pt idx="2">
                  <c:v>-0.12521392283574517</c:v>
                </c:pt>
                <c:pt idx="3">
                  <c:v>-4.7693259417278533E-2</c:v>
                </c:pt>
                <c:pt idx="4">
                  <c:v>-6.1302040815716552E-2</c:v>
                </c:pt>
                <c:pt idx="5">
                  <c:v>2.4121173438969024E-2</c:v>
                </c:pt>
                <c:pt idx="6">
                  <c:v>9.0653096291424262E-2</c:v>
                </c:pt>
                <c:pt idx="7">
                  <c:v>0.13477224991707981</c:v>
                </c:pt>
                <c:pt idx="8">
                  <c:v>0.16055039032564267</c:v>
                </c:pt>
                <c:pt idx="9">
                  <c:v>0.13408963469275914</c:v>
                </c:pt>
                <c:pt idx="10">
                  <c:v>5.2162370974337513E-2</c:v>
                </c:pt>
                <c:pt idx="11">
                  <c:v>1.7861224180942159E-2</c:v>
                </c:pt>
                <c:pt idx="12">
                  <c:v>1.3471648204685494E-2</c:v>
                </c:pt>
                <c:pt idx="13">
                  <c:v>6.5323328583195561E-2</c:v>
                </c:pt>
                <c:pt idx="14">
                  <c:v>5.1775417275276681E-2</c:v>
                </c:pt>
                <c:pt idx="15">
                  <c:v>5.7702709411849185E-2</c:v>
                </c:pt>
                <c:pt idx="16">
                  <c:v>7.1737633830926129E-2</c:v>
                </c:pt>
                <c:pt idx="17">
                  <c:v>4.8769415304963815E-2</c:v>
                </c:pt>
                <c:pt idx="18">
                  <c:v>5.7231930312045876E-2</c:v>
                </c:pt>
                <c:pt idx="19">
                  <c:v>2.7070077829183248E-2</c:v>
                </c:pt>
                <c:pt idx="20">
                  <c:v>-4.005477724185269E-2</c:v>
                </c:pt>
                <c:pt idx="21">
                  <c:v>-9.172542550623497E-2</c:v>
                </c:pt>
                <c:pt idx="22">
                  <c:v>-5.8264144640313376E-2</c:v>
                </c:pt>
                <c:pt idx="23">
                  <c:v>-5.3232008017866761E-2</c:v>
                </c:pt>
                <c:pt idx="24">
                  <c:v>-3.9804392945013589E-2</c:v>
                </c:pt>
                <c:pt idx="25">
                  <c:v>-4.9260830361674834E-2</c:v>
                </c:pt>
                <c:pt idx="26">
                  <c:v>-4.4444642664302592E-2</c:v>
                </c:pt>
                <c:pt idx="27">
                  <c:v>-2.4235055406311545E-2</c:v>
                </c:pt>
                <c:pt idx="28">
                  <c:v>3.2285667525513873E-2</c:v>
                </c:pt>
                <c:pt idx="29">
                  <c:v>7.7098560306716024E-2</c:v>
                </c:pt>
                <c:pt idx="30">
                  <c:v>9.8236656326808003E-2</c:v>
                </c:pt>
                <c:pt idx="31">
                  <c:v>7.6109603473328846E-2</c:v>
                </c:pt>
                <c:pt idx="32">
                  <c:v>8.5927252651908148E-2</c:v>
                </c:pt>
                <c:pt idx="33">
                  <c:v>9.8496900599480242E-2</c:v>
                </c:pt>
                <c:pt idx="34">
                  <c:v>0.11153905323842928</c:v>
                </c:pt>
                <c:pt idx="35">
                  <c:v>0.10570001680817853</c:v>
                </c:pt>
                <c:pt idx="36">
                  <c:v>6.8028502358513876E-2</c:v>
                </c:pt>
                <c:pt idx="37">
                  <c:v>4.6732136241809386E-2</c:v>
                </c:pt>
                <c:pt idx="38">
                  <c:v>-7.4477490337745422E-2</c:v>
                </c:pt>
                <c:pt idx="39">
                  <c:v>-3.7046455879881535E-2</c:v>
                </c:pt>
                <c:pt idx="40">
                  <c:v>-2.4069953195368754E-2</c:v>
                </c:pt>
                <c:pt idx="41">
                  <c:v>-6.5664018076615704E-2</c:v>
                </c:pt>
                <c:pt idx="42">
                  <c:v>-0.10142491741317627</c:v>
                </c:pt>
                <c:pt idx="43">
                  <c:v>-8.6826300134029921E-2</c:v>
                </c:pt>
                <c:pt idx="44">
                  <c:v>-7.5306210528317763E-2</c:v>
                </c:pt>
                <c:pt idx="45">
                  <c:v>-8.168220382186675E-3</c:v>
                </c:pt>
                <c:pt idx="46">
                  <c:v>-2.015809121152401E-3</c:v>
                </c:pt>
                <c:pt idx="47">
                  <c:v>-8.0999564347603581E-3</c:v>
                </c:pt>
                <c:pt idx="48">
                  <c:v>-3.923616741974989E-2</c:v>
                </c:pt>
                <c:pt idx="49">
                  <c:v>-8.0077708916768131E-2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CE-476D-AC0E-11F19DF1E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068999"/>
        <c:axId val="1245703"/>
      </c:scatterChart>
      <c:valAx>
        <c:axId val="1186068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45703"/>
        <c:crosses val="autoZero"/>
        <c:crossBetween val="midCat"/>
      </c:valAx>
      <c:valAx>
        <c:axId val="1245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6068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'FRED Graph'!$C$2:$C$51</c:f>
              <c:numCache>
                <c:formatCode>0.000</c:formatCode>
                <c:ptCount val="50"/>
                <c:pt idx="0">
                  <c:v>6.9785030763521396</c:v>
                </c:pt>
                <c:pt idx="1">
                  <c:v>7.0603473877253791</c:v>
                </c:pt>
                <c:pt idx="2">
                  <c:v>7.1539213661577756</c:v>
                </c:pt>
                <c:pt idx="3">
                  <c:v>7.2621909175470387</c:v>
                </c:pt>
                <c:pt idx="4">
                  <c:v>7.3429361349440416</c:v>
                </c:pt>
                <c:pt idx="5">
                  <c:v>7.429464461375102</c:v>
                </c:pt>
                <c:pt idx="6">
                  <c:v>7.5355169131131845</c:v>
                </c:pt>
                <c:pt idx="7">
                  <c:v>7.6410001918477679</c:v>
                </c:pt>
                <c:pt idx="8">
                  <c:v>7.7628506949749738</c:v>
                </c:pt>
                <c:pt idx="9">
                  <c:v>7.8737219730669654</c:v>
                </c:pt>
                <c:pt idx="10">
                  <c:v>7.9576353768003294</c:v>
                </c:pt>
                <c:pt idx="11">
                  <c:v>8.0731040620987411</c:v>
                </c:pt>
                <c:pt idx="12">
                  <c:v>8.1148599488931801</c:v>
                </c:pt>
                <c:pt idx="13">
                  <c:v>8.1980992929342946</c:v>
                </c:pt>
                <c:pt idx="14">
                  <c:v>8.3034092024264208</c:v>
                </c:pt>
                <c:pt idx="15">
                  <c:v>8.375394691665182</c:v>
                </c:pt>
                <c:pt idx="16">
                  <c:v>8.4293740337141436</c:v>
                </c:pt>
                <c:pt idx="17">
                  <c:v>8.487808921443051</c:v>
                </c:pt>
                <c:pt idx="18">
                  <c:v>8.563396775173663</c:v>
                </c:pt>
                <c:pt idx="19">
                  <c:v>8.6379193584760188</c:v>
                </c:pt>
                <c:pt idx="20">
                  <c:v>8.6933532215982385</c:v>
                </c:pt>
                <c:pt idx="21">
                  <c:v>8.7255283172216345</c:v>
                </c:pt>
                <c:pt idx="22">
                  <c:v>8.7826798453789277</c:v>
                </c:pt>
                <c:pt idx="23">
                  <c:v>8.8332525674439424</c:v>
                </c:pt>
                <c:pt idx="24">
                  <c:v>8.8938796722005797</c:v>
                </c:pt>
                <c:pt idx="25">
                  <c:v>8.9411200609413282</c:v>
                </c:pt>
                <c:pt idx="26">
                  <c:v>8.9962955204159432</c:v>
                </c:pt>
                <c:pt idx="27">
                  <c:v>9.0569038953784027</c:v>
                </c:pt>
                <c:pt idx="28">
                  <c:v>9.1119352502762716</c:v>
                </c:pt>
                <c:pt idx="29">
                  <c:v>9.1727601744410023</c:v>
                </c:pt>
                <c:pt idx="30">
                  <c:v>9.2351258583024354</c:v>
                </c:pt>
                <c:pt idx="31">
                  <c:v>9.2669030139348578</c:v>
                </c:pt>
                <c:pt idx="32">
                  <c:v>9.2991849904679533</c:v>
                </c:pt>
                <c:pt idx="33">
                  <c:v>9.346308125511678</c:v>
                </c:pt>
                <c:pt idx="34">
                  <c:v>9.410599726030874</c:v>
                </c:pt>
                <c:pt idx="35">
                  <c:v>9.4757152538299323</c:v>
                </c:pt>
                <c:pt idx="36">
                  <c:v>9.5335524369737961</c:v>
                </c:pt>
                <c:pt idx="37">
                  <c:v>9.5801248985972745</c:v>
                </c:pt>
                <c:pt idx="38">
                  <c:v>9.6003440152920447</c:v>
                </c:pt>
                <c:pt idx="39">
                  <c:v>9.5803901798208866</c:v>
                </c:pt>
                <c:pt idx="40">
                  <c:v>9.6190648957465203</c:v>
                </c:pt>
                <c:pt idx="41">
                  <c:v>9.6550089815510471</c:v>
                </c:pt>
                <c:pt idx="42">
                  <c:v>9.6960924656119261</c:v>
                </c:pt>
                <c:pt idx="43">
                  <c:v>9.7339252442265156</c:v>
                </c:pt>
                <c:pt idx="44">
                  <c:v>9.7761164747202276</c:v>
                </c:pt>
                <c:pt idx="45">
                  <c:v>9.8143841159878864</c:v>
                </c:pt>
                <c:pt idx="46">
                  <c:v>9.8418734577589913</c:v>
                </c:pt>
                <c:pt idx="47">
                  <c:v>9.8839021291494706</c:v>
                </c:pt>
                <c:pt idx="48">
                  <c:v>9.9357860692041413</c:v>
                </c:pt>
                <c:pt idx="49">
                  <c:v>9.9768028355948477</c:v>
                </c:pt>
              </c:numCache>
            </c:numRef>
          </c:xVal>
          <c:yVal>
            <c:numRef>
              <c:f>'FRED Graph'!$E$2:$E$51</c:f>
              <c:numCache>
                <c:formatCode>0.000</c:formatCode>
                <c:ptCount val="50"/>
                <c:pt idx="0">
                  <c:v>12.231198497592104</c:v>
                </c:pt>
                <c:pt idx="1">
                  <c:v>12.24381028832423</c:v>
                </c:pt>
                <c:pt idx="2">
                  <c:v>12.254501236403351</c:v>
                </c:pt>
                <c:pt idx="3">
                  <c:v>12.264052203620365</c:v>
                </c:pt>
                <c:pt idx="4">
                  <c:v>12.273255713643854</c:v>
                </c:pt>
                <c:pt idx="5">
                  <c:v>12.282945719834371</c:v>
                </c:pt>
                <c:pt idx="6">
                  <c:v>12.292645905727323</c:v>
                </c:pt>
                <c:pt idx="7">
                  <c:v>12.302695977923635</c:v>
                </c:pt>
                <c:pt idx="8">
                  <c:v>12.31326161354969</c:v>
                </c:pt>
                <c:pt idx="9">
                  <c:v>12.324327421751329</c:v>
                </c:pt>
                <c:pt idx="10">
                  <c:v>12.335897698990806</c:v>
                </c:pt>
                <c:pt idx="11">
                  <c:v>12.345871543744195</c:v>
                </c:pt>
                <c:pt idx="12">
                  <c:v>12.355433300053068</c:v>
                </c:pt>
                <c:pt idx="13">
                  <c:v>12.364497037170432</c:v>
                </c:pt>
                <c:pt idx="14">
                  <c:v>12.373256241037218</c:v>
                </c:pt>
                <c:pt idx="15">
                  <c:v>12.382150095623958</c:v>
                </c:pt>
                <c:pt idx="16">
                  <c:v>12.391232877803139</c:v>
                </c:pt>
                <c:pt idx="17">
                  <c:v>12.400168707193608</c:v>
                </c:pt>
                <c:pt idx="18">
                  <c:v>12.409263118230973</c:v>
                </c:pt>
                <c:pt idx="19">
                  <c:v>12.418711549052631</c:v>
                </c:pt>
                <c:pt idx="20">
                  <c:v>12.429939601790586</c:v>
                </c:pt>
                <c:pt idx="21">
                  <c:v>12.44323809559082</c:v>
                </c:pt>
                <c:pt idx="22">
                  <c:v>12.456526518454325</c:v>
                </c:pt>
                <c:pt idx="23">
                  <c:v>12.469519336782877</c:v>
                </c:pt>
                <c:pt idx="24">
                  <c:v>12.481636589151705</c:v>
                </c:pt>
                <c:pt idx="25">
                  <c:v>12.493458736683811</c:v>
                </c:pt>
                <c:pt idx="26">
                  <c:v>12.505119889060651</c:v>
                </c:pt>
                <c:pt idx="27">
                  <c:v>12.517073826772078</c:v>
                </c:pt>
                <c:pt idx="28">
                  <c:v>12.528714865397399</c:v>
                </c:pt>
                <c:pt idx="29">
                  <c:v>12.540140505858705</c:v>
                </c:pt>
                <c:pt idx="30">
                  <c:v>12.551074177881068</c:v>
                </c:pt>
                <c:pt idx="31">
                  <c:v>12.561034205798405</c:v>
                </c:pt>
                <c:pt idx="32">
                  <c:v>12.570558049923383</c:v>
                </c:pt>
                <c:pt idx="33">
                  <c:v>12.579793356389777</c:v>
                </c:pt>
                <c:pt idx="34">
                  <c:v>12.588822823034006</c:v>
                </c:pt>
                <c:pt idx="35">
                  <c:v>12.598090802839685</c:v>
                </c:pt>
                <c:pt idx="36">
                  <c:v>12.607588855883414</c:v>
                </c:pt>
                <c:pt idx="37">
                  <c:v>12.617175719288067</c:v>
                </c:pt>
                <c:pt idx="38">
                  <c:v>12.626567844902915</c:v>
                </c:pt>
                <c:pt idx="39">
                  <c:v>12.635384751344626</c:v>
                </c:pt>
                <c:pt idx="40">
                  <c:v>12.643807548797261</c:v>
                </c:pt>
                <c:pt idx="41">
                  <c:v>12.651704333421272</c:v>
                </c:pt>
                <c:pt idx="42">
                  <c:v>12.659455844540698</c:v>
                </c:pt>
                <c:pt idx="43">
                  <c:v>12.666969306942153</c:v>
                </c:pt>
                <c:pt idx="44">
                  <c:v>12.674826796586382</c:v>
                </c:pt>
                <c:pt idx="45">
                  <c:v>12.682656659807378</c:v>
                </c:pt>
                <c:pt idx="46">
                  <c:v>12.6903776869867</c:v>
                </c:pt>
                <c:pt idx="47">
                  <c:v>12.697286203841923</c:v>
                </c:pt>
                <c:pt idx="48">
                  <c:v>12.703188214530339</c:v>
                </c:pt>
                <c:pt idx="49">
                  <c:v>12.708400011174914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F7-4B81-97BD-8F7F6C936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66343"/>
        <c:axId val="95221255"/>
      </c:scatterChart>
      <c:valAx>
        <c:axId val="108366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221255"/>
        <c:crosses val="autoZero"/>
        <c:crossBetween val="midCat"/>
      </c:valAx>
      <c:valAx>
        <c:axId val="95221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366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'FRED Graph'!$C$2:$C$51</c:f>
              <c:numCache>
                <c:formatCode>0.000</c:formatCode>
                <c:ptCount val="50"/>
                <c:pt idx="0">
                  <c:v>6.9785030763521396</c:v>
                </c:pt>
                <c:pt idx="1">
                  <c:v>7.0603473877253791</c:v>
                </c:pt>
                <c:pt idx="2">
                  <c:v>7.1539213661577756</c:v>
                </c:pt>
                <c:pt idx="3">
                  <c:v>7.2621909175470387</c:v>
                </c:pt>
                <c:pt idx="4">
                  <c:v>7.3429361349440416</c:v>
                </c:pt>
                <c:pt idx="5">
                  <c:v>7.429464461375102</c:v>
                </c:pt>
                <c:pt idx="6">
                  <c:v>7.5355169131131845</c:v>
                </c:pt>
                <c:pt idx="7">
                  <c:v>7.6410001918477679</c:v>
                </c:pt>
                <c:pt idx="8">
                  <c:v>7.7628506949749738</c:v>
                </c:pt>
                <c:pt idx="9">
                  <c:v>7.8737219730669654</c:v>
                </c:pt>
                <c:pt idx="10">
                  <c:v>7.9576353768003294</c:v>
                </c:pt>
                <c:pt idx="11">
                  <c:v>8.0731040620987411</c:v>
                </c:pt>
                <c:pt idx="12">
                  <c:v>8.1148599488931801</c:v>
                </c:pt>
                <c:pt idx="13">
                  <c:v>8.1980992929342946</c:v>
                </c:pt>
                <c:pt idx="14">
                  <c:v>8.3034092024264208</c:v>
                </c:pt>
                <c:pt idx="15">
                  <c:v>8.375394691665182</c:v>
                </c:pt>
                <c:pt idx="16">
                  <c:v>8.4293740337141436</c:v>
                </c:pt>
                <c:pt idx="17">
                  <c:v>8.487808921443051</c:v>
                </c:pt>
                <c:pt idx="18">
                  <c:v>8.563396775173663</c:v>
                </c:pt>
                <c:pt idx="19">
                  <c:v>8.6379193584760188</c:v>
                </c:pt>
                <c:pt idx="20">
                  <c:v>8.6933532215982385</c:v>
                </c:pt>
                <c:pt idx="21">
                  <c:v>8.7255283172216345</c:v>
                </c:pt>
                <c:pt idx="22">
                  <c:v>8.7826798453789277</c:v>
                </c:pt>
                <c:pt idx="23">
                  <c:v>8.8332525674439424</c:v>
                </c:pt>
                <c:pt idx="24">
                  <c:v>8.8938796722005797</c:v>
                </c:pt>
                <c:pt idx="25">
                  <c:v>8.9411200609413282</c:v>
                </c:pt>
                <c:pt idx="26">
                  <c:v>8.9962955204159432</c:v>
                </c:pt>
                <c:pt idx="27">
                  <c:v>9.0569038953784027</c:v>
                </c:pt>
                <c:pt idx="28">
                  <c:v>9.1119352502762716</c:v>
                </c:pt>
                <c:pt idx="29">
                  <c:v>9.1727601744410023</c:v>
                </c:pt>
                <c:pt idx="30">
                  <c:v>9.2351258583024354</c:v>
                </c:pt>
                <c:pt idx="31">
                  <c:v>9.2669030139348578</c:v>
                </c:pt>
                <c:pt idx="32">
                  <c:v>9.2991849904679533</c:v>
                </c:pt>
                <c:pt idx="33">
                  <c:v>9.346308125511678</c:v>
                </c:pt>
                <c:pt idx="34">
                  <c:v>9.410599726030874</c:v>
                </c:pt>
                <c:pt idx="35">
                  <c:v>9.4757152538299323</c:v>
                </c:pt>
                <c:pt idx="36">
                  <c:v>9.5335524369737961</c:v>
                </c:pt>
                <c:pt idx="37">
                  <c:v>9.5801248985972745</c:v>
                </c:pt>
                <c:pt idx="38">
                  <c:v>9.6003440152920447</c:v>
                </c:pt>
                <c:pt idx="39">
                  <c:v>9.5803901798208866</c:v>
                </c:pt>
                <c:pt idx="40">
                  <c:v>9.6190648957465203</c:v>
                </c:pt>
                <c:pt idx="41">
                  <c:v>9.6550089815510471</c:v>
                </c:pt>
                <c:pt idx="42">
                  <c:v>9.6960924656119261</c:v>
                </c:pt>
                <c:pt idx="43">
                  <c:v>9.7339252442265156</c:v>
                </c:pt>
                <c:pt idx="44">
                  <c:v>9.7761164747202276</c:v>
                </c:pt>
                <c:pt idx="45">
                  <c:v>9.8143841159878864</c:v>
                </c:pt>
                <c:pt idx="46">
                  <c:v>9.8418734577589913</c:v>
                </c:pt>
                <c:pt idx="47">
                  <c:v>9.8839021291494706</c:v>
                </c:pt>
                <c:pt idx="48">
                  <c:v>9.9357860692041413</c:v>
                </c:pt>
                <c:pt idx="49">
                  <c:v>9.9768028355948477</c:v>
                </c:pt>
              </c:numCache>
            </c:numRef>
          </c:xVal>
          <c:yVal>
            <c:numRef>
              <c:f>'FRED Graph'!$L$2:$L$51</c:f>
              <c:numCache>
                <c:formatCode>0.000</c:formatCode>
                <c:ptCount val="50"/>
                <c:pt idx="0">
                  <c:v>-0.3410277345445154</c:v>
                </c:pt>
                <c:pt idx="1">
                  <c:v>-0.23040000446806985</c:v>
                </c:pt>
                <c:pt idx="2">
                  <c:v>-0.12521392283574517</c:v>
                </c:pt>
                <c:pt idx="3">
                  <c:v>-4.7693259417278533E-2</c:v>
                </c:pt>
                <c:pt idx="4">
                  <c:v>-6.1302040815716552E-2</c:v>
                </c:pt>
                <c:pt idx="5">
                  <c:v>2.4121173438969024E-2</c:v>
                </c:pt>
                <c:pt idx="6">
                  <c:v>9.0653096291424262E-2</c:v>
                </c:pt>
                <c:pt idx="7">
                  <c:v>0.13477224991707981</c:v>
                </c:pt>
                <c:pt idx="8">
                  <c:v>0.16055039032564267</c:v>
                </c:pt>
                <c:pt idx="9">
                  <c:v>0.13408963469275914</c:v>
                </c:pt>
                <c:pt idx="10">
                  <c:v>5.2162370974337513E-2</c:v>
                </c:pt>
                <c:pt idx="11">
                  <c:v>1.7861224180942159E-2</c:v>
                </c:pt>
                <c:pt idx="12">
                  <c:v>1.3471648204685494E-2</c:v>
                </c:pt>
                <c:pt idx="13">
                  <c:v>6.5323328583195561E-2</c:v>
                </c:pt>
                <c:pt idx="14">
                  <c:v>5.1775417275276681E-2</c:v>
                </c:pt>
                <c:pt idx="15">
                  <c:v>5.7702709411849185E-2</c:v>
                </c:pt>
                <c:pt idx="16">
                  <c:v>7.1737633830926129E-2</c:v>
                </c:pt>
                <c:pt idx="17">
                  <c:v>4.8769415304963815E-2</c:v>
                </c:pt>
                <c:pt idx="18">
                  <c:v>5.7231930312045876E-2</c:v>
                </c:pt>
                <c:pt idx="19">
                  <c:v>2.7070077829183248E-2</c:v>
                </c:pt>
                <c:pt idx="20">
                  <c:v>-4.005477724185269E-2</c:v>
                </c:pt>
                <c:pt idx="21">
                  <c:v>-9.172542550623497E-2</c:v>
                </c:pt>
                <c:pt idx="22">
                  <c:v>-5.8264144640313376E-2</c:v>
                </c:pt>
                <c:pt idx="23">
                  <c:v>-5.3232008017866761E-2</c:v>
                </c:pt>
                <c:pt idx="24">
                  <c:v>-3.9804392945013589E-2</c:v>
                </c:pt>
                <c:pt idx="25">
                  <c:v>-4.9260830361674834E-2</c:v>
                </c:pt>
                <c:pt idx="26">
                  <c:v>-4.4444642664302592E-2</c:v>
                </c:pt>
                <c:pt idx="27">
                  <c:v>-2.4235055406311545E-2</c:v>
                </c:pt>
                <c:pt idx="28">
                  <c:v>3.2285667525513873E-2</c:v>
                </c:pt>
                <c:pt idx="29">
                  <c:v>7.7098560306716024E-2</c:v>
                </c:pt>
                <c:pt idx="30">
                  <c:v>9.8236656326808003E-2</c:v>
                </c:pt>
                <c:pt idx="31">
                  <c:v>7.6109603473328846E-2</c:v>
                </c:pt>
                <c:pt idx="32">
                  <c:v>8.5927252651908148E-2</c:v>
                </c:pt>
                <c:pt idx="33">
                  <c:v>9.8496900599480242E-2</c:v>
                </c:pt>
                <c:pt idx="34">
                  <c:v>0.11153905323842928</c:v>
                </c:pt>
                <c:pt idx="35">
                  <c:v>0.10570001680817853</c:v>
                </c:pt>
                <c:pt idx="36">
                  <c:v>6.8028502358513876E-2</c:v>
                </c:pt>
                <c:pt idx="37">
                  <c:v>4.6732136241809386E-2</c:v>
                </c:pt>
                <c:pt idx="38">
                  <c:v>-7.4477490337745422E-2</c:v>
                </c:pt>
                <c:pt idx="39">
                  <c:v>-3.7046455879881535E-2</c:v>
                </c:pt>
                <c:pt idx="40">
                  <c:v>-2.4069953195368754E-2</c:v>
                </c:pt>
                <c:pt idx="41">
                  <c:v>-6.5664018076615704E-2</c:v>
                </c:pt>
                <c:pt idx="42">
                  <c:v>-0.10142491741317627</c:v>
                </c:pt>
                <c:pt idx="43">
                  <c:v>-8.6826300134029921E-2</c:v>
                </c:pt>
                <c:pt idx="44">
                  <c:v>-7.5306210528317763E-2</c:v>
                </c:pt>
                <c:pt idx="45">
                  <c:v>-8.168220382186675E-3</c:v>
                </c:pt>
                <c:pt idx="46">
                  <c:v>-2.015809121152401E-3</c:v>
                </c:pt>
                <c:pt idx="47">
                  <c:v>-8.0999564347603581E-3</c:v>
                </c:pt>
                <c:pt idx="48">
                  <c:v>-3.923616741974989E-2</c:v>
                </c:pt>
                <c:pt idx="49">
                  <c:v>-8.0077708916768131E-2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A-4C69-91B4-0CFF816C5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180168"/>
        <c:axId val="281182216"/>
      </c:scatterChart>
      <c:valAx>
        <c:axId val="281180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1182216"/>
        <c:crosses val="autoZero"/>
        <c:crossBetween val="midCat"/>
      </c:valAx>
      <c:valAx>
        <c:axId val="281182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1180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542925</xdr:colOff>
      <xdr:row>69</xdr:row>
      <xdr:rowOff>57150</xdr:rowOff>
    </xdr:from>
    <xdr:to>
      <xdr:col>13</xdr:col>
      <xdr:colOff>971550</xdr:colOff>
      <xdr:row>86</xdr:row>
      <xdr:rowOff>47625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C62BE40E-0A49-47B3-8DF1-B70A2045E1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295275</xdr:colOff>
      <xdr:row>54</xdr:row>
      <xdr:rowOff>57150</xdr:rowOff>
    </xdr:from>
    <xdr:to>
      <xdr:col>25</xdr:col>
      <xdr:colOff>723900</xdr:colOff>
      <xdr:row>71</xdr:row>
      <xdr:rowOff>47625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28307BD-8F0B-707E-7F13-39FC8183C282}"/>
            </a:ext>
            <a:ext uri="{147F2762-F138-4A5C-976F-8EAC2B608ADB}">
              <a16:predDERef xmlns:a16="http://schemas.microsoft.com/office/drawing/2014/main" pred="{C62BE40E-0A49-47B3-8DF1-B70A2045E1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1323975</xdr:colOff>
      <xdr:row>54</xdr:row>
      <xdr:rowOff>38100</xdr:rowOff>
    </xdr:from>
    <xdr:to>
      <xdr:col>29</xdr:col>
      <xdr:colOff>371475</xdr:colOff>
      <xdr:row>71</xdr:row>
      <xdr:rowOff>28575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B6F2E63-4990-305E-BF89-1520E8898D32}"/>
            </a:ext>
            <a:ext uri="{147F2762-F138-4A5C-976F-8EAC2B608ADB}">
              <a16:predDERef xmlns:a16="http://schemas.microsoft.com/office/drawing/2014/main" pred="{F28307BD-8F0B-707E-7F13-39FC8183C2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18"/>
  <sheetViews>
    <sheetView tabSelected="1" zoomScale="27" workbookViewId="0">
      <selection activeCell="D16" sqref="D16"/>
    </sheetView>
  </sheetViews>
  <sheetFormatPr baseColWidth="10" defaultColWidth="8.7265625" defaultRowHeight="12.5" x14ac:dyDescent="0.25"/>
  <cols>
    <col min="1" max="1" width="28.54296875" customWidth="1"/>
    <col min="2" max="3" width="20.7265625" customWidth="1"/>
    <col min="4" max="4" width="23.453125" customWidth="1"/>
    <col min="5" max="8" width="20.7265625" customWidth="1"/>
    <col min="9" max="9" width="22.7265625" customWidth="1"/>
    <col min="10" max="17" width="20.7265625" customWidth="1"/>
    <col min="18" max="18" width="26.81640625" customWidth="1"/>
    <col min="19" max="259" width="20.726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1" t="s">
        <v>10</v>
      </c>
      <c r="L1" s="12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</row>
    <row r="2" spans="1:19" x14ac:dyDescent="0.25">
      <c r="A2" s="1">
        <v>25569</v>
      </c>
      <c r="B2" s="2">
        <v>1073.3105</v>
      </c>
      <c r="C2" s="2">
        <f>LN(B2)</f>
        <v>6.9785030763521396</v>
      </c>
      <c r="D2" s="4">
        <v>205088.83333333334</v>
      </c>
      <c r="E2" s="2">
        <f>LN(D2)</f>
        <v>12.231198497592104</v>
      </c>
      <c r="F2" s="3">
        <v>4.9833333333333334</v>
      </c>
      <c r="G2" s="2">
        <v>1682.1197500000001</v>
      </c>
      <c r="H2" s="2">
        <v>38.841666666666669</v>
      </c>
      <c r="I2" s="3">
        <v>823412.85</v>
      </c>
      <c r="J2" s="2">
        <v>170.0565</v>
      </c>
      <c r="K2" s="11" cm="1">
        <f t="array" ref="K2:K51">MMULT(E2:J51,_xlfn.ANCHORARRAY(H84))</f>
        <v>7.319530810896655</v>
      </c>
      <c r="L2" s="13">
        <f t="shared" ref="L2:L33" si="0">C2-K2</f>
        <v>-0.3410277345445154</v>
      </c>
      <c r="M2" s="15">
        <f>C2-$C$55</f>
        <v>-1.7945042931346391</v>
      </c>
      <c r="N2" s="15" cm="1">
        <f t="array" ref="N2:S51">E2:J51-E55:J55</f>
        <v>-0.25158766054244808</v>
      </c>
      <c r="O2" s="14">
        <v>-1.2196666666666669</v>
      </c>
      <c r="P2" s="14">
        <v>-931.29015499999991</v>
      </c>
      <c r="Q2" s="14">
        <v>-108.69607333333337</v>
      </c>
      <c r="R2" s="14">
        <v>-1108786.5804999997</v>
      </c>
      <c r="S2" s="14">
        <v>-1376.6202800000003</v>
      </c>
    </row>
    <row r="3" spans="1:19" x14ac:dyDescent="0.25">
      <c r="A3" s="1">
        <v>25934</v>
      </c>
      <c r="B3" s="2">
        <v>1164.8497500000001</v>
      </c>
      <c r="C3" s="2">
        <f t="shared" ref="C3:C51" si="1">LN(B3)</f>
        <v>7.0603473877253791</v>
      </c>
      <c r="D3" s="4">
        <v>207691.75</v>
      </c>
      <c r="E3" s="2">
        <f t="shared" ref="E3:E51" si="2">LN(D3)</f>
        <v>12.24381028832423</v>
      </c>
      <c r="F3" s="3">
        <v>5.95</v>
      </c>
      <c r="G3" s="2">
        <v>1650.501</v>
      </c>
      <c r="H3" s="2">
        <v>40.483333333333334</v>
      </c>
      <c r="I3" s="3">
        <v>854583.22499999998</v>
      </c>
      <c r="J3" s="2">
        <v>196.82325</v>
      </c>
      <c r="K3" s="11">
        <v>7.2907473921934489</v>
      </c>
      <c r="L3" s="13">
        <f t="shared" si="0"/>
        <v>-0.23040000446806985</v>
      </c>
      <c r="M3" s="15">
        <f t="shared" ref="M3:M51" si="3">C3-$C$55</f>
        <v>-1.7126599817613997</v>
      </c>
      <c r="N3" s="14">
        <v>-0.23897586981032148</v>
      </c>
      <c r="O3" s="14">
        <v>-0.25300000000000011</v>
      </c>
      <c r="P3" s="14">
        <v>-962.908905</v>
      </c>
      <c r="Q3" s="14">
        <v>-107.05440666666671</v>
      </c>
      <c r="R3" s="14">
        <v>-1077616.2054999997</v>
      </c>
      <c r="S3" s="14">
        <v>-1349.8535300000003</v>
      </c>
    </row>
    <row r="4" spans="1:19" x14ac:dyDescent="0.25">
      <c r="A4" s="1">
        <v>26299</v>
      </c>
      <c r="B4" s="2">
        <v>1279.1120000000001</v>
      </c>
      <c r="C4" s="2">
        <f t="shared" si="1"/>
        <v>7.1539213661577756</v>
      </c>
      <c r="D4" s="4">
        <v>209924.08333333334</v>
      </c>
      <c r="E4" s="2">
        <f t="shared" si="2"/>
        <v>12.254501236403351</v>
      </c>
      <c r="F4" s="3">
        <v>5.6</v>
      </c>
      <c r="G4" s="2">
        <v>1641.8030000000001</v>
      </c>
      <c r="H4" s="2">
        <v>41.80833333333333</v>
      </c>
      <c r="I4" s="3">
        <v>907068.7</v>
      </c>
      <c r="J4" s="2">
        <v>228.14275000000001</v>
      </c>
      <c r="K4" s="11">
        <v>7.2791352889935208</v>
      </c>
      <c r="L4" s="13">
        <f t="shared" si="0"/>
        <v>-0.12521392283574517</v>
      </c>
      <c r="M4" s="15">
        <f t="shared" si="3"/>
        <v>-1.6190860033290031</v>
      </c>
      <c r="N4" s="14">
        <v>-0.22828492173120019</v>
      </c>
      <c r="O4" s="14">
        <v>-0.60300000000000065</v>
      </c>
      <c r="P4" s="14">
        <v>-971.60690499999987</v>
      </c>
      <c r="Q4" s="14">
        <v>-105.7294066666667</v>
      </c>
      <c r="R4" s="14">
        <v>-1025130.7304999998</v>
      </c>
      <c r="S4" s="14">
        <v>-1318.5340300000003</v>
      </c>
    </row>
    <row r="5" spans="1:19" x14ac:dyDescent="0.25">
      <c r="A5" s="1">
        <v>26665</v>
      </c>
      <c r="B5" s="2">
        <v>1425.376</v>
      </c>
      <c r="C5" s="2">
        <f t="shared" si="1"/>
        <v>7.2621909175470387</v>
      </c>
      <c r="D5" s="4">
        <v>211938.66666666666</v>
      </c>
      <c r="E5" s="2">
        <f t="shared" si="2"/>
        <v>12.264052203620365</v>
      </c>
      <c r="F5" s="3">
        <v>4.8583333333333334</v>
      </c>
      <c r="G5" s="2">
        <v>1636.5319999999999</v>
      </c>
      <c r="H5" s="2">
        <v>44.424999999999997</v>
      </c>
      <c r="I5" s="3">
        <v>952592.9</v>
      </c>
      <c r="J5" s="2">
        <v>266.9255</v>
      </c>
      <c r="K5" s="11">
        <v>7.3098841769643172</v>
      </c>
      <c r="L5" s="13">
        <f t="shared" si="0"/>
        <v>-4.7693259417278533E-2</v>
      </c>
      <c r="M5" s="15">
        <f t="shared" si="3"/>
        <v>-1.51081645193974</v>
      </c>
      <c r="N5" s="14">
        <v>-0.21873395451418709</v>
      </c>
      <c r="O5" s="14">
        <v>-1.3446666666666669</v>
      </c>
      <c r="P5" s="14">
        <v>-976.87790500000006</v>
      </c>
      <c r="Q5" s="14">
        <v>-103.11274000000004</v>
      </c>
      <c r="R5" s="14">
        <v>-979606.53049999976</v>
      </c>
      <c r="S5" s="14">
        <v>-1279.7512800000002</v>
      </c>
    </row>
    <row r="6" spans="1:19" x14ac:dyDescent="0.25">
      <c r="A6" s="1">
        <v>27030</v>
      </c>
      <c r="B6" s="2">
        <v>1545.2425000000001</v>
      </c>
      <c r="C6" s="2">
        <f t="shared" si="1"/>
        <v>7.3429361349440416</v>
      </c>
      <c r="D6" s="4">
        <v>213898.25</v>
      </c>
      <c r="E6" s="2">
        <f t="shared" si="2"/>
        <v>12.273255713643854</v>
      </c>
      <c r="F6" s="3">
        <v>5.6416666666666666</v>
      </c>
      <c r="G6" s="2">
        <v>1672.5117499999999</v>
      </c>
      <c r="H6" s="2">
        <v>49.31666666666667</v>
      </c>
      <c r="I6" s="3">
        <v>944731.47499999998</v>
      </c>
      <c r="J6" s="2">
        <v>274.52600000000001</v>
      </c>
      <c r="K6" s="11">
        <v>7.4042381757597582</v>
      </c>
      <c r="L6" s="13">
        <f t="shared" si="0"/>
        <v>-6.1302040815716552E-2</v>
      </c>
      <c r="M6" s="15">
        <f t="shared" si="3"/>
        <v>-1.4300712345427371</v>
      </c>
      <c r="N6" s="14">
        <v>-0.20953044449069758</v>
      </c>
      <c r="O6" s="14">
        <v>-0.56133333333333368</v>
      </c>
      <c r="P6" s="14">
        <v>-940.89815500000009</v>
      </c>
      <c r="Q6" s="14">
        <v>-98.221073333333379</v>
      </c>
      <c r="R6" s="14">
        <v>-987467.95549999981</v>
      </c>
      <c r="S6" s="14">
        <v>-1272.1507800000002</v>
      </c>
    </row>
    <row r="7" spans="1:19" x14ac:dyDescent="0.25">
      <c r="A7" s="1">
        <v>27395</v>
      </c>
      <c r="B7" s="2">
        <v>1684.905</v>
      </c>
      <c r="C7" s="2">
        <f t="shared" si="1"/>
        <v>7.429464461375102</v>
      </c>
      <c r="D7" s="4">
        <v>215981</v>
      </c>
      <c r="E7" s="2">
        <f t="shared" si="2"/>
        <v>12.282945719834371</v>
      </c>
      <c r="F7" s="3">
        <v>8.4749999999999996</v>
      </c>
      <c r="G7" s="2">
        <v>1709.3175000000001</v>
      </c>
      <c r="H7" s="2">
        <v>53.825000000000003</v>
      </c>
      <c r="I7" s="3">
        <v>966428.82499999995</v>
      </c>
      <c r="J7" s="2">
        <v>257.25375000000003</v>
      </c>
      <c r="K7" s="11">
        <v>7.4053432879361329</v>
      </c>
      <c r="L7" s="13">
        <f t="shared" si="0"/>
        <v>2.4121173438969024E-2</v>
      </c>
      <c r="M7" s="15">
        <f t="shared" si="3"/>
        <v>-1.3435429081116768</v>
      </c>
      <c r="N7" s="14">
        <v>-0.19984043830018017</v>
      </c>
      <c r="O7" s="14">
        <v>2.2719999999999994</v>
      </c>
      <c r="P7" s="14">
        <v>-904.09240499999987</v>
      </c>
      <c r="Q7" s="14">
        <v>-93.712740000000039</v>
      </c>
      <c r="R7" s="14">
        <v>-965770.60549999983</v>
      </c>
      <c r="S7" s="14">
        <v>-1289.4230300000002</v>
      </c>
    </row>
    <row r="8" spans="1:19" x14ac:dyDescent="0.25">
      <c r="A8" s="1">
        <v>27760</v>
      </c>
      <c r="B8" s="2">
        <v>1873.4124999999999</v>
      </c>
      <c r="C8" s="2">
        <f t="shared" si="1"/>
        <v>7.5355169131131845</v>
      </c>
      <c r="D8" s="4">
        <v>218086.25</v>
      </c>
      <c r="E8" s="2">
        <f t="shared" si="2"/>
        <v>12.292645905727323</v>
      </c>
      <c r="F8" s="3">
        <v>7.7</v>
      </c>
      <c r="G8" s="2">
        <v>1718.222</v>
      </c>
      <c r="H8" s="2">
        <v>56.93333333333333</v>
      </c>
      <c r="I8" s="3">
        <v>1020210.35</v>
      </c>
      <c r="J8" s="2">
        <v>323.22449999999998</v>
      </c>
      <c r="K8" s="11">
        <v>7.4448638168217602</v>
      </c>
      <c r="L8" s="13">
        <f t="shared" si="0"/>
        <v>9.0653096291424262E-2</v>
      </c>
      <c r="M8" s="15">
        <f t="shared" si="3"/>
        <v>-1.2374904563735942</v>
      </c>
      <c r="N8" s="14">
        <v>-0.19014025240722887</v>
      </c>
      <c r="O8" s="14">
        <v>1.4969999999999999</v>
      </c>
      <c r="P8" s="14">
        <v>-895.187905</v>
      </c>
      <c r="Q8" s="14">
        <v>-90.604406666666705</v>
      </c>
      <c r="R8" s="14">
        <v>-911989.08049999981</v>
      </c>
      <c r="S8" s="14">
        <v>-1223.4522800000002</v>
      </c>
    </row>
    <row r="9" spans="1:19" x14ac:dyDescent="0.25">
      <c r="A9" s="1">
        <v>28126</v>
      </c>
      <c r="B9" s="2">
        <v>2081.8249999999998</v>
      </c>
      <c r="C9" s="2">
        <f t="shared" si="1"/>
        <v>7.6410001918477679</v>
      </c>
      <c r="D9" s="4">
        <v>220289.08333333334</v>
      </c>
      <c r="E9" s="2">
        <f t="shared" si="2"/>
        <v>12.302695977923635</v>
      </c>
      <c r="F9" s="3">
        <v>7.05</v>
      </c>
      <c r="G9" s="2">
        <v>1738.9237499999999</v>
      </c>
      <c r="H9" s="2">
        <v>60.616666666666667</v>
      </c>
      <c r="I9" s="3">
        <v>1063733.9750000001</v>
      </c>
      <c r="J9" s="2">
        <v>396.61225000000002</v>
      </c>
      <c r="K9" s="11">
        <v>7.5062279419306881</v>
      </c>
      <c r="L9" s="13">
        <f t="shared" si="0"/>
        <v>0.13477224991707981</v>
      </c>
      <c r="M9" s="15">
        <f t="shared" si="3"/>
        <v>-1.1320071776390108</v>
      </c>
      <c r="N9" s="14">
        <v>-0.18009018021091627</v>
      </c>
      <c r="O9" s="14">
        <v>0.84699999999999953</v>
      </c>
      <c r="P9" s="14">
        <v>-874.48615500000005</v>
      </c>
      <c r="Q9" s="14">
        <v>-86.921073333333368</v>
      </c>
      <c r="R9" s="14">
        <v>-868465.45549999969</v>
      </c>
      <c r="S9" s="14">
        <v>-1150.0645300000001</v>
      </c>
    </row>
    <row r="10" spans="1:19" x14ac:dyDescent="0.25">
      <c r="A10" s="1">
        <v>28491</v>
      </c>
      <c r="B10" s="2">
        <v>2351.5987500000001</v>
      </c>
      <c r="C10" s="2">
        <f t="shared" si="1"/>
        <v>7.7628506949749738</v>
      </c>
      <c r="D10" s="4">
        <v>222628.91666666666</v>
      </c>
      <c r="E10" s="2">
        <f t="shared" si="2"/>
        <v>12.31326161354969</v>
      </c>
      <c r="F10" s="3">
        <v>6.0666666666666664</v>
      </c>
      <c r="G10" s="2">
        <v>1788.78925</v>
      </c>
      <c r="H10" s="2">
        <v>65.24166666666666</v>
      </c>
      <c r="I10" s="3">
        <v>1110234.5249999999</v>
      </c>
      <c r="J10" s="2">
        <v>478.37650000000002</v>
      </c>
      <c r="K10" s="11">
        <v>7.6023003046493312</v>
      </c>
      <c r="L10" s="13">
        <f t="shared" si="0"/>
        <v>0.16055039032564267</v>
      </c>
      <c r="M10" s="15">
        <f t="shared" si="3"/>
        <v>-1.0101566745118049</v>
      </c>
      <c r="N10" s="14">
        <v>-0.16952454458486166</v>
      </c>
      <c r="O10" s="14">
        <v>-0.13633333333333386</v>
      </c>
      <c r="P10" s="14">
        <v>-824.62065499999994</v>
      </c>
      <c r="Q10" s="14">
        <v>-82.296073333333382</v>
      </c>
      <c r="R10" s="14">
        <v>-821964.90549999988</v>
      </c>
      <c r="S10" s="14">
        <v>-1068.3002800000002</v>
      </c>
    </row>
    <row r="11" spans="1:19" x14ac:dyDescent="0.25">
      <c r="A11" s="1">
        <v>28856</v>
      </c>
      <c r="B11" s="2">
        <v>2627.3262500000001</v>
      </c>
      <c r="C11" s="2">
        <f t="shared" si="1"/>
        <v>7.8737219730669654</v>
      </c>
      <c r="D11" s="4">
        <v>225106.16666666666</v>
      </c>
      <c r="E11" s="2">
        <f t="shared" si="2"/>
        <v>12.324327421751329</v>
      </c>
      <c r="F11" s="3">
        <v>5.85</v>
      </c>
      <c r="G11" s="2">
        <v>1820.9792500000001</v>
      </c>
      <c r="H11" s="2">
        <v>72.583333333333329</v>
      </c>
      <c r="I11" s="3">
        <v>1136444.2</v>
      </c>
      <c r="J11" s="2">
        <v>539.64949999999999</v>
      </c>
      <c r="K11" s="11">
        <v>7.7396323383742063</v>
      </c>
      <c r="L11" s="13">
        <f t="shared" si="0"/>
        <v>0.13408963469275914</v>
      </c>
      <c r="M11" s="15">
        <f t="shared" si="3"/>
        <v>-0.89928539641981331</v>
      </c>
      <c r="N11" s="14">
        <v>-0.15845873638322239</v>
      </c>
      <c r="O11" s="14">
        <v>-0.35300000000000065</v>
      </c>
      <c r="P11" s="14">
        <v>-792.43065499999989</v>
      </c>
      <c r="Q11" s="14">
        <v>-74.954406666666713</v>
      </c>
      <c r="R11" s="14">
        <v>-795755.23049999983</v>
      </c>
      <c r="S11" s="14">
        <v>-1007.0272800000002</v>
      </c>
    </row>
    <row r="12" spans="1:19" x14ac:dyDescent="0.25">
      <c r="A12" s="1">
        <v>29221</v>
      </c>
      <c r="B12" s="2">
        <v>2857.3085000000001</v>
      </c>
      <c r="C12" s="2">
        <f t="shared" si="1"/>
        <v>7.9576353768003294</v>
      </c>
      <c r="D12" s="4">
        <v>227725.83333333334</v>
      </c>
      <c r="E12" s="2">
        <f t="shared" si="2"/>
        <v>12.335897698990806</v>
      </c>
      <c r="F12" s="3">
        <v>7.1749999999999998</v>
      </c>
      <c r="G12" s="2">
        <v>1853.9380000000001</v>
      </c>
      <c r="H12" s="2">
        <v>82.38333333333334</v>
      </c>
      <c r="I12" s="3">
        <v>1131855.1499999999</v>
      </c>
      <c r="J12" s="2">
        <v>530.09974999999997</v>
      </c>
      <c r="K12" s="11">
        <v>7.9054730058259919</v>
      </c>
      <c r="L12" s="13">
        <f t="shared" si="0"/>
        <v>5.2162370974337513E-2</v>
      </c>
      <c r="M12" s="15">
        <f t="shared" si="3"/>
        <v>-0.81537199268644933</v>
      </c>
      <c r="N12" s="14">
        <v>-0.14688845914374582</v>
      </c>
      <c r="O12" s="14">
        <v>0.97199999999999953</v>
      </c>
      <c r="P12" s="14">
        <v>-759.47190499999988</v>
      </c>
      <c r="Q12" s="14">
        <v>-65.154406666666702</v>
      </c>
      <c r="R12" s="14">
        <v>-800344.28049999988</v>
      </c>
      <c r="S12" s="14">
        <v>-1016.5770300000003</v>
      </c>
    </row>
    <row r="13" spans="1:19" x14ac:dyDescent="0.25">
      <c r="A13" s="1">
        <v>29587</v>
      </c>
      <c r="B13" s="2">
        <v>3207.0412500000002</v>
      </c>
      <c r="C13" s="2">
        <f t="shared" si="1"/>
        <v>8.0731040620987411</v>
      </c>
      <c r="D13" s="4">
        <v>230008.5</v>
      </c>
      <c r="E13" s="2">
        <f t="shared" si="2"/>
        <v>12.345871543744195</v>
      </c>
      <c r="F13" s="3">
        <v>7.6166666666666671</v>
      </c>
      <c r="G13" s="2">
        <v>1871.86475</v>
      </c>
      <c r="H13" s="2">
        <v>90.933333333333337</v>
      </c>
      <c r="I13" s="3">
        <v>1146210.2250000001</v>
      </c>
      <c r="J13" s="2">
        <v>631.22900000000004</v>
      </c>
      <c r="K13" s="11">
        <v>8.0552428379177989</v>
      </c>
      <c r="L13" s="13">
        <f t="shared" si="0"/>
        <v>1.7861224180942159E-2</v>
      </c>
      <c r="M13" s="15">
        <f t="shared" si="3"/>
        <v>-0.69990330738803763</v>
      </c>
      <c r="N13" s="14">
        <v>-0.13691461439035635</v>
      </c>
      <c r="O13" s="14">
        <v>1.4136666666666668</v>
      </c>
      <c r="P13" s="14">
        <v>-741.54515500000002</v>
      </c>
      <c r="Q13" s="14">
        <v>-56.604406666666705</v>
      </c>
      <c r="R13" s="14">
        <v>-785989.20549999969</v>
      </c>
      <c r="S13" s="14">
        <v>-915.44778000000019</v>
      </c>
    </row>
    <row r="14" spans="1:19" x14ac:dyDescent="0.25">
      <c r="A14" s="1">
        <v>29952</v>
      </c>
      <c r="B14" s="2">
        <v>3343.7892499999998</v>
      </c>
      <c r="C14" s="2">
        <f t="shared" si="1"/>
        <v>8.1148599488931801</v>
      </c>
      <c r="D14" s="4">
        <v>232218.33333333334</v>
      </c>
      <c r="E14" s="2">
        <f t="shared" si="2"/>
        <v>12.355433300053068</v>
      </c>
      <c r="F14" s="3">
        <v>9.7083333333333339</v>
      </c>
      <c r="G14" s="2">
        <v>1905.5055</v>
      </c>
      <c r="H14" s="2">
        <v>96.533333333333331</v>
      </c>
      <c r="I14" s="3">
        <v>1159922.2</v>
      </c>
      <c r="J14" s="2">
        <v>581.03375000000005</v>
      </c>
      <c r="K14" s="11">
        <v>8.1013883006884946</v>
      </c>
      <c r="L14" s="13">
        <f t="shared" si="0"/>
        <v>1.3471648204685494E-2</v>
      </c>
      <c r="M14" s="15">
        <f t="shared" si="3"/>
        <v>-0.65814742059359865</v>
      </c>
      <c r="N14" s="14">
        <v>-0.12735285808148333</v>
      </c>
      <c r="O14" s="14">
        <v>3.5053333333333336</v>
      </c>
      <c r="P14" s="14">
        <v>-707.904405</v>
      </c>
      <c r="Q14" s="14">
        <v>-51.004406666666711</v>
      </c>
      <c r="R14" s="14">
        <v>-772277.23049999983</v>
      </c>
      <c r="S14" s="14">
        <v>-965.64303000000018</v>
      </c>
    </row>
    <row r="15" spans="1:19" x14ac:dyDescent="0.25">
      <c r="A15" s="1">
        <v>30317</v>
      </c>
      <c r="B15" s="2">
        <v>3634.0365000000002</v>
      </c>
      <c r="C15" s="2">
        <f t="shared" si="1"/>
        <v>8.1980992929342946</v>
      </c>
      <c r="D15" s="4">
        <v>234332.66666666666</v>
      </c>
      <c r="E15" s="2">
        <f t="shared" si="2"/>
        <v>12.364497037170432</v>
      </c>
      <c r="F15" s="3">
        <v>9.6</v>
      </c>
      <c r="G15" s="2">
        <v>1976.61825</v>
      </c>
      <c r="H15" s="2">
        <v>99.583333333333329</v>
      </c>
      <c r="I15" s="3">
        <v>1223490.25</v>
      </c>
      <c r="J15" s="2">
        <v>637.51700000000005</v>
      </c>
      <c r="K15" s="11">
        <v>8.1327759643510991</v>
      </c>
      <c r="L15" s="13">
        <f t="shared" si="0"/>
        <v>6.5323328583195561E-2</v>
      </c>
      <c r="M15" s="15">
        <f t="shared" si="3"/>
        <v>-0.5749080765524841</v>
      </c>
      <c r="N15" s="14">
        <v>-0.11828912096411948</v>
      </c>
      <c r="O15" s="14">
        <v>3.3969999999999994</v>
      </c>
      <c r="P15" s="14">
        <v>-636.79165499999999</v>
      </c>
      <c r="Q15" s="14">
        <v>-47.954406666666713</v>
      </c>
      <c r="R15" s="14">
        <v>-708709.18049999978</v>
      </c>
      <c r="S15" s="14">
        <v>-909.15978000000018</v>
      </c>
    </row>
    <row r="16" spans="1:19" x14ac:dyDescent="0.25">
      <c r="A16" s="1">
        <v>30682</v>
      </c>
      <c r="B16" s="2">
        <v>4037.614</v>
      </c>
      <c r="C16" s="2">
        <f t="shared" si="1"/>
        <v>8.3034092024264208</v>
      </c>
      <c r="D16" s="4">
        <v>236394.25</v>
      </c>
      <c r="E16" s="2">
        <f t="shared" si="2"/>
        <v>12.373256241037218</v>
      </c>
      <c r="F16" s="3">
        <v>7.5083333333333329</v>
      </c>
      <c r="G16" s="2">
        <v>2046.0205000000001</v>
      </c>
      <c r="H16" s="2">
        <v>103.93333333333334</v>
      </c>
      <c r="I16" s="3">
        <v>1285489.075</v>
      </c>
      <c r="J16" s="2">
        <v>820.08974999999998</v>
      </c>
      <c r="K16" s="11">
        <v>8.2516337851511441</v>
      </c>
      <c r="L16" s="13">
        <f t="shared" si="0"/>
        <v>5.1775417275276681E-2</v>
      </c>
      <c r="M16" s="15">
        <f t="shared" si="3"/>
        <v>-0.46959816706035795</v>
      </c>
      <c r="N16" s="14">
        <v>-0.1095299170973334</v>
      </c>
      <c r="O16" s="14">
        <v>1.3053333333333326</v>
      </c>
      <c r="P16" s="14">
        <v>-567.3894049999999</v>
      </c>
      <c r="Q16" s="14">
        <v>-43.604406666666705</v>
      </c>
      <c r="R16" s="14">
        <v>-646710.35549999983</v>
      </c>
      <c r="S16" s="14">
        <v>-726.58703000000025</v>
      </c>
    </row>
    <row r="17" spans="1:19" x14ac:dyDescent="0.25">
      <c r="A17" s="1">
        <v>31048</v>
      </c>
      <c r="B17" s="2">
        <v>4338.9804999999997</v>
      </c>
      <c r="C17" s="2">
        <f t="shared" si="1"/>
        <v>8.375394691665182</v>
      </c>
      <c r="D17" s="4">
        <v>238506.08333333334</v>
      </c>
      <c r="E17" s="2">
        <f t="shared" si="2"/>
        <v>12.382150095623958</v>
      </c>
      <c r="F17" s="3">
        <v>7.1916666666666664</v>
      </c>
      <c r="G17" s="2">
        <v>2182.5607500000001</v>
      </c>
      <c r="H17" s="2">
        <v>107.6</v>
      </c>
      <c r="I17" s="3">
        <v>1351407.7749999999</v>
      </c>
      <c r="J17" s="2">
        <v>829.65174999999999</v>
      </c>
      <c r="K17" s="11">
        <v>8.3176919822533328</v>
      </c>
      <c r="L17" s="13">
        <f t="shared" si="0"/>
        <v>5.7702709411849185E-2</v>
      </c>
      <c r="M17" s="15">
        <f t="shared" si="3"/>
        <v>-0.39761267782159671</v>
      </c>
      <c r="N17" s="14">
        <v>-0.10063606251059376</v>
      </c>
      <c r="O17" s="14">
        <v>0.98866666666666614</v>
      </c>
      <c r="P17" s="14">
        <v>-430.84915499999988</v>
      </c>
      <c r="Q17" s="14">
        <v>-39.937740000000048</v>
      </c>
      <c r="R17" s="14">
        <v>-580791.65549999988</v>
      </c>
      <c r="S17" s="14">
        <v>-717.02503000000024</v>
      </c>
    </row>
    <row r="18" spans="1:19" x14ac:dyDescent="0.25">
      <c r="A18" s="1">
        <v>31413</v>
      </c>
      <c r="B18" s="2">
        <v>4579.6324999999997</v>
      </c>
      <c r="C18" s="2">
        <f t="shared" si="1"/>
        <v>8.4293740337141436</v>
      </c>
      <c r="D18" s="4">
        <v>240682.25</v>
      </c>
      <c r="E18" s="2">
        <f t="shared" si="2"/>
        <v>12.391232877803139</v>
      </c>
      <c r="F18" s="3">
        <v>7</v>
      </c>
      <c r="G18" s="2">
        <v>2301.0637499999998</v>
      </c>
      <c r="H18" s="2">
        <v>109.69166666666666</v>
      </c>
      <c r="I18" s="3">
        <v>1404978.15</v>
      </c>
      <c r="J18" s="2">
        <v>849.14724999999999</v>
      </c>
      <c r="K18" s="11">
        <v>8.3576363998832175</v>
      </c>
      <c r="L18" s="13">
        <f t="shared" si="0"/>
        <v>7.1737633830926129E-2</v>
      </c>
      <c r="M18" s="15">
        <f t="shared" si="3"/>
        <v>-0.34363333577263511</v>
      </c>
      <c r="N18" s="14">
        <v>-9.1553280331412523E-2</v>
      </c>
      <c r="O18" s="14">
        <v>0.79699999999999971</v>
      </c>
      <c r="P18" s="14">
        <v>-312.34615500000018</v>
      </c>
      <c r="Q18" s="14">
        <v>-37.846073333333379</v>
      </c>
      <c r="R18" s="14">
        <v>-527221.28049999988</v>
      </c>
      <c r="S18" s="14">
        <v>-697.52953000000025</v>
      </c>
    </row>
    <row r="19" spans="1:19" x14ac:dyDescent="0.25">
      <c r="A19" s="1">
        <v>31778</v>
      </c>
      <c r="B19" s="2">
        <v>4855.2162500000004</v>
      </c>
      <c r="C19" s="2">
        <f t="shared" si="1"/>
        <v>8.487808921443051</v>
      </c>
      <c r="D19" s="4">
        <v>242842.58333333334</v>
      </c>
      <c r="E19" s="2">
        <f t="shared" si="2"/>
        <v>12.400168707193608</v>
      </c>
      <c r="F19" s="3">
        <v>6.1749999999999998</v>
      </c>
      <c r="G19" s="2">
        <v>2367.85025</v>
      </c>
      <c r="H19" s="2">
        <v>113.61666666666666</v>
      </c>
      <c r="I19" s="3">
        <v>1451420.0249999999</v>
      </c>
      <c r="J19" s="2">
        <v>892.17724999999996</v>
      </c>
      <c r="K19" s="11">
        <v>8.4390395061380872</v>
      </c>
      <c r="L19" s="13">
        <f t="shared" si="0"/>
        <v>4.8769415304963815E-2</v>
      </c>
      <c r="M19" s="15">
        <f t="shared" si="3"/>
        <v>-0.28519844804372774</v>
      </c>
      <c r="N19" s="14">
        <v>-8.2617450940944082E-2</v>
      </c>
      <c r="O19" s="14">
        <v>-2.8000000000000469E-2</v>
      </c>
      <c r="P19" s="14">
        <v>-245.55965500000002</v>
      </c>
      <c r="Q19" s="14">
        <v>-33.921073333333382</v>
      </c>
      <c r="R19" s="14">
        <v>-480779.40549999988</v>
      </c>
      <c r="S19" s="14">
        <v>-654.49953000000028</v>
      </c>
    </row>
    <row r="20" spans="1:19" x14ac:dyDescent="0.25">
      <c r="A20" s="1">
        <v>32143</v>
      </c>
      <c r="B20" s="2">
        <v>5236.4380000000001</v>
      </c>
      <c r="C20" s="2">
        <f t="shared" si="1"/>
        <v>8.563396775173663</v>
      </c>
      <c r="D20" s="4">
        <v>245061.16666666666</v>
      </c>
      <c r="E20" s="2">
        <f t="shared" si="2"/>
        <v>12.409263118230973</v>
      </c>
      <c r="F20" s="3">
        <v>5.4916666666666671</v>
      </c>
      <c r="G20" s="2">
        <v>2397.2447499999998</v>
      </c>
      <c r="H20" s="2">
        <v>118.27500000000001</v>
      </c>
      <c r="I20" s="3">
        <v>1509237.9750000001</v>
      </c>
      <c r="J20" s="2">
        <v>936.96275000000003</v>
      </c>
      <c r="K20" s="11">
        <v>8.5061648448616172</v>
      </c>
      <c r="L20" s="13">
        <f t="shared" si="0"/>
        <v>5.7231930312045876E-2</v>
      </c>
      <c r="M20" s="15">
        <f t="shared" si="3"/>
        <v>-0.20961059431311568</v>
      </c>
      <c r="N20" s="14">
        <v>-7.3523039903578891E-2</v>
      </c>
      <c r="O20" s="14">
        <v>-0.71133333333333315</v>
      </c>
      <c r="P20" s="14">
        <v>-216.16515500000014</v>
      </c>
      <c r="Q20" s="14">
        <v>-29.262740000000036</v>
      </c>
      <c r="R20" s="14">
        <v>-422961.45549999969</v>
      </c>
      <c r="S20" s="14">
        <v>-609.71403000000021</v>
      </c>
    </row>
    <row r="21" spans="1:19" x14ac:dyDescent="0.25">
      <c r="A21" s="1">
        <v>32509</v>
      </c>
      <c r="B21" s="2">
        <v>5641.5794999999998</v>
      </c>
      <c r="C21" s="2">
        <f t="shared" si="1"/>
        <v>8.6379193584760188</v>
      </c>
      <c r="D21" s="4">
        <v>247387.58333333334</v>
      </c>
      <c r="E21" s="2">
        <f t="shared" si="2"/>
        <v>12.418711549052631</v>
      </c>
      <c r="F21" s="3">
        <v>5.2583333333333329</v>
      </c>
      <c r="G21" s="2">
        <v>2465.2987499999999</v>
      </c>
      <c r="H21" s="2">
        <v>123.94166666666666</v>
      </c>
      <c r="I21" s="3">
        <v>1549923.7749999999</v>
      </c>
      <c r="J21" s="2">
        <v>999.70074999999997</v>
      </c>
      <c r="K21" s="11">
        <v>8.6108492806468355</v>
      </c>
      <c r="L21" s="13">
        <f t="shared" si="0"/>
        <v>2.7070077829183248E-2</v>
      </c>
      <c r="M21" s="15">
        <f t="shared" si="3"/>
        <v>-0.13508801101075996</v>
      </c>
      <c r="N21" s="14">
        <v>-6.4074609081920642E-2</v>
      </c>
      <c r="O21" s="14">
        <v>-0.94466666666666743</v>
      </c>
      <c r="P21" s="14">
        <v>-148.11115500000005</v>
      </c>
      <c r="Q21" s="14">
        <v>-23.596073333333379</v>
      </c>
      <c r="R21" s="14">
        <v>-382275.65549999988</v>
      </c>
      <c r="S21" s="14">
        <v>-546.97603000000026</v>
      </c>
    </row>
    <row r="22" spans="1:19" x14ac:dyDescent="0.25">
      <c r="A22" s="1">
        <v>32874</v>
      </c>
      <c r="B22" s="2">
        <v>5963.1445000000003</v>
      </c>
      <c r="C22" s="2">
        <f t="shared" si="1"/>
        <v>8.6933532215982385</v>
      </c>
      <c r="D22" s="4">
        <v>250180.91666666666</v>
      </c>
      <c r="E22" s="2">
        <f t="shared" si="2"/>
        <v>12.429939601790586</v>
      </c>
      <c r="F22" s="3">
        <v>5.6166666666666671</v>
      </c>
      <c r="G22" s="2">
        <v>2544.1889999999999</v>
      </c>
      <c r="H22" s="2">
        <v>130.65833333333333</v>
      </c>
      <c r="I22" s="3">
        <v>1575649.45</v>
      </c>
      <c r="J22" s="2">
        <v>993.44899999999996</v>
      </c>
      <c r="K22" s="11">
        <v>8.7334079988400912</v>
      </c>
      <c r="L22" s="13">
        <f t="shared" si="0"/>
        <v>-4.005477724185269E-2</v>
      </c>
      <c r="M22" s="15">
        <f t="shared" si="3"/>
        <v>-7.9654147888540194E-2</v>
      </c>
      <c r="N22" s="14">
        <v>-5.284655634396529E-2</v>
      </c>
      <c r="O22" s="14">
        <v>-0.58633333333333315</v>
      </c>
      <c r="P22" s="14">
        <v>-69.22090500000013</v>
      </c>
      <c r="Q22" s="14">
        <v>-16.879406666666711</v>
      </c>
      <c r="R22" s="14">
        <v>-356549.98049999983</v>
      </c>
      <c r="S22" s="14">
        <v>-553.22778000000028</v>
      </c>
    </row>
    <row r="23" spans="1:19" x14ac:dyDescent="0.25">
      <c r="A23" s="1">
        <v>33239</v>
      </c>
      <c r="B23" s="2">
        <v>6158.12925</v>
      </c>
      <c r="C23" s="2">
        <f t="shared" si="1"/>
        <v>8.7255283172216345</v>
      </c>
      <c r="D23" s="4">
        <v>253530.16666666666</v>
      </c>
      <c r="E23" s="2">
        <f t="shared" si="2"/>
        <v>12.44323809559082</v>
      </c>
      <c r="F23" s="3">
        <v>6.85</v>
      </c>
      <c r="G23" s="2">
        <v>2574.7377499999998</v>
      </c>
      <c r="H23" s="2">
        <v>136.16666666666666</v>
      </c>
      <c r="I23" s="3">
        <v>1574273.25</v>
      </c>
      <c r="J23" s="2">
        <v>944.34349999999995</v>
      </c>
      <c r="K23" s="11">
        <v>8.8172537427278694</v>
      </c>
      <c r="L23" s="13">
        <f t="shared" si="0"/>
        <v>-9.172542550623497E-2</v>
      </c>
      <c r="M23" s="15">
        <f t="shared" si="3"/>
        <v>-4.7479052265144261E-2</v>
      </c>
      <c r="N23" s="14">
        <v>-3.9548062543731888E-2</v>
      </c>
      <c r="O23" s="14">
        <v>0.64699999999999935</v>
      </c>
      <c r="P23" s="14">
        <v>-38.672155000000203</v>
      </c>
      <c r="Q23" s="14">
        <v>-11.371073333333385</v>
      </c>
      <c r="R23" s="14">
        <v>-357926.18049999978</v>
      </c>
      <c r="S23" s="14">
        <v>-602.33328000000029</v>
      </c>
    </row>
    <row r="24" spans="1:19" x14ac:dyDescent="0.25">
      <c r="A24" s="1">
        <v>33604</v>
      </c>
      <c r="B24" s="2">
        <v>6520.3272500000003</v>
      </c>
      <c r="C24" s="2">
        <f t="shared" si="1"/>
        <v>8.7826798453789277</v>
      </c>
      <c r="D24" s="4">
        <v>256921.66666666666</v>
      </c>
      <c r="E24" s="2">
        <f t="shared" si="2"/>
        <v>12.456526518454325</v>
      </c>
      <c r="F24" s="3">
        <v>7.4916666666666671</v>
      </c>
      <c r="G24" s="2">
        <v>2586.6664999999998</v>
      </c>
      <c r="H24" s="2">
        <v>140.30833333333334</v>
      </c>
      <c r="I24" s="3">
        <v>1627015.45</v>
      </c>
      <c r="J24" s="2">
        <v>1013.00625</v>
      </c>
      <c r="K24" s="11">
        <v>8.840943990019241</v>
      </c>
      <c r="L24" s="13">
        <f t="shared" si="0"/>
        <v>-5.8264144640313376E-2</v>
      </c>
      <c r="M24" s="15">
        <f t="shared" si="3"/>
        <v>9.672475892148924E-3</v>
      </c>
      <c r="N24" s="14">
        <v>-2.6259639680226599E-2</v>
      </c>
      <c r="O24" s="14">
        <v>1.2886666666666668</v>
      </c>
      <c r="P24" s="14">
        <v>-26.743405000000166</v>
      </c>
      <c r="Q24" s="14">
        <v>-7.229406666666705</v>
      </c>
      <c r="R24" s="14">
        <v>-305183.98049999983</v>
      </c>
      <c r="S24" s="14">
        <v>-533.67053000000021</v>
      </c>
    </row>
    <row r="25" spans="1:19" x14ac:dyDescent="0.25">
      <c r="A25" s="1">
        <v>33970</v>
      </c>
      <c r="B25" s="2">
        <v>6858.5585000000001</v>
      </c>
      <c r="C25" s="2">
        <f t="shared" si="1"/>
        <v>8.8332525674439424</v>
      </c>
      <c r="D25" s="4">
        <v>260281.58333333334</v>
      </c>
      <c r="E25" s="2">
        <f t="shared" si="2"/>
        <v>12.469519336782877</v>
      </c>
      <c r="F25" s="3">
        <v>6.9083333333333332</v>
      </c>
      <c r="G25" s="2">
        <v>2565.4857499999998</v>
      </c>
      <c r="H25" s="2">
        <v>144.47499999999999</v>
      </c>
      <c r="I25" s="3">
        <v>1682126.5249999999</v>
      </c>
      <c r="J25" s="2">
        <v>1106.8254999999999</v>
      </c>
      <c r="K25" s="11">
        <v>8.8864845754618091</v>
      </c>
      <c r="L25" s="13">
        <f t="shared" si="0"/>
        <v>-5.3232008017866761E-2</v>
      </c>
      <c r="M25" s="15">
        <f t="shared" si="3"/>
        <v>6.0245197957163654E-2</v>
      </c>
      <c r="N25" s="14">
        <v>-1.3266821351674452E-2</v>
      </c>
      <c r="O25" s="14">
        <v>0.70533333333333292</v>
      </c>
      <c r="P25" s="14">
        <v>-47.924155000000155</v>
      </c>
      <c r="Q25" s="14">
        <v>-3.0627400000000478</v>
      </c>
      <c r="R25" s="14">
        <v>-250072.90549999988</v>
      </c>
      <c r="S25" s="14">
        <v>-439.85128000000032</v>
      </c>
    </row>
    <row r="26" spans="1:19" x14ac:dyDescent="0.25">
      <c r="A26" s="1">
        <v>34335</v>
      </c>
      <c r="B26" s="2">
        <v>7287.2365</v>
      </c>
      <c r="C26" s="2">
        <f t="shared" si="1"/>
        <v>8.8938796722005797</v>
      </c>
      <c r="D26" s="4">
        <v>263454.66666666669</v>
      </c>
      <c r="E26" s="2">
        <f t="shared" si="2"/>
        <v>12.481636589151705</v>
      </c>
      <c r="F26" s="3">
        <v>6.1</v>
      </c>
      <c r="G26" s="2">
        <v>2567.65625</v>
      </c>
      <c r="H26" s="2">
        <v>148.22499999999999</v>
      </c>
      <c r="I26" s="3">
        <v>1745621.45</v>
      </c>
      <c r="J26" s="2">
        <v>1256.4845</v>
      </c>
      <c r="K26" s="11">
        <v>8.9336840651455933</v>
      </c>
      <c r="L26" s="13">
        <f t="shared" si="0"/>
        <v>-3.9804392945013589E-2</v>
      </c>
      <c r="M26" s="15">
        <f t="shared" si="3"/>
        <v>0.12087230271380101</v>
      </c>
      <c r="N26" s="14">
        <v>-1.1495689828464606E-3</v>
      </c>
      <c r="O26" s="14">
        <v>-0.10300000000000065</v>
      </c>
      <c r="P26" s="14">
        <v>-45.753654999999981</v>
      </c>
      <c r="Q26" s="14">
        <v>0.68725999999995224</v>
      </c>
      <c r="R26" s="14">
        <v>-186577.98049999983</v>
      </c>
      <c r="S26" s="14">
        <v>-290.19228000000021</v>
      </c>
    </row>
    <row r="27" spans="1:19" x14ac:dyDescent="0.25">
      <c r="A27" s="1">
        <v>34700</v>
      </c>
      <c r="B27" s="2">
        <v>7639.7492499999998</v>
      </c>
      <c r="C27" s="2">
        <f t="shared" si="1"/>
        <v>8.9411200609413282</v>
      </c>
      <c r="D27" s="4">
        <v>266587.75</v>
      </c>
      <c r="E27" s="2">
        <f t="shared" si="2"/>
        <v>12.493458736683811</v>
      </c>
      <c r="F27" s="3">
        <v>5.5916666666666668</v>
      </c>
      <c r="G27" s="2">
        <v>2580.7669999999998</v>
      </c>
      <c r="H27" s="2">
        <v>152.38333333333333</v>
      </c>
      <c r="I27" s="3">
        <v>1796461.9750000001</v>
      </c>
      <c r="J27" s="2">
        <v>1317.4892500000001</v>
      </c>
      <c r="K27" s="11">
        <v>8.990380891303003</v>
      </c>
      <c r="L27" s="13">
        <f t="shared" si="0"/>
        <v>-4.9260830361674834E-2</v>
      </c>
      <c r="M27" s="15">
        <f t="shared" si="3"/>
        <v>0.16811269145454943</v>
      </c>
      <c r="N27" s="14">
        <v>1.0672578549259626E-2</v>
      </c>
      <c r="O27" s="14">
        <v>-0.61133333333333351</v>
      </c>
      <c r="P27" s="14">
        <v>-32.642905000000155</v>
      </c>
      <c r="Q27" s="14">
        <v>4.8455933333332837</v>
      </c>
      <c r="R27" s="14">
        <v>-135737.45549999969</v>
      </c>
      <c r="S27" s="14">
        <v>-229.18753000000015</v>
      </c>
    </row>
    <row r="28" spans="1:19" x14ac:dyDescent="0.25">
      <c r="A28" s="1">
        <v>35065</v>
      </c>
      <c r="B28" s="2">
        <v>8073.1217500000002</v>
      </c>
      <c r="C28" s="2">
        <f t="shared" si="1"/>
        <v>8.9962955204159432</v>
      </c>
      <c r="D28" s="4">
        <v>269714.66666666669</v>
      </c>
      <c r="E28" s="2">
        <f t="shared" si="2"/>
        <v>12.505119889060651</v>
      </c>
      <c r="F28" s="3">
        <v>5.4083333333333332</v>
      </c>
      <c r="G28" s="2">
        <v>2604.7047499999999</v>
      </c>
      <c r="H28" s="2">
        <v>156.85833333333332</v>
      </c>
      <c r="I28" s="3">
        <v>1857953.2749999999</v>
      </c>
      <c r="J28" s="2">
        <v>1432.05475</v>
      </c>
      <c r="K28" s="11">
        <v>9.0407401630802458</v>
      </c>
      <c r="L28" s="13">
        <f t="shared" si="0"/>
        <v>-4.4444642664302592E-2</v>
      </c>
      <c r="M28" s="15">
        <f t="shared" si="3"/>
        <v>0.22328815092916443</v>
      </c>
      <c r="N28" s="14">
        <v>2.2333730926099804E-2</v>
      </c>
      <c r="O28" s="14">
        <v>-0.79466666666666708</v>
      </c>
      <c r="P28" s="14">
        <v>-8.7051550000001043</v>
      </c>
      <c r="Q28" s="14">
        <v>9.320593333333278</v>
      </c>
      <c r="R28" s="14">
        <v>-74246.155499999877</v>
      </c>
      <c r="S28" s="14">
        <v>-114.62203000000022</v>
      </c>
    </row>
    <row r="29" spans="1:19" x14ac:dyDescent="0.25">
      <c r="A29" s="1">
        <v>35431</v>
      </c>
      <c r="B29" s="2">
        <v>8577.5524999999998</v>
      </c>
      <c r="C29" s="2">
        <f t="shared" si="1"/>
        <v>9.0569038953784027</v>
      </c>
      <c r="D29" s="4">
        <v>272958.16666666669</v>
      </c>
      <c r="E29" s="2">
        <f t="shared" si="2"/>
        <v>12.517073826772078</v>
      </c>
      <c r="F29" s="3">
        <v>4.9416666666666664</v>
      </c>
      <c r="G29" s="2">
        <v>2647.4144999999999</v>
      </c>
      <c r="H29" s="2">
        <v>160.52500000000001</v>
      </c>
      <c r="I29" s="3">
        <v>1932633.95</v>
      </c>
      <c r="J29" s="2">
        <v>1595.6005</v>
      </c>
      <c r="K29" s="11">
        <v>9.0811389507847142</v>
      </c>
      <c r="L29" s="13">
        <f t="shared" si="0"/>
        <v>-2.4235055406311545E-2</v>
      </c>
      <c r="M29" s="15">
        <f t="shared" si="3"/>
        <v>0.28389652589162395</v>
      </c>
      <c r="N29" s="14">
        <v>3.4287668637526636E-2</v>
      </c>
      <c r="O29" s="14">
        <v>-1.2613333333333339</v>
      </c>
      <c r="P29" s="14">
        <v>34.004594999999881</v>
      </c>
      <c r="Q29" s="14">
        <v>12.987259999999964</v>
      </c>
      <c r="R29" s="14">
        <v>434.5195000001695</v>
      </c>
      <c r="S29" s="14">
        <v>48.923719999999776</v>
      </c>
    </row>
    <row r="30" spans="1:19" x14ac:dyDescent="0.25">
      <c r="A30" s="1">
        <v>35796</v>
      </c>
      <c r="B30" s="2">
        <v>9062.81675</v>
      </c>
      <c r="C30" s="2">
        <f t="shared" si="1"/>
        <v>9.1119352502762716</v>
      </c>
      <c r="D30" s="4">
        <v>276154.25</v>
      </c>
      <c r="E30" s="2">
        <f t="shared" si="2"/>
        <v>12.528714865397399</v>
      </c>
      <c r="F30" s="3">
        <v>4.5</v>
      </c>
      <c r="G30" s="2">
        <v>2711.63825</v>
      </c>
      <c r="H30" s="2">
        <v>163.00833333333333</v>
      </c>
      <c r="I30" s="3">
        <v>2033538.1</v>
      </c>
      <c r="J30" s="2">
        <v>1736.671</v>
      </c>
      <c r="K30" s="11">
        <v>9.0796495827507577</v>
      </c>
      <c r="L30" s="13">
        <f t="shared" si="0"/>
        <v>3.2285667525513873E-2</v>
      </c>
      <c r="M30" s="15">
        <f t="shared" si="3"/>
        <v>0.33892788078949287</v>
      </c>
      <c r="N30" s="14">
        <v>4.5928707262847368E-2</v>
      </c>
      <c r="O30" s="14">
        <v>-1.7030000000000003</v>
      </c>
      <c r="P30" s="14">
        <v>98.22834499999999</v>
      </c>
      <c r="Q30" s="14">
        <v>15.470593333333284</v>
      </c>
      <c r="R30" s="14">
        <v>101338.66950000031</v>
      </c>
      <c r="S30" s="14">
        <v>189.99421999999981</v>
      </c>
    </row>
    <row r="31" spans="1:19" x14ac:dyDescent="0.25">
      <c r="A31" s="1">
        <v>36161</v>
      </c>
      <c r="B31" s="2">
        <v>9631.1717499999995</v>
      </c>
      <c r="C31" s="2">
        <f t="shared" si="1"/>
        <v>9.1727601744410023</v>
      </c>
      <c r="D31" s="4">
        <v>279327.58333333331</v>
      </c>
      <c r="E31" s="2">
        <f t="shared" si="2"/>
        <v>12.540140505858705</v>
      </c>
      <c r="F31" s="3">
        <v>4.2166666666666668</v>
      </c>
      <c r="G31" s="2">
        <v>2800.165</v>
      </c>
      <c r="H31" s="2">
        <v>166.58333333333334</v>
      </c>
      <c r="I31" s="3">
        <v>2141904.9</v>
      </c>
      <c r="J31" s="2">
        <v>1887.059</v>
      </c>
      <c r="K31" s="11">
        <v>9.0956616141342863</v>
      </c>
      <c r="L31" s="13">
        <f t="shared" si="0"/>
        <v>7.7098560306716024E-2</v>
      </c>
      <c r="M31" s="15">
        <f t="shared" si="3"/>
        <v>0.39975280495422361</v>
      </c>
      <c r="N31" s="14">
        <v>5.7354347724153598E-2</v>
      </c>
      <c r="O31" s="14">
        <v>-1.9863333333333335</v>
      </c>
      <c r="P31" s="14">
        <v>186.75509499999998</v>
      </c>
      <c r="Q31" s="14">
        <v>19.045593333333301</v>
      </c>
      <c r="R31" s="14">
        <v>209705.46950000012</v>
      </c>
      <c r="S31" s="14">
        <v>340.38221999999973</v>
      </c>
    </row>
    <row r="32" spans="1:19" x14ac:dyDescent="0.25">
      <c r="A32" s="1">
        <v>36526</v>
      </c>
      <c r="B32" s="2">
        <v>10250.951999999999</v>
      </c>
      <c r="C32" s="2">
        <f t="shared" si="1"/>
        <v>9.2351258583024354</v>
      </c>
      <c r="D32" s="4">
        <v>282398.41666666669</v>
      </c>
      <c r="E32" s="2">
        <f t="shared" si="2"/>
        <v>12.551074177881068</v>
      </c>
      <c r="F32" s="3">
        <v>3.9666666666666668</v>
      </c>
      <c r="G32" s="2">
        <v>2851.16525</v>
      </c>
      <c r="H32" s="2">
        <v>172.19166666666666</v>
      </c>
      <c r="I32" s="3">
        <v>2248165.9750000001</v>
      </c>
      <c r="J32" s="2">
        <v>2038.4079999999999</v>
      </c>
      <c r="K32" s="11">
        <v>9.1368892019756274</v>
      </c>
      <c r="L32" s="13">
        <f t="shared" si="0"/>
        <v>9.8236656326808003E-2</v>
      </c>
      <c r="M32" s="15">
        <f t="shared" si="3"/>
        <v>0.46211848881565665</v>
      </c>
      <c r="N32" s="14">
        <v>6.8288019746516326E-2</v>
      </c>
      <c r="O32" s="14">
        <v>-2.2363333333333335</v>
      </c>
      <c r="P32" s="14">
        <v>237.75534500000003</v>
      </c>
      <c r="Q32" s="14">
        <v>24.653926666666621</v>
      </c>
      <c r="R32" s="14">
        <v>315966.54450000031</v>
      </c>
      <c r="S32" s="14">
        <v>491.73121999999967</v>
      </c>
    </row>
    <row r="33" spans="1:19" x14ac:dyDescent="0.25">
      <c r="A33" s="1">
        <v>36892</v>
      </c>
      <c r="B33" s="2">
        <v>10581.929</v>
      </c>
      <c r="C33" s="2">
        <f t="shared" si="1"/>
        <v>9.2669030139348578</v>
      </c>
      <c r="D33" s="4">
        <v>285225.16666666669</v>
      </c>
      <c r="E33" s="2">
        <f t="shared" si="2"/>
        <v>12.561034205798405</v>
      </c>
      <c r="F33" s="3">
        <v>4.7416666666666671</v>
      </c>
      <c r="G33" s="2">
        <v>2958.6615000000002</v>
      </c>
      <c r="H33" s="2">
        <v>177.04166666666666</v>
      </c>
      <c r="I33" s="3">
        <v>2300690.4500000002</v>
      </c>
      <c r="J33" s="2">
        <v>1934.8415</v>
      </c>
      <c r="K33" s="11">
        <v>9.190793410461529</v>
      </c>
      <c r="L33" s="13">
        <f t="shared" si="0"/>
        <v>7.6109603473328846E-2</v>
      </c>
      <c r="M33" s="15">
        <f t="shared" si="3"/>
        <v>0.4938956444480791</v>
      </c>
      <c r="N33" s="14">
        <v>7.8248047663853626E-2</v>
      </c>
      <c r="O33" s="14">
        <v>-1.4613333333333332</v>
      </c>
      <c r="P33" s="14">
        <v>345.25159500000018</v>
      </c>
      <c r="Q33" s="14">
        <v>29.503926666666615</v>
      </c>
      <c r="R33" s="14">
        <v>368491.0195000004</v>
      </c>
      <c r="S33" s="14">
        <v>388.16471999999976</v>
      </c>
    </row>
    <row r="34" spans="1:19" x14ac:dyDescent="0.25">
      <c r="A34" s="1">
        <v>37257</v>
      </c>
      <c r="B34" s="2">
        <v>10929.108249999999</v>
      </c>
      <c r="C34" s="2">
        <f t="shared" si="1"/>
        <v>9.2991849904679533</v>
      </c>
      <c r="D34" s="4">
        <v>287954.58333333331</v>
      </c>
      <c r="E34" s="2">
        <f t="shared" si="2"/>
        <v>12.570558049923383</v>
      </c>
      <c r="F34" s="3">
        <v>5.7833333333333332</v>
      </c>
      <c r="G34" s="2">
        <v>3090.5145000000002</v>
      </c>
      <c r="H34" s="2">
        <v>179.86666666666667</v>
      </c>
      <c r="I34" s="3">
        <v>2354598.0249999999</v>
      </c>
      <c r="J34" s="2">
        <v>1930.41725</v>
      </c>
      <c r="K34" s="11">
        <v>9.2132577378160452</v>
      </c>
      <c r="L34" s="13">
        <f t="shared" ref="L34:L65" si="4">C34-K34</f>
        <v>8.5927252651908148E-2</v>
      </c>
      <c r="M34" s="15">
        <f t="shared" si="3"/>
        <v>0.5261776209811746</v>
      </c>
      <c r="N34" s="14">
        <v>8.7771891788831269E-2</v>
      </c>
      <c r="O34" s="14">
        <v>-0.41966666666666708</v>
      </c>
      <c r="P34" s="14">
        <v>477.10459500000024</v>
      </c>
      <c r="Q34" s="14">
        <v>32.328926666666632</v>
      </c>
      <c r="R34" s="14">
        <v>422398.59450000012</v>
      </c>
      <c r="S34" s="14">
        <v>383.74046999999973</v>
      </c>
    </row>
    <row r="35" spans="1:19" x14ac:dyDescent="0.25">
      <c r="A35" s="1">
        <v>37622</v>
      </c>
      <c r="B35" s="2">
        <v>11456.449500000001</v>
      </c>
      <c r="C35" s="2">
        <f t="shared" si="1"/>
        <v>9.346308125511678</v>
      </c>
      <c r="D35" s="4">
        <v>290626.25</v>
      </c>
      <c r="E35" s="2">
        <f t="shared" si="2"/>
        <v>12.579793356389777</v>
      </c>
      <c r="F35" s="3">
        <v>5.9916666666666671</v>
      </c>
      <c r="G35" s="2">
        <v>3153.886</v>
      </c>
      <c r="H35" s="2">
        <v>184</v>
      </c>
      <c r="I35" s="3">
        <v>2426424.15</v>
      </c>
      <c r="J35" s="2">
        <v>2027.0554999999999</v>
      </c>
      <c r="K35" s="11">
        <v>9.2478112249121978</v>
      </c>
      <c r="L35" s="13">
        <f t="shared" si="4"/>
        <v>9.8496900599480242E-2</v>
      </c>
      <c r="M35" s="15">
        <f t="shared" si="3"/>
        <v>0.57330075602489927</v>
      </c>
      <c r="N35" s="14">
        <v>9.7007198255225191E-2</v>
      </c>
      <c r="O35" s="14">
        <v>-0.21133333333333315</v>
      </c>
      <c r="P35" s="14">
        <v>540.47609499999999</v>
      </c>
      <c r="Q35" s="14">
        <v>36.462259999999958</v>
      </c>
      <c r="R35" s="14">
        <v>494224.71950000012</v>
      </c>
      <c r="S35" s="14">
        <v>480.3787199999997</v>
      </c>
    </row>
    <row r="36" spans="1:19" x14ac:dyDescent="0.25">
      <c r="A36" s="1">
        <v>37987</v>
      </c>
      <c r="B36" s="2">
        <v>12217.195750000001</v>
      </c>
      <c r="C36" s="2">
        <f t="shared" si="1"/>
        <v>9.410599726030874</v>
      </c>
      <c r="D36" s="4">
        <v>293262.33333333331</v>
      </c>
      <c r="E36" s="2">
        <f t="shared" si="2"/>
        <v>12.588822823034006</v>
      </c>
      <c r="F36" s="3">
        <v>5.541666666666667</v>
      </c>
      <c r="G36" s="2">
        <v>3202.1959999999999</v>
      </c>
      <c r="H36" s="2">
        <v>188.90833333333333</v>
      </c>
      <c r="I36" s="3">
        <v>2519337.0249999999</v>
      </c>
      <c r="J36" s="2">
        <v>2281.2532500000002</v>
      </c>
      <c r="K36" s="11">
        <v>9.2990606727924447</v>
      </c>
      <c r="L36" s="13">
        <f t="shared" si="4"/>
        <v>0.11153905323842928</v>
      </c>
      <c r="M36" s="15">
        <f t="shared" si="3"/>
        <v>0.6375923565440953</v>
      </c>
      <c r="N36" s="14">
        <v>0.10603666489945418</v>
      </c>
      <c r="O36" s="14">
        <v>-0.66133333333333333</v>
      </c>
      <c r="P36" s="14">
        <v>588.78609499999993</v>
      </c>
      <c r="Q36" s="14">
        <v>41.370593333333289</v>
      </c>
      <c r="R36" s="14">
        <v>587137.59450000012</v>
      </c>
      <c r="S36" s="14">
        <v>734.57646999999997</v>
      </c>
    </row>
    <row r="37" spans="1:19" x14ac:dyDescent="0.25">
      <c r="A37" s="1">
        <v>38353</v>
      </c>
      <c r="B37" s="2">
        <v>13039.197</v>
      </c>
      <c r="C37" s="2">
        <f t="shared" si="1"/>
        <v>9.4757152538299323</v>
      </c>
      <c r="D37" s="4">
        <v>295992.91666666669</v>
      </c>
      <c r="E37" s="2">
        <f t="shared" si="2"/>
        <v>12.598090802839685</v>
      </c>
      <c r="F37" s="3">
        <v>5.083333333333333</v>
      </c>
      <c r="G37" s="2">
        <v>3226.1927500000002</v>
      </c>
      <c r="H37" s="2">
        <v>195.26666666666668</v>
      </c>
      <c r="I37" s="3">
        <v>2611021.9500000002</v>
      </c>
      <c r="J37" s="2">
        <v>2534.7202499999999</v>
      </c>
      <c r="K37" s="11">
        <v>9.3700152370217538</v>
      </c>
      <c r="L37" s="13">
        <f t="shared" si="4"/>
        <v>0.10570001680817853</v>
      </c>
      <c r="M37" s="15">
        <f t="shared" si="3"/>
        <v>0.70270788434315357</v>
      </c>
      <c r="N37" s="14">
        <v>0.1153046447051338</v>
      </c>
      <c r="O37" s="14">
        <v>-1.1196666666666673</v>
      </c>
      <c r="P37" s="14">
        <v>612.78284500000018</v>
      </c>
      <c r="Q37" s="14">
        <v>47.728926666666638</v>
      </c>
      <c r="R37" s="14">
        <v>678822.5195000004</v>
      </c>
      <c r="S37" s="14">
        <v>988.04346999999962</v>
      </c>
    </row>
    <row r="38" spans="1:19" x14ac:dyDescent="0.25">
      <c r="A38" s="1">
        <v>38718</v>
      </c>
      <c r="B38" s="2">
        <v>13815.583000000001</v>
      </c>
      <c r="C38" s="2">
        <f t="shared" si="1"/>
        <v>9.5335524369737961</v>
      </c>
      <c r="D38" s="4">
        <v>298817.66666666669</v>
      </c>
      <c r="E38" s="2">
        <f t="shared" si="2"/>
        <v>12.607588855883414</v>
      </c>
      <c r="F38" s="3">
        <v>4.6083333333333334</v>
      </c>
      <c r="G38" s="2">
        <v>3277.2435</v>
      </c>
      <c r="H38" s="2">
        <v>201.55833333333334</v>
      </c>
      <c r="I38" s="3">
        <v>2680701.4</v>
      </c>
      <c r="J38" s="2">
        <v>2700.9544999999998</v>
      </c>
      <c r="K38" s="11">
        <v>9.4655239346152822</v>
      </c>
      <c r="L38" s="13">
        <f t="shared" si="4"/>
        <v>6.8028502358513876E-2</v>
      </c>
      <c r="M38" s="15">
        <f t="shared" si="3"/>
        <v>0.76054506748701733</v>
      </c>
      <c r="N38" s="14">
        <v>0.1248026977488621</v>
      </c>
      <c r="O38" s="14">
        <v>-1.5946666666666669</v>
      </c>
      <c r="P38" s="14">
        <v>663.83359500000006</v>
      </c>
      <c r="Q38" s="14">
        <v>54.020593333333295</v>
      </c>
      <c r="R38" s="14">
        <v>748501.96950000012</v>
      </c>
      <c r="S38" s="14">
        <v>1154.2777199999996</v>
      </c>
    </row>
    <row r="39" spans="1:19" x14ac:dyDescent="0.25">
      <c r="A39" s="1">
        <v>39083</v>
      </c>
      <c r="B39" s="2">
        <v>14474.227000000001</v>
      </c>
      <c r="C39" s="2">
        <f t="shared" si="1"/>
        <v>9.5801248985972745</v>
      </c>
      <c r="D39" s="4">
        <v>301696.16666666669</v>
      </c>
      <c r="E39" s="2">
        <f t="shared" si="2"/>
        <v>12.617175719288067</v>
      </c>
      <c r="F39" s="3">
        <v>4.6166666666666671</v>
      </c>
      <c r="G39" s="2">
        <v>3335.8564999999999</v>
      </c>
      <c r="H39" s="2">
        <v>207.34416666666667</v>
      </c>
      <c r="I39" s="3">
        <v>2745573.65</v>
      </c>
      <c r="J39" s="2">
        <v>2673.0102499999998</v>
      </c>
      <c r="K39" s="11">
        <v>9.5333927623554651</v>
      </c>
      <c r="L39" s="13">
        <f t="shared" si="4"/>
        <v>4.6732136241809386E-2</v>
      </c>
      <c r="M39" s="15">
        <f t="shared" si="3"/>
        <v>0.80711752911049572</v>
      </c>
      <c r="N39" s="14">
        <v>0.1343895611535153</v>
      </c>
      <c r="O39" s="14">
        <v>-1.5863333333333332</v>
      </c>
      <c r="P39" s="14">
        <v>722.44659499999989</v>
      </c>
      <c r="Q39" s="14">
        <v>59.806426666666624</v>
      </c>
      <c r="R39" s="14">
        <v>813374.21950000012</v>
      </c>
      <c r="S39" s="14">
        <v>1126.3334699999996</v>
      </c>
    </row>
    <row r="40" spans="1:19" x14ac:dyDescent="0.25">
      <c r="A40" s="1">
        <v>39448</v>
      </c>
      <c r="B40" s="2">
        <v>14769.86175</v>
      </c>
      <c r="C40" s="2">
        <f t="shared" si="1"/>
        <v>9.6003440152920447</v>
      </c>
      <c r="D40" s="4">
        <v>304543.08333333331</v>
      </c>
      <c r="E40" s="2">
        <f t="shared" si="2"/>
        <v>12.626567844902915</v>
      </c>
      <c r="F40" s="3">
        <v>5.8</v>
      </c>
      <c r="G40" s="2">
        <v>3420.0864999999999</v>
      </c>
      <c r="H40" s="2">
        <v>215.25425000000001</v>
      </c>
      <c r="I40" s="3">
        <v>2739367.5249999999</v>
      </c>
      <c r="J40" s="2">
        <v>2477.6132499999999</v>
      </c>
      <c r="K40" s="11">
        <v>9.6748215056297902</v>
      </c>
      <c r="L40" s="13">
        <f t="shared" si="4"/>
        <v>-7.4477490337745422E-2</v>
      </c>
      <c r="M40" s="15">
        <f t="shared" si="3"/>
        <v>0.827336645805266</v>
      </c>
      <c r="N40" s="14">
        <v>0.14378168676836367</v>
      </c>
      <c r="O40" s="14">
        <v>-0.40300000000000047</v>
      </c>
      <c r="P40" s="14">
        <v>806.67659499999991</v>
      </c>
      <c r="Q40" s="14">
        <v>67.716509999999971</v>
      </c>
      <c r="R40" s="14">
        <v>807168.09450000012</v>
      </c>
      <c r="S40" s="14">
        <v>930.93646999999964</v>
      </c>
    </row>
    <row r="41" spans="1:19" x14ac:dyDescent="0.25">
      <c r="A41" s="1">
        <v>39814</v>
      </c>
      <c r="B41" s="2">
        <v>14478.06725</v>
      </c>
      <c r="C41" s="2">
        <f t="shared" si="1"/>
        <v>9.5803901798208866</v>
      </c>
      <c r="D41" s="4">
        <v>307240.08333333331</v>
      </c>
      <c r="E41" s="2">
        <f t="shared" si="2"/>
        <v>12.635384751344626</v>
      </c>
      <c r="F41" s="3">
        <v>9.2833333333333332</v>
      </c>
      <c r="G41" s="2">
        <v>3542.7145</v>
      </c>
      <c r="H41" s="2">
        <v>214.56466666666665</v>
      </c>
      <c r="I41" s="3">
        <v>2699650.5249999999</v>
      </c>
      <c r="J41" s="2">
        <v>1929.6635000000001</v>
      </c>
      <c r="K41" s="11">
        <v>9.6174366357007681</v>
      </c>
      <c r="L41" s="13">
        <f t="shared" si="4"/>
        <v>-3.7046455879881535E-2</v>
      </c>
      <c r="M41" s="15">
        <f t="shared" si="3"/>
        <v>0.80738281033410786</v>
      </c>
      <c r="N41" s="14">
        <v>0.15259859321007418</v>
      </c>
      <c r="O41" s="14">
        <v>3.0803333333333329</v>
      </c>
      <c r="P41" s="14">
        <v>929.30459500000006</v>
      </c>
      <c r="Q41" s="14">
        <v>67.026926666666611</v>
      </c>
      <c r="R41" s="14">
        <v>767451.09450000012</v>
      </c>
      <c r="S41" s="14">
        <v>382.98671999999988</v>
      </c>
    </row>
    <row r="42" spans="1:19" x14ac:dyDescent="0.25">
      <c r="A42" s="1">
        <v>40179</v>
      </c>
      <c r="B42" s="2">
        <v>15048.971</v>
      </c>
      <c r="C42" s="2">
        <f t="shared" si="1"/>
        <v>9.6190648957465203</v>
      </c>
      <c r="D42" s="4">
        <v>309838.83333333331</v>
      </c>
      <c r="E42" s="2">
        <f t="shared" si="2"/>
        <v>12.643807548797261</v>
      </c>
      <c r="F42" s="3">
        <v>9.6083333333333325</v>
      </c>
      <c r="G42" s="2">
        <v>3539.65425</v>
      </c>
      <c r="H42" s="2">
        <v>218.07616666666667</v>
      </c>
      <c r="I42" s="3">
        <v>2750035.5249999999</v>
      </c>
      <c r="J42" s="2">
        <v>2165.4727499999999</v>
      </c>
      <c r="K42" s="11">
        <v>9.6431348489418891</v>
      </c>
      <c r="L42" s="13">
        <f t="shared" si="4"/>
        <v>-2.4069953195368754E-2</v>
      </c>
      <c r="M42" s="15">
        <f t="shared" si="3"/>
        <v>0.84605752625974162</v>
      </c>
      <c r="N42" s="14">
        <v>0.16102139066270915</v>
      </c>
      <c r="O42" s="14">
        <v>3.4053333333333322</v>
      </c>
      <c r="P42" s="14">
        <v>926.24434500000007</v>
      </c>
      <c r="Q42" s="14">
        <v>70.538426666666624</v>
      </c>
      <c r="R42" s="14">
        <v>817836.09450000012</v>
      </c>
      <c r="S42" s="14">
        <v>618.79596999999967</v>
      </c>
    </row>
    <row r="43" spans="1:19" x14ac:dyDescent="0.25">
      <c r="A43" s="1">
        <v>40544</v>
      </c>
      <c r="B43" s="2">
        <v>15599.7315</v>
      </c>
      <c r="C43" s="2">
        <f t="shared" si="1"/>
        <v>9.6550089815510471</v>
      </c>
      <c r="D43" s="4">
        <v>312295.25</v>
      </c>
      <c r="E43" s="2">
        <f t="shared" si="2"/>
        <v>12.651704333421272</v>
      </c>
      <c r="F43" s="3">
        <v>8.9333333333333336</v>
      </c>
      <c r="G43" s="2">
        <v>3426.8517499999998</v>
      </c>
      <c r="H43" s="2">
        <v>224.923</v>
      </c>
      <c r="I43" s="3">
        <v>2794371.125</v>
      </c>
      <c r="J43" s="2">
        <v>2332.5622499999999</v>
      </c>
      <c r="K43" s="11">
        <v>9.7206729996276628</v>
      </c>
      <c r="L43" s="13">
        <f t="shared" si="4"/>
        <v>-6.5664018076615704E-2</v>
      </c>
      <c r="M43" s="15">
        <f t="shared" si="3"/>
        <v>0.88200161206426841</v>
      </c>
      <c r="N43" s="14">
        <v>0.16891817528671993</v>
      </c>
      <c r="O43" s="14">
        <v>2.7303333333333333</v>
      </c>
      <c r="P43" s="14">
        <v>813.44184499999983</v>
      </c>
      <c r="Q43" s="14">
        <v>77.38525999999996</v>
      </c>
      <c r="R43" s="14">
        <v>862171.69450000022</v>
      </c>
      <c r="S43" s="14">
        <v>785.88546999999971</v>
      </c>
    </row>
    <row r="44" spans="1:19" x14ac:dyDescent="0.25">
      <c r="A44" s="1">
        <v>40909</v>
      </c>
      <c r="B44" s="2">
        <v>16253.97</v>
      </c>
      <c r="C44" s="2">
        <f t="shared" si="1"/>
        <v>9.6960924656119261</v>
      </c>
      <c r="D44" s="4">
        <v>314725.41666666669</v>
      </c>
      <c r="E44" s="2">
        <f t="shared" si="2"/>
        <v>12.659455844540698</v>
      </c>
      <c r="F44" s="3">
        <v>8.0749999999999993</v>
      </c>
      <c r="G44" s="2">
        <v>3355.9575</v>
      </c>
      <c r="H44" s="2">
        <v>229.58608333333333</v>
      </c>
      <c r="I44" s="3">
        <v>2826136.45</v>
      </c>
      <c r="J44" s="2">
        <v>2621.7534999999998</v>
      </c>
      <c r="K44" s="11">
        <v>9.7975173830251023</v>
      </c>
      <c r="L44" s="13">
        <f t="shared" si="4"/>
        <v>-0.10142491741317627</v>
      </c>
      <c r="M44" s="15">
        <f t="shared" si="3"/>
        <v>0.92308509612514733</v>
      </c>
      <c r="N44" s="14">
        <v>0.17666968640614655</v>
      </c>
      <c r="O44" s="14">
        <v>1.871999999999999</v>
      </c>
      <c r="P44" s="14">
        <v>742.547595</v>
      </c>
      <c r="Q44" s="14">
        <v>82.048343333333293</v>
      </c>
      <c r="R44" s="14">
        <v>893937.0195000004</v>
      </c>
      <c r="S44" s="14">
        <v>1075.0767199999996</v>
      </c>
    </row>
    <row r="45" spans="1:19" x14ac:dyDescent="0.25">
      <c r="A45" s="1">
        <v>41275</v>
      </c>
      <c r="B45" s="2">
        <v>16880.683249999998</v>
      </c>
      <c r="C45" s="2">
        <f t="shared" si="1"/>
        <v>9.7339252442265156</v>
      </c>
      <c r="D45" s="4">
        <v>317099</v>
      </c>
      <c r="E45" s="2">
        <f t="shared" si="2"/>
        <v>12.666969306942153</v>
      </c>
      <c r="F45" s="3">
        <v>7.3583333333333334</v>
      </c>
      <c r="G45" s="2">
        <v>3275.5902500000002</v>
      </c>
      <c r="H45" s="2">
        <v>232.95175</v>
      </c>
      <c r="I45" s="3">
        <v>2876273.45</v>
      </c>
      <c r="J45" s="2">
        <v>2838.3267500000002</v>
      </c>
      <c r="K45" s="11">
        <v>9.8207515443605455</v>
      </c>
      <c r="L45" s="13">
        <f t="shared" si="4"/>
        <v>-8.6826300134029921E-2</v>
      </c>
      <c r="M45" s="15">
        <f t="shared" si="3"/>
        <v>0.96091787473973689</v>
      </c>
      <c r="N45" s="14">
        <v>0.18418314880760178</v>
      </c>
      <c r="O45" s="14">
        <v>1.1553333333333331</v>
      </c>
      <c r="P45" s="14">
        <v>662.18034500000022</v>
      </c>
      <c r="Q45" s="14">
        <v>85.414009999999962</v>
      </c>
      <c r="R45" s="14">
        <v>944074.0195000004</v>
      </c>
      <c r="S45" s="14">
        <v>1291.6499699999999</v>
      </c>
    </row>
    <row r="46" spans="1:19" x14ac:dyDescent="0.25">
      <c r="A46" s="1">
        <v>41640</v>
      </c>
      <c r="B46" s="2">
        <v>17608.13825</v>
      </c>
      <c r="C46" s="2">
        <f t="shared" si="1"/>
        <v>9.7761164747202276</v>
      </c>
      <c r="D46" s="4">
        <v>319600.41666666669</v>
      </c>
      <c r="E46" s="2">
        <f t="shared" si="2"/>
        <v>12.674826796586382</v>
      </c>
      <c r="F46" s="3">
        <v>6.1583333333333332</v>
      </c>
      <c r="G46" s="2">
        <v>3247.2627499999999</v>
      </c>
      <c r="H46" s="2">
        <v>236.715</v>
      </c>
      <c r="I46" s="3">
        <v>2960428.1</v>
      </c>
      <c r="J46" s="2">
        <v>3073.9810000000002</v>
      </c>
      <c r="K46" s="11">
        <v>9.8514226852485454</v>
      </c>
      <c r="L46" s="13">
        <f t="shared" si="4"/>
        <v>-7.5306210528317763E-2</v>
      </c>
      <c r="M46" s="15">
        <f t="shared" si="3"/>
        <v>1.0031091052334489</v>
      </c>
      <c r="N46" s="14">
        <v>0.1920406384518305</v>
      </c>
      <c r="O46" s="14">
        <v>-4.4666666666667076E-2</v>
      </c>
      <c r="P46" s="14">
        <v>633.85284499999989</v>
      </c>
      <c r="Q46" s="14">
        <v>89.177259999999961</v>
      </c>
      <c r="R46" s="14">
        <v>1028228.6695000003</v>
      </c>
      <c r="S46" s="14">
        <v>1527.30422</v>
      </c>
    </row>
    <row r="47" spans="1:19" x14ac:dyDescent="0.25">
      <c r="A47" s="1">
        <v>42005</v>
      </c>
      <c r="B47" s="2">
        <v>18295.019</v>
      </c>
      <c r="C47" s="2">
        <f t="shared" si="1"/>
        <v>9.8143841159878864</v>
      </c>
      <c r="D47" s="4">
        <v>322112.66666666669</v>
      </c>
      <c r="E47" s="2">
        <f t="shared" si="2"/>
        <v>12.682656659807378</v>
      </c>
      <c r="F47" s="3">
        <v>5.2750000000000004</v>
      </c>
      <c r="G47" s="2">
        <v>3313.57375</v>
      </c>
      <c r="H47" s="2">
        <v>237.00174999999999</v>
      </c>
      <c r="I47" s="3">
        <v>3063759.45</v>
      </c>
      <c r="J47" s="2">
        <v>3288.4814999999999</v>
      </c>
      <c r="K47" s="11">
        <v>9.8225523363700731</v>
      </c>
      <c r="L47" s="13">
        <f t="shared" si="4"/>
        <v>-8.168220382186675E-3</v>
      </c>
      <c r="M47" s="15">
        <f t="shared" si="3"/>
        <v>1.0413767465011077</v>
      </c>
      <c r="N47" s="14">
        <v>0.19987050167282661</v>
      </c>
      <c r="O47" s="14">
        <v>-0.92799999999999994</v>
      </c>
      <c r="P47" s="14">
        <v>700.16384500000004</v>
      </c>
      <c r="Q47" s="14">
        <v>89.464009999999945</v>
      </c>
      <c r="R47" s="14">
        <v>1131560.0195000004</v>
      </c>
      <c r="S47" s="14">
        <v>1741.8047199999996</v>
      </c>
    </row>
    <row r="48" spans="1:19" x14ac:dyDescent="0.25">
      <c r="A48" s="1">
        <v>42370</v>
      </c>
      <c r="B48" s="2">
        <v>18804.913250000001</v>
      </c>
      <c r="C48" s="2">
        <f t="shared" si="1"/>
        <v>9.8418734577589913</v>
      </c>
      <c r="D48" s="4">
        <v>324609.33333333331</v>
      </c>
      <c r="E48" s="2">
        <f t="shared" si="2"/>
        <v>12.6903776869867</v>
      </c>
      <c r="F48" s="3">
        <v>4.875</v>
      </c>
      <c r="G48" s="2">
        <v>3378.5082499999999</v>
      </c>
      <c r="H48" s="2">
        <v>240.00541666666666</v>
      </c>
      <c r="I48" s="3">
        <v>3137788.7250000001</v>
      </c>
      <c r="J48" s="2">
        <v>3278.3052499999999</v>
      </c>
      <c r="K48" s="11">
        <v>9.8438892668801437</v>
      </c>
      <c r="L48" s="13">
        <f t="shared" si="4"/>
        <v>-2.015809121152401E-3</v>
      </c>
      <c r="M48" s="15">
        <f t="shared" si="3"/>
        <v>1.0688660882722125</v>
      </c>
      <c r="N48" s="14">
        <v>0.2075915288521486</v>
      </c>
      <c r="O48" s="14">
        <v>-1.3280000000000003</v>
      </c>
      <c r="P48" s="14">
        <v>765.09834499999988</v>
      </c>
      <c r="Q48" s="14">
        <v>92.46767666666662</v>
      </c>
      <c r="R48" s="14">
        <v>1205589.2945000003</v>
      </c>
      <c r="S48" s="14">
        <v>1731.6284699999997</v>
      </c>
    </row>
    <row r="49" spans="1:22" x14ac:dyDescent="0.25">
      <c r="A49" s="1">
        <v>42736</v>
      </c>
      <c r="B49" s="2">
        <v>19612.102500000001</v>
      </c>
      <c r="C49" s="2">
        <f t="shared" si="1"/>
        <v>9.8839021291494706</v>
      </c>
      <c r="D49" s="4">
        <v>326859.66666666669</v>
      </c>
      <c r="E49" s="2">
        <f t="shared" si="2"/>
        <v>12.697286203841923</v>
      </c>
      <c r="F49" s="3">
        <v>4.3583333333333334</v>
      </c>
      <c r="G49" s="2">
        <v>3397.1405</v>
      </c>
      <c r="H49" s="2">
        <v>245.12100000000001</v>
      </c>
      <c r="I49" s="3">
        <v>3223552.5750000002</v>
      </c>
      <c r="J49" s="2">
        <v>3467.6642499999998</v>
      </c>
      <c r="K49" s="11">
        <v>9.892002085584231</v>
      </c>
      <c r="L49" s="13">
        <f t="shared" si="4"/>
        <v>-8.0999564347603581E-3</v>
      </c>
      <c r="M49" s="15">
        <f t="shared" si="3"/>
        <v>1.1108947596626919</v>
      </c>
      <c r="N49" s="14">
        <v>0.21450004570737136</v>
      </c>
      <c r="O49" s="14">
        <v>-1.8446666666666669</v>
      </c>
      <c r="P49" s="14">
        <v>783.73059499999999</v>
      </c>
      <c r="Q49" s="14">
        <v>97.583259999999967</v>
      </c>
      <c r="R49" s="14">
        <v>1291353.1445000004</v>
      </c>
      <c r="S49" s="14">
        <v>1920.9874699999996</v>
      </c>
    </row>
    <row r="50" spans="1:22" x14ac:dyDescent="0.25">
      <c r="A50" s="1">
        <v>43101</v>
      </c>
      <c r="B50" s="2">
        <v>20656.515500000001</v>
      </c>
      <c r="C50" s="2">
        <f t="shared" si="1"/>
        <v>9.9357860692041413</v>
      </c>
      <c r="D50" s="4">
        <v>328794.5</v>
      </c>
      <c r="E50" s="2">
        <f t="shared" si="2"/>
        <v>12.703188214530339</v>
      </c>
      <c r="F50" s="3">
        <v>3.8916666666666666</v>
      </c>
      <c r="G50" s="2">
        <v>3464.9994999999999</v>
      </c>
      <c r="H50" s="2">
        <v>251.09950000000001</v>
      </c>
      <c r="I50" s="3">
        <v>3309895.4750000001</v>
      </c>
      <c r="J50" s="2">
        <v>3724.7705000000001</v>
      </c>
      <c r="K50" s="11">
        <v>9.9750222366238912</v>
      </c>
      <c r="L50" s="13">
        <f t="shared" si="4"/>
        <v>-3.923616741974989E-2</v>
      </c>
      <c r="M50" s="15">
        <f t="shared" si="3"/>
        <v>1.1627786997173626</v>
      </c>
      <c r="N50" s="14">
        <v>0.22040205639578758</v>
      </c>
      <c r="O50" s="14">
        <v>-2.3113333333333337</v>
      </c>
      <c r="P50" s="14">
        <v>851.58959499999992</v>
      </c>
      <c r="Q50" s="14">
        <v>103.56175999999996</v>
      </c>
      <c r="R50" s="14">
        <v>1377696.0445000003</v>
      </c>
      <c r="S50" s="14">
        <v>2178.0937199999998</v>
      </c>
    </row>
    <row r="51" spans="1:22" x14ac:dyDescent="0.25">
      <c r="A51" s="1">
        <v>43466</v>
      </c>
      <c r="B51" s="2">
        <v>21521.395</v>
      </c>
      <c r="C51" s="2">
        <f t="shared" si="1"/>
        <v>9.9768028355948477</v>
      </c>
      <c r="D51" s="4">
        <v>330512.58333333331</v>
      </c>
      <c r="E51" s="2">
        <f t="shared" si="2"/>
        <v>12.708400011174914</v>
      </c>
      <c r="F51" s="3">
        <v>3.6749999999999998</v>
      </c>
      <c r="G51" s="2">
        <v>3601.3505</v>
      </c>
      <c r="H51" s="2">
        <v>255.65258333333333</v>
      </c>
      <c r="I51" s="3">
        <v>3381646.0249999999</v>
      </c>
      <c r="J51" s="2">
        <v>3892.4012499999999</v>
      </c>
      <c r="K51" s="11">
        <v>10.056880544511616</v>
      </c>
      <c r="L51" s="13">
        <f t="shared" si="4"/>
        <v>-8.0077708916768131E-2</v>
      </c>
      <c r="M51" s="15">
        <f t="shared" si="3"/>
        <v>1.203795466108069</v>
      </c>
      <c r="N51" s="14">
        <v>0.22561385304036286</v>
      </c>
      <c r="O51" s="14">
        <v>-2.5280000000000005</v>
      </c>
      <c r="P51" s="14">
        <v>987.94059500000003</v>
      </c>
      <c r="Q51" s="14">
        <v>108.11484333333328</v>
      </c>
      <c r="R51" s="14">
        <v>1449446.5945000001</v>
      </c>
      <c r="S51" s="14">
        <v>2345.7244699999997</v>
      </c>
    </row>
    <row r="52" spans="1:22" x14ac:dyDescent="0.25">
      <c r="G52" s="2"/>
      <c r="H52" s="2"/>
    </row>
    <row r="53" spans="1:22" x14ac:dyDescent="0.25">
      <c r="A53" s="8" t="s">
        <v>19</v>
      </c>
      <c r="B53" s="8">
        <f>COUNT(B2:B51)</f>
        <v>50</v>
      </c>
      <c r="C53" s="8">
        <f t="shared" ref="C53:E53" si="5">COUNT(C2:C51)</f>
        <v>50</v>
      </c>
      <c r="D53" s="8">
        <f t="shared" si="5"/>
        <v>50</v>
      </c>
      <c r="E53" s="8">
        <f t="shared" si="5"/>
        <v>50</v>
      </c>
      <c r="F53" s="8">
        <f t="shared" ref="F53:L53" si="6">COUNT(F2:F51)</f>
        <v>50</v>
      </c>
      <c r="G53" s="8">
        <f t="shared" si="6"/>
        <v>50</v>
      </c>
      <c r="H53" s="8">
        <f t="shared" si="6"/>
        <v>50</v>
      </c>
      <c r="I53" s="8">
        <f t="shared" si="6"/>
        <v>50</v>
      </c>
      <c r="J53" s="8">
        <f t="shared" si="6"/>
        <v>50</v>
      </c>
      <c r="K53" s="8">
        <f>COUNT(K2:K51)</f>
        <v>50</v>
      </c>
      <c r="L53" s="8">
        <f t="shared" si="6"/>
        <v>50</v>
      </c>
    </row>
    <row r="54" spans="1:22" x14ac:dyDescent="0.25">
      <c r="A54" s="8" t="s">
        <v>20</v>
      </c>
      <c r="B54" s="9">
        <f>SUM(B2:B51)</f>
        <v>440904.41224999999</v>
      </c>
      <c r="C54" s="9">
        <f t="shared" ref="C54:E54" si="7">SUM(C2:C51)</f>
        <v>438.6503684743389</v>
      </c>
      <c r="D54" s="9">
        <f t="shared" si="7"/>
        <v>13329108</v>
      </c>
      <c r="E54" s="9">
        <f t="shared" si="7"/>
        <v>624.13930790672759</v>
      </c>
      <c r="F54" s="9">
        <f t="shared" ref="F54:J54" si="8">SUM(F2:F51)</f>
        <v>310.15000000000003</v>
      </c>
      <c r="G54" s="9">
        <f t="shared" si="8"/>
        <v>130670.49524999999</v>
      </c>
      <c r="H54" s="9">
        <f t="shared" si="8"/>
        <v>7376.8870000000015</v>
      </c>
      <c r="I54" s="9">
        <f t="shared" si="8"/>
        <v>96609971.524999991</v>
      </c>
      <c r="J54" s="9">
        <f t="shared" si="8"/>
        <v>77333.839000000007</v>
      </c>
      <c r="K54" s="9">
        <f>SUM(K2:K51)</f>
        <v>438.65199327093956</v>
      </c>
      <c r="L54" s="9">
        <f>SUM(L2:L51)</f>
        <v>-1.6247966006819325E-3</v>
      </c>
    </row>
    <row r="55" spans="1:22" x14ac:dyDescent="0.25">
      <c r="A55" s="8" t="s">
        <v>21</v>
      </c>
      <c r="B55" s="9">
        <f>AVERAGE(B2:B51)</f>
        <v>8818.088244999999</v>
      </c>
      <c r="C55" s="9">
        <f t="shared" ref="C55:E55" si="9">AVERAGE(C2:C51)</f>
        <v>8.7730073694867787</v>
      </c>
      <c r="D55" s="9">
        <f t="shared" si="9"/>
        <v>266582.15999999997</v>
      </c>
      <c r="E55" s="9">
        <f t="shared" si="9"/>
        <v>12.482786158134552</v>
      </c>
      <c r="F55" s="9">
        <f t="shared" ref="F55:L55" si="10">AVERAGE(F2:F51)</f>
        <v>6.2030000000000003</v>
      </c>
      <c r="G55" s="9">
        <f t="shared" si="10"/>
        <v>2613.409905</v>
      </c>
      <c r="H55" s="9">
        <f t="shared" si="10"/>
        <v>147.53774000000004</v>
      </c>
      <c r="I55" s="9">
        <f t="shared" si="10"/>
        <v>1932199.4304999998</v>
      </c>
      <c r="J55" s="9">
        <f t="shared" si="10"/>
        <v>1546.6767800000002</v>
      </c>
      <c r="K55" s="9">
        <f>AVERAGE(K2:K51)</f>
        <v>8.7730398654187915</v>
      </c>
      <c r="L55" s="9">
        <f t="shared" si="10"/>
        <v>-3.2495932013638649E-5</v>
      </c>
    </row>
    <row r="56" spans="1:22" x14ac:dyDescent="0.25">
      <c r="A56" s="8" t="s">
        <v>22</v>
      </c>
      <c r="B56" s="8">
        <f>_xlfn.VAR.P(B2:B51)</f>
        <v>36413497.95089756</v>
      </c>
      <c r="C56" s="8">
        <f t="shared" ref="C56:E56" si="11">_xlfn.VAR.P(C2:C51)</f>
        <v>0.75271462947906487</v>
      </c>
      <c r="D56" s="8">
        <f t="shared" si="11"/>
        <v>1498160872.9708126</v>
      </c>
      <c r="E56" s="8">
        <f t="shared" si="11"/>
        <v>2.1429343207795451E-2</v>
      </c>
      <c r="F56" s="8">
        <f t="shared" ref="F56:L56" si="12">_xlfn.VAR.P(F2:F51)</f>
        <v>2.4314521111111214</v>
      </c>
      <c r="G56" s="8">
        <f t="shared" si="12"/>
        <v>425840.53623411636</v>
      </c>
      <c r="H56" s="8">
        <f t="shared" si="12"/>
        <v>4354.4307874626729</v>
      </c>
      <c r="I56" s="8">
        <f t="shared" si="12"/>
        <v>603216729069.396</v>
      </c>
      <c r="J56" s="8">
        <f t="shared" si="12"/>
        <v>1101723.8286997536</v>
      </c>
      <c r="K56" s="8">
        <f>_xlfn.VAR.P(K2:K51)</f>
        <v>0.74368440381022549</v>
      </c>
      <c r="L56" s="8">
        <f t="shared" si="12"/>
        <v>8.4600493985954577E-3</v>
      </c>
    </row>
    <row r="57" spans="1:22" x14ac:dyDescent="0.25">
      <c r="A57" s="8" t="s">
        <v>23</v>
      </c>
      <c r="B57" s="8">
        <f>SQRT(B56)</f>
        <v>6034.359779703027</v>
      </c>
      <c r="C57" s="8">
        <f t="shared" ref="C57:E57" si="13">SQRT(C56)</f>
        <v>0.86759128019999421</v>
      </c>
      <c r="D57" s="8">
        <f t="shared" si="13"/>
        <v>38706.083152016465</v>
      </c>
      <c r="E57" s="8">
        <f t="shared" si="13"/>
        <v>0.14638764704644805</v>
      </c>
      <c r="F57" s="8">
        <f t="shared" ref="F57:L57" si="14">SQRT(F56)</f>
        <v>1.5593114221062838</v>
      </c>
      <c r="G57" s="8">
        <f t="shared" si="14"/>
        <v>652.56458395634399</v>
      </c>
      <c r="H57" s="8">
        <f t="shared" si="14"/>
        <v>65.988110955403727</v>
      </c>
      <c r="I57" s="8">
        <f t="shared" si="14"/>
        <v>776670.28336958797</v>
      </c>
      <c r="J57" s="8">
        <f t="shared" si="14"/>
        <v>1049.6303295445275</v>
      </c>
      <c r="K57" s="8">
        <f>SQRT(K56)</f>
        <v>0.86237138392355384</v>
      </c>
      <c r="L57" s="8">
        <f t="shared" si="14"/>
        <v>9.1978526834231578E-2</v>
      </c>
    </row>
    <row r="58" spans="1:22" x14ac:dyDescent="0.25">
      <c r="A58" s="8" t="s">
        <v>24</v>
      </c>
      <c r="B58" s="8">
        <f>_xlfn.VAR.S(B2:B51)</f>
        <v>37156630.56214036</v>
      </c>
      <c r="C58" s="8">
        <f t="shared" ref="C58:E58" si="15">_xlfn.VAR.S(C2:C51)</f>
        <v>0.768076152529658</v>
      </c>
      <c r="D58" s="8">
        <f t="shared" si="15"/>
        <v>1528735584.6641023</v>
      </c>
      <c r="E58" s="8">
        <f t="shared" si="15"/>
        <v>2.186667674264842E-2</v>
      </c>
      <c r="F58" s="8">
        <f t="shared" ref="F58:L58" si="16">_xlfn.VAR.S(F2:F51)</f>
        <v>2.4810735827664496</v>
      </c>
      <c r="G58" s="8">
        <f t="shared" si="16"/>
        <v>434531.15942256793</v>
      </c>
      <c r="H58" s="8">
        <f t="shared" si="16"/>
        <v>4443.296721900685</v>
      </c>
      <c r="I58" s="8">
        <f t="shared" si="16"/>
        <v>615527274560.6084</v>
      </c>
      <c r="J58" s="8">
        <f t="shared" si="16"/>
        <v>1124207.9884691366</v>
      </c>
      <c r="K58" s="8">
        <f>_xlfn.VAR.S(K2:K51)</f>
        <v>0.75886163654104644</v>
      </c>
      <c r="L58" s="8">
        <f t="shared" si="16"/>
        <v>8.6327034679545486E-3</v>
      </c>
    </row>
    <row r="59" spans="1:22" x14ac:dyDescent="0.25">
      <c r="A59" s="8" t="s">
        <v>25</v>
      </c>
      <c r="B59" s="8">
        <f>SQRT(B58)</f>
        <v>6095.6238862105292</v>
      </c>
      <c r="C59" s="8">
        <f t="shared" ref="C59:E59" si="17">SQRT(C58)</f>
        <v>0.87639953932533421</v>
      </c>
      <c r="D59" s="8">
        <f t="shared" si="17"/>
        <v>39099.048385658985</v>
      </c>
      <c r="E59" s="8">
        <f t="shared" si="17"/>
        <v>0.14787385415498042</v>
      </c>
      <c r="F59" s="8">
        <f t="shared" ref="F59:L59" si="18">SQRT(F58)</f>
        <v>1.5751424007899888</v>
      </c>
      <c r="G59" s="8">
        <f t="shared" si="18"/>
        <v>659.1897749681558</v>
      </c>
      <c r="H59" s="8">
        <f t="shared" si="18"/>
        <v>66.65805819179468</v>
      </c>
      <c r="I59" s="8">
        <f t="shared" si="18"/>
        <v>784555.46302387596</v>
      </c>
      <c r="J59" s="8">
        <f t="shared" si="18"/>
        <v>1060.2867482285801</v>
      </c>
      <c r="K59" s="8">
        <f>SQRT(K58)</f>
        <v>0.87112664781938942</v>
      </c>
      <c r="L59" s="8">
        <f t="shared" si="18"/>
        <v>9.2912342925762822E-2</v>
      </c>
    </row>
    <row r="60" spans="1:22" x14ac:dyDescent="0.25">
      <c r="A60" s="8" t="s">
        <v>26</v>
      </c>
      <c r="B60" s="8">
        <f>B57/ABS(B55)</f>
        <v>0.68431610254349728</v>
      </c>
      <c r="C60" s="8">
        <f t="shared" ref="C60:E60" si="19">C57/ABS(C55)</f>
        <v>9.8893257882986182E-2</v>
      </c>
      <c r="D60" s="8">
        <f t="shared" si="19"/>
        <v>0.14519382374280584</v>
      </c>
      <c r="E60" s="8">
        <f t="shared" si="19"/>
        <v>1.172716132376047E-2</v>
      </c>
      <c r="F60" s="8">
        <f t="shared" ref="F60:L60" si="20">F57/ABS(F55)</f>
        <v>0.25138020669132416</v>
      </c>
      <c r="G60" s="8">
        <f t="shared" si="20"/>
        <v>0.24969851943541324</v>
      </c>
      <c r="H60" s="8">
        <f t="shared" si="20"/>
        <v>0.44726258485051829</v>
      </c>
      <c r="I60" s="8">
        <f t="shared" si="20"/>
        <v>0.40196175980064708</v>
      </c>
      <c r="J60" s="8">
        <f t="shared" si="20"/>
        <v>0.67863586181498592</v>
      </c>
      <c r="K60" s="8">
        <f>K57/ABS(K55)</f>
        <v>9.8297898693338201E-2</v>
      </c>
      <c r="L60" s="8">
        <f t="shared" si="20"/>
        <v>2830.4628036404029</v>
      </c>
    </row>
    <row r="61" spans="1:22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 t="s">
        <v>27</v>
      </c>
      <c r="Q61" s="16">
        <f>_xlfn.T.INV.2T(0.05,49)</f>
        <v>2.0095752371292388</v>
      </c>
      <c r="R61" s="16"/>
      <c r="S61" s="16"/>
      <c r="U61" t="s">
        <v>28</v>
      </c>
      <c r="V61">
        <f>QUARTILE($L$2:$L$51,0)</f>
        <v>-0.3410277345445154</v>
      </c>
    </row>
    <row r="62" spans="1:22" x14ac:dyDescent="0.25">
      <c r="A62" s="16" t="s">
        <v>29</v>
      </c>
      <c r="B62" s="16">
        <f>SUMPRODUCT(M2:M51,N2:N51)/B53</f>
        <v>0.12520074568774575</v>
      </c>
      <c r="C62" s="16"/>
      <c r="D62" s="16" t="s">
        <v>30</v>
      </c>
      <c r="E62" s="16">
        <f>B62/E56</f>
        <v>5.8424910401454069</v>
      </c>
      <c r="F62" s="16"/>
      <c r="G62" s="16" t="s">
        <v>31</v>
      </c>
      <c r="H62" s="16">
        <f>B65*B66</f>
        <v>0.97179489577135025</v>
      </c>
      <c r="I62" s="16"/>
      <c r="J62" s="16" t="s">
        <v>32</v>
      </c>
      <c r="K62" s="16">
        <f>_xlfn.F.INV.RT(0.01,1,48)</f>
        <v>7.1942184421879558</v>
      </c>
      <c r="L62" s="16"/>
      <c r="M62" s="16" t="s">
        <v>33</v>
      </c>
      <c r="N62" s="16">
        <f>K66/(L53*E56)</f>
        <v>8.224752827375021E-3</v>
      </c>
      <c r="O62" s="16"/>
      <c r="P62" s="16" t="s">
        <v>34</v>
      </c>
      <c r="Q62" s="16">
        <f>_xlfn.T.INV.2T(0.1,49)</f>
        <v>1.6765508926168529</v>
      </c>
      <c r="R62" s="16"/>
      <c r="S62" s="16"/>
      <c r="U62" t="s">
        <v>35</v>
      </c>
      <c r="V62">
        <f>QUARTILE($L$2:$L$51,1)</f>
        <v>-5.2239213603818779E-2</v>
      </c>
    </row>
    <row r="63" spans="1:22" x14ac:dyDescent="0.25">
      <c r="A63" s="16"/>
      <c r="B63" s="16">
        <f>_xlfn.COVARIANCE.P(C2:C51,E2:E51)</f>
        <v>0.12520074568774575</v>
      </c>
      <c r="C63" s="16"/>
      <c r="D63" s="16" t="s">
        <v>36</v>
      </c>
      <c r="E63" s="16">
        <f>C55-(E62*E55)</f>
        <v>-64.157558915465444</v>
      </c>
      <c r="F63" s="16"/>
      <c r="G63" s="16"/>
      <c r="H63" s="16">
        <f>E67/E65</f>
        <v>0.9887606151557724</v>
      </c>
      <c r="I63" s="16"/>
      <c r="J63" s="16" t="s">
        <v>37</v>
      </c>
      <c r="K63" s="16">
        <f>_xlfn.F.INV.RT(0.05,1,48)</f>
        <v>4.0426521285666537</v>
      </c>
      <c r="L63" s="16"/>
      <c r="M63" s="16" t="s">
        <v>38</v>
      </c>
      <c r="N63" s="16">
        <f>K66*(1/50+E55*E55)/(50*E56)</f>
        <v>1.2817450715988257</v>
      </c>
      <c r="O63" s="16"/>
      <c r="P63" s="16" t="s">
        <v>39</v>
      </c>
      <c r="Q63" s="16">
        <v>2.6799519740000002</v>
      </c>
      <c r="R63" s="16"/>
      <c r="S63" s="16" t="s">
        <v>40</v>
      </c>
      <c r="U63" t="s">
        <v>41</v>
      </c>
      <c r="V63">
        <f>QUARTILE($L$2:$L$51,2)</f>
        <v>5.7279195417665463E-3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 t="s">
        <v>42</v>
      </c>
      <c r="K64" s="16">
        <f>_xlfn.F.INV.RT(0.1,1,48)</f>
        <v>2.8130810040649337</v>
      </c>
      <c r="L64" s="16"/>
      <c r="M64" s="16"/>
      <c r="N64" s="16"/>
      <c r="O64" s="16"/>
      <c r="P64" s="16"/>
      <c r="Q64" s="16"/>
      <c r="R64" s="16"/>
      <c r="S64" s="17">
        <v>5.0025999999999998E-49</v>
      </c>
      <c r="U64" t="s">
        <v>43</v>
      </c>
      <c r="V64">
        <f>QUARTILE($L$2:$L$51,3)</f>
        <v>6.7352208914684297E-2</v>
      </c>
    </row>
    <row r="65" spans="1:22" x14ac:dyDescent="0.25">
      <c r="A65" s="16" t="s">
        <v>44</v>
      </c>
      <c r="B65" s="16">
        <f>B62/(C57*E57)</f>
        <v>0.98579657930596931</v>
      </c>
      <c r="C65" s="16"/>
      <c r="D65" s="16" t="s">
        <v>45</v>
      </c>
      <c r="E65" s="16">
        <f>C53*C56</f>
        <v>37.635731473953243</v>
      </c>
      <c r="F65" s="16"/>
      <c r="G65" s="16" t="s">
        <v>46</v>
      </c>
      <c r="H65" s="16">
        <f>(F53-2)*(E67/E66)</f>
        <v>4222.6963650819216</v>
      </c>
      <c r="K65" s="16"/>
      <c r="L65" s="16"/>
      <c r="M65" s="16" t="s">
        <v>47</v>
      </c>
      <c r="N65" s="16">
        <f>E62/SQRT(N62)</f>
        <v>64.42235955739099</v>
      </c>
      <c r="O65" s="16"/>
      <c r="P65" s="16" t="s">
        <v>48</v>
      </c>
      <c r="Q65" s="16">
        <f>_xlfn.T.INV.2T(0.05,49)</f>
        <v>2.0095752371292388</v>
      </c>
      <c r="R65" s="16"/>
      <c r="S65" s="16" t="s">
        <v>49</v>
      </c>
      <c r="U65" t="s">
        <v>50</v>
      </c>
      <c r="V65">
        <f>QUARTILE($L$2:$L$51,4)</f>
        <v>0.16055039032564267</v>
      </c>
    </row>
    <row r="66" spans="1:22" x14ac:dyDescent="0.25">
      <c r="A66" s="16"/>
      <c r="B66" s="16">
        <f>CORREL(C2:C51,E2:E51)</f>
        <v>0.98579657930596931</v>
      </c>
      <c r="C66" s="16"/>
      <c r="D66" s="16" t="s">
        <v>51</v>
      </c>
      <c r="E66" s="16">
        <f>L53*L56</f>
        <v>0.42300246992977286</v>
      </c>
      <c r="F66" s="16"/>
      <c r="G66" s="16"/>
      <c r="H66" s="16"/>
      <c r="J66" t="s">
        <v>52</v>
      </c>
      <c r="K66" s="16">
        <f>SUMPRODUCT(L2:L51,L2:L51)/48</f>
        <v>8.8125525568552663E-3</v>
      </c>
      <c r="L66" s="16"/>
      <c r="M66" s="16" t="s">
        <v>53</v>
      </c>
      <c r="N66" s="16">
        <f>E63/SQRT(N63)</f>
        <v>-56.669189767332149</v>
      </c>
      <c r="O66" s="16"/>
      <c r="P66" s="16" t="s">
        <v>54</v>
      </c>
      <c r="Q66" s="16">
        <f>_xlfn.T.INV.2T(0.1,49)</f>
        <v>1.6765508926168529</v>
      </c>
      <c r="R66" s="16"/>
      <c r="S66" s="17">
        <v>2.4686599999999999E-46</v>
      </c>
    </row>
    <row r="67" spans="1:22" x14ac:dyDescent="0.25">
      <c r="A67" s="16"/>
      <c r="B67" s="16"/>
      <c r="C67" s="16"/>
      <c r="D67" s="16" t="s">
        <v>55</v>
      </c>
      <c r="E67" s="16">
        <f>E65-E66</f>
        <v>37.212729004023473</v>
      </c>
      <c r="F67" s="16"/>
      <c r="G67" s="16" t="s">
        <v>56</v>
      </c>
      <c r="H67" s="16">
        <f>_xlfn.F.DIST.RT(H65,1,48)</f>
        <v>1.9021046371334564E-48</v>
      </c>
      <c r="K67" s="16">
        <f>B71/48</f>
        <v>8.8125514568702674E-3</v>
      </c>
      <c r="L67" s="16"/>
      <c r="M67" s="16"/>
      <c r="N67" s="16"/>
      <c r="O67" s="16"/>
      <c r="P67" s="16" t="s">
        <v>57</v>
      </c>
      <c r="Q67" s="16">
        <f>_xlfn.T.INV.2T(0.01,49)</f>
        <v>2.6799519736315514</v>
      </c>
      <c r="R67" s="16"/>
      <c r="S67" s="16"/>
    </row>
    <row r="68" spans="1:22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</row>
    <row r="69" spans="1:22" x14ac:dyDescent="0.25">
      <c r="G69" s="2"/>
      <c r="H69" s="2"/>
    </row>
    <row r="70" spans="1:22" x14ac:dyDescent="0.25">
      <c r="A70" s="7" t="s">
        <v>45</v>
      </c>
      <c r="B70" s="7">
        <f>C53*C56</f>
        <v>37.635731473953243</v>
      </c>
      <c r="D70" s="5" t="s">
        <v>58</v>
      </c>
      <c r="E70" s="5" cm="1">
        <f t="array" ref="E70:J75">MMULT(TRANSPOSE(E2:J51),E2:J51)</f>
        <v>7792.0689806461678</v>
      </c>
      <c r="F70" s="5">
        <v>3869.0426022289371</v>
      </c>
      <c r="G70" s="5">
        <v>1635830.6530432713</v>
      </c>
      <c r="H70" s="5">
        <v>92566.044569591948</v>
      </c>
      <c r="I70" s="6">
        <v>1211582443.1575429</v>
      </c>
      <c r="J70" s="6">
        <v>972755.41270497092</v>
      </c>
    </row>
    <row r="71" spans="1:22" x14ac:dyDescent="0.25">
      <c r="A71" s="7" t="s">
        <v>51</v>
      </c>
      <c r="B71" s="7">
        <f>L53*L56</f>
        <v>0.42300246992977286</v>
      </c>
      <c r="E71" s="5">
        <v>3869.0426022289371</v>
      </c>
      <c r="F71" s="5">
        <v>2045.4330555555564</v>
      </c>
      <c r="G71" s="5">
        <v>800296.32794166647</v>
      </c>
      <c r="H71" s="5">
        <v>44723.165497916671</v>
      </c>
      <c r="I71" s="6">
        <v>583151997.76166666</v>
      </c>
      <c r="J71" s="6">
        <v>450775.85985625006</v>
      </c>
    </row>
    <row r="72" spans="1:22" x14ac:dyDescent="0.25">
      <c r="A72" s="7" t="s">
        <v>55</v>
      </c>
      <c r="B72" s="7">
        <f>B70-B71</f>
        <v>37.212729004023473</v>
      </c>
      <c r="E72" s="5">
        <v>1635830.6530432713</v>
      </c>
      <c r="F72" s="5">
        <v>800296.32794166647</v>
      </c>
      <c r="G72" s="5">
        <v>362787593.38931125</v>
      </c>
      <c r="H72" s="5">
        <v>21393260.38285194</v>
      </c>
      <c r="I72" s="6">
        <v>277162192435.60547</v>
      </c>
      <c r="J72" s="6">
        <v>234064105.63006976</v>
      </c>
    </row>
    <row r="73" spans="1:22" x14ac:dyDescent="0.25">
      <c r="E73" s="5">
        <v>92566.044569591948</v>
      </c>
      <c r="F73" s="5">
        <v>44723.165497916671</v>
      </c>
      <c r="G73" s="5">
        <v>21393260.38285194</v>
      </c>
      <c r="H73" s="5">
        <v>1306090.7755885141</v>
      </c>
      <c r="I73" s="6">
        <v>16778417830.010229</v>
      </c>
      <c r="J73" s="6">
        <v>14746060.493860459</v>
      </c>
    </row>
    <row r="74" spans="1:22" x14ac:dyDescent="0.25">
      <c r="A74" s="7" t="s">
        <v>31</v>
      </c>
      <c r="B74" s="7">
        <f>B72/B70</f>
        <v>0.9887606151557724</v>
      </c>
      <c r="E74" s="5">
        <v>1211582443.1575429</v>
      </c>
      <c r="F74" s="5">
        <v>583151997.76166666</v>
      </c>
      <c r="G74" s="5">
        <v>277162192435.60547</v>
      </c>
      <c r="H74" s="5">
        <v>16778417830.010229</v>
      </c>
      <c r="I74" s="6">
        <v>216830568414696</v>
      </c>
      <c r="J74" s="6">
        <v>189635229197.68436</v>
      </c>
    </row>
    <row r="75" spans="1:22" x14ac:dyDescent="0.25">
      <c r="A75" s="7" t="s">
        <v>59</v>
      </c>
      <c r="B75" s="7">
        <f>1-((B53-1)/(C53-6))*(1-B74)</f>
        <v>0.98748341233256476</v>
      </c>
      <c r="E75" s="5">
        <v>972755.41270497092</v>
      </c>
      <c r="F75" s="5">
        <v>450775.85985625006</v>
      </c>
      <c r="G75" s="5">
        <v>234064105.63006976</v>
      </c>
      <c r="H75" s="5">
        <v>14746060.493860459</v>
      </c>
      <c r="I75" s="6">
        <v>189635229197.68436</v>
      </c>
      <c r="J75" s="6">
        <v>174696644.52454615</v>
      </c>
    </row>
    <row r="76" spans="1:22" x14ac:dyDescent="0.25">
      <c r="G76" s="2"/>
      <c r="H76" s="2"/>
    </row>
    <row r="77" spans="1:22" x14ac:dyDescent="0.25">
      <c r="A77" s="7" t="s">
        <v>60</v>
      </c>
      <c r="B77" s="7">
        <f>(B53-6)*(B72/B71)</f>
        <v>3870.805001325095</v>
      </c>
      <c r="D77" s="5" t="s">
        <v>61</v>
      </c>
      <c r="E77" s="5" cm="1">
        <f t="array" ref="E77:J82">MINVERSE(_xlfn.ANCHORARRAY(E70))</f>
        <v>2.0562007448659506E-2</v>
      </c>
      <c r="F77" s="5">
        <v>-1.1978954285769816E-2</v>
      </c>
      <c r="G77" s="6">
        <v>-2.262924987590588E-4</v>
      </c>
      <c r="H77" s="6">
        <v>1.9549946998832632E-3</v>
      </c>
      <c r="I77" s="5">
        <v>1.4928132248440351E-7</v>
      </c>
      <c r="J77" s="5">
        <v>-1.0745768618277547E-4</v>
      </c>
    </row>
    <row r="78" spans="1:22" x14ac:dyDescent="0.25">
      <c r="A78" s="10" t="s">
        <v>62</v>
      </c>
      <c r="B78" s="10">
        <f>_xlfn.F.INV.RT(0.01,6,B53-6)</f>
        <v>3.2430331669948922</v>
      </c>
      <c r="E78" s="5">
        <v>-1.197895428576959E-2</v>
      </c>
      <c r="F78" s="5">
        <v>1.9869383741240629E-2</v>
      </c>
      <c r="G78" s="6">
        <v>1.5446848464045835E-4</v>
      </c>
      <c r="H78" s="6">
        <v>-1.3291136515750203E-3</v>
      </c>
      <c r="I78" s="5">
        <v>-2.3135953613443041E-7</v>
      </c>
      <c r="J78" s="5">
        <v>1.7180373112948887E-4</v>
      </c>
    </row>
    <row r="79" spans="1:22" x14ac:dyDescent="0.25">
      <c r="A79" s="10" t="s">
        <v>63</v>
      </c>
      <c r="B79" s="10">
        <f>_xlfn.F.INV.RT(0.05,6,B53-6)</f>
        <v>2.3132637931051216</v>
      </c>
      <c r="E79" s="5">
        <v>-2.262924987590456E-4</v>
      </c>
      <c r="F79" s="5">
        <v>1.5446848464044545E-4</v>
      </c>
      <c r="G79" s="6">
        <v>4.1340317769427365E-6</v>
      </c>
      <c r="H79" s="6">
        <v>-2.5027201687560132E-5</v>
      </c>
      <c r="I79" s="5">
        <v>-5.0451026068772188E-9</v>
      </c>
      <c r="J79" s="5">
        <v>2.9116183608658315E-6</v>
      </c>
    </row>
    <row r="80" spans="1:22" x14ac:dyDescent="0.25">
      <c r="A80" s="10" t="s">
        <v>64</v>
      </c>
      <c r="B80" s="10">
        <f>_xlfn.F.INV.RT(0.1,6,B53-6)</f>
        <v>1.9125269897366421</v>
      </c>
      <c r="E80" s="5">
        <v>1.9549946998832991E-3</v>
      </c>
      <c r="F80" s="5">
        <v>-1.329113651575093E-3</v>
      </c>
      <c r="G80" s="6">
        <v>-2.502720168756243E-5</v>
      </c>
      <c r="H80" s="6">
        <v>3.3415725813096004E-4</v>
      </c>
      <c r="I80" s="5">
        <v>1.2783707494253032E-8</v>
      </c>
      <c r="J80" s="5">
        <v>-1.6007028633572182E-5</v>
      </c>
    </row>
    <row r="81" spans="1:10" x14ac:dyDescent="0.25">
      <c r="E81" s="5">
        <v>1.4928132248437182E-7</v>
      </c>
      <c r="F81" s="5">
        <v>-2.3135953613439606E-7</v>
      </c>
      <c r="G81" s="6">
        <v>-5.0451026068769806E-9</v>
      </c>
      <c r="H81" s="6">
        <v>1.2783707494247998E-8</v>
      </c>
      <c r="I81" s="5">
        <v>9.6606692792504448E-12</v>
      </c>
      <c r="J81" s="5">
        <v>-5.04049777573644E-9</v>
      </c>
    </row>
    <row r="82" spans="1:10" x14ac:dyDescent="0.25">
      <c r="A82" s="7" t="s">
        <v>65</v>
      </c>
      <c r="B82" s="7">
        <f>_xlfn.F.DIST.RT(B78,6,B53-6)</f>
        <v>1.0000000000000009E-2</v>
      </c>
      <c r="E82" s="5">
        <v>-1.0745768618276233E-4</v>
      </c>
      <c r="F82" s="5">
        <v>1.7180373112947532E-4</v>
      </c>
      <c r="G82" s="6">
        <v>2.9116183608658111E-6</v>
      </c>
      <c r="H82" s="6">
        <v>-1.6007028633569861E-5</v>
      </c>
      <c r="I82" s="5">
        <v>-5.0404977757366319E-9</v>
      </c>
      <c r="J82" s="5">
        <v>3.0823504862833207E-6</v>
      </c>
    </row>
    <row r="83" spans="1:10" x14ac:dyDescent="0.25">
      <c r="G83" s="2"/>
      <c r="H83" s="2"/>
    </row>
    <row r="84" spans="1:10" x14ac:dyDescent="0.25">
      <c r="A84" s="7" t="s">
        <v>52</v>
      </c>
      <c r="B84" s="7">
        <f>B71/(B53-6)</f>
        <v>9.6136924984039293E-3</v>
      </c>
      <c r="D84" s="5" t="s">
        <v>66</v>
      </c>
      <c r="E84" s="5" cm="1">
        <f t="array" ref="E84:E89">MMULT(TRANSPOSE(E2:J51),C2:C51)</f>
        <v>5481.8387851364851</v>
      </c>
      <c r="G84" s="6" t="s">
        <v>67</v>
      </c>
      <c r="H84" s="6" cm="1">
        <f t="array" ref="H84:H89">MMULT(_xlfn.ANCHORARRAY(E77),_xlfn.ANCHORARRAY(E84))</f>
        <v>0.56719779743635002</v>
      </c>
    </row>
    <row r="85" spans="1:10" x14ac:dyDescent="0.25">
      <c r="E85" s="5">
        <v>2707.255465863921</v>
      </c>
      <c r="G85" s="2"/>
      <c r="H85" s="6">
        <v>-2.7622955857268039E-2</v>
      </c>
    </row>
    <row r="86" spans="1:10" x14ac:dyDescent="0.25">
      <c r="A86" s="10" t="s">
        <v>68</v>
      </c>
      <c r="B86" s="10">
        <f>_xlfn.T.INV.2T(0.01,B53-6)</f>
        <v>2.6922782656930231</v>
      </c>
      <c r="E86" s="5">
        <v>1173914.3681488675</v>
      </c>
      <c r="G86" s="2"/>
      <c r="H86" s="6">
        <v>3.4997945599002378E-4</v>
      </c>
    </row>
    <row r="87" spans="1:10" x14ac:dyDescent="0.25">
      <c r="A87" s="10" t="s">
        <v>69</v>
      </c>
      <c r="B87" s="10">
        <f>_xlfn.T.INV.2T(0.05,B53-6)</f>
        <v>2.0153675744437649</v>
      </c>
      <c r="E87" s="5">
        <v>67543.140326350389</v>
      </c>
      <c r="G87" s="2"/>
      <c r="H87" s="6">
        <v>1.8420079213454343E-2</v>
      </c>
    </row>
    <row r="88" spans="1:10" x14ac:dyDescent="0.25">
      <c r="A88" s="10" t="s">
        <v>70</v>
      </c>
      <c r="B88" s="10">
        <f>_xlfn.T.INV.2T(0.1,B53-6)</f>
        <v>1.680229976572116</v>
      </c>
      <c r="E88" s="5">
        <v>879760407.63683951</v>
      </c>
      <c r="G88" s="2"/>
      <c r="H88" s="6">
        <v>-9.6583316570083427E-7</v>
      </c>
    </row>
    <row r="89" spans="1:10" x14ac:dyDescent="0.25">
      <c r="E89" s="5">
        <v>720754.26333890157</v>
      </c>
      <c r="G89" s="2"/>
      <c r="H89" s="6">
        <v>6.3401678506380676E-5</v>
      </c>
    </row>
    <row r="90" spans="1:10" x14ac:dyDescent="0.25">
      <c r="A90" s="7" t="s">
        <v>53</v>
      </c>
      <c r="B90" s="7">
        <f>H84/SQRT(E91)</f>
        <v>40.341929515637744</v>
      </c>
      <c r="G90" s="2"/>
      <c r="H90" s="2"/>
    </row>
    <row r="91" spans="1:10" x14ac:dyDescent="0.25">
      <c r="A91" s="7" t="s">
        <v>47</v>
      </c>
      <c r="B91" s="7">
        <f>H85/SQRT(F92)</f>
        <v>-1.9986320031747562</v>
      </c>
      <c r="D91" s="5" t="s">
        <v>71</v>
      </c>
      <c r="E91" s="5" cm="1">
        <f t="array" ref="E91:J96">$B$84*_xlfn.ANCHORARRAY(E77)</f>
        <v>1.9767681676130362E-4</v>
      </c>
      <c r="F91" s="5">
        <v>-1.1516198295582888E-4</v>
      </c>
      <c r="G91" s="6">
        <v>-2.1755064977650439E-6</v>
      </c>
      <c r="H91" s="6">
        <v>1.8794717880687167E-5</v>
      </c>
      <c r="I91" s="5">
        <v>1.4351447301201278E-9</v>
      </c>
      <c r="J91" s="5">
        <v>-1.0330651515511921E-6</v>
      </c>
    </row>
    <row r="92" spans="1:10" x14ac:dyDescent="0.25">
      <c r="A92" s="7" t="s">
        <v>72</v>
      </c>
      <c r="B92" s="7">
        <f>H86/SQRT(G93)</f>
        <v>1.7555392067172646</v>
      </c>
      <c r="E92" s="5">
        <v>-1.1516198295582671E-4</v>
      </c>
      <c r="F92" s="5">
        <v>1.9101814542107402E-4</v>
      </c>
      <c r="G92" s="6">
        <v>1.4850125120277971E-6</v>
      </c>
      <c r="H92" s="6">
        <v>-1.2777689941673027E-5</v>
      </c>
      <c r="I92" s="5">
        <v>-2.2242194369697864E-9</v>
      </c>
      <c r="J92" s="5">
        <v>1.6516682411573727E-6</v>
      </c>
    </row>
    <row r="93" spans="1:10" x14ac:dyDescent="0.25">
      <c r="A93" s="7" t="s">
        <v>73</v>
      </c>
      <c r="B93" s="7">
        <f>H87/SQRT(H94)</f>
        <v>10.277108243359494</v>
      </c>
      <c r="E93" s="5">
        <v>-2.1755064977649173E-6</v>
      </c>
      <c r="F93" s="5">
        <v>1.485012512027673E-6</v>
      </c>
      <c r="G93" s="6">
        <v>3.9743310282157852E-8</v>
      </c>
      <c r="H93" s="6">
        <v>-2.4060382111973903E-7</v>
      </c>
      <c r="I93" s="5">
        <v>-4.8502065085413627E-11</v>
      </c>
      <c r="J93" s="5">
        <v>2.799140359407099E-8</v>
      </c>
    </row>
    <row r="94" spans="1:10" x14ac:dyDescent="0.25">
      <c r="A94" s="7" t="s">
        <v>74</v>
      </c>
      <c r="B94" s="7">
        <f>H88/SQRT(I95)</f>
        <v>-3.1692273395184314</v>
      </c>
      <c r="E94" s="5">
        <v>1.8794717880687516E-5</v>
      </c>
      <c r="F94" s="5">
        <v>-1.2777689941673725E-5</v>
      </c>
      <c r="G94" s="6">
        <v>-2.406038211197611E-7</v>
      </c>
      <c r="H94" s="6">
        <v>3.2124851257808359E-6</v>
      </c>
      <c r="I94" s="5">
        <v>1.2289863283929045E-10</v>
      </c>
      <c r="J94" s="5">
        <v>-1.5388665109630978E-7</v>
      </c>
    </row>
    <row r="95" spans="1:10" x14ac:dyDescent="0.25">
      <c r="A95" s="7" t="s">
        <v>75</v>
      </c>
      <c r="B95" s="7">
        <f>H89/SQRT(J96)</f>
        <v>0.36831095137355668</v>
      </c>
      <c r="E95" s="5">
        <v>1.4351447301198232E-9</v>
      </c>
      <c r="F95" s="5">
        <v>-2.2242194369694563E-9</v>
      </c>
      <c r="G95" s="6">
        <v>-4.8502065085411339E-11</v>
      </c>
      <c r="H95" s="6">
        <v>1.2289863283924206E-10</v>
      </c>
      <c r="I95" s="5">
        <v>9.28747037794913E-14</v>
      </c>
      <c r="J95" s="5">
        <v>-4.8457795654819101E-11</v>
      </c>
    </row>
    <row r="96" spans="1:10" x14ac:dyDescent="0.25">
      <c r="E96" s="5">
        <v>-1.0330651515510657E-6</v>
      </c>
      <c r="F96" s="5">
        <v>1.6516682411572424E-6</v>
      </c>
      <c r="G96" s="6">
        <v>2.7991403594070794E-8</v>
      </c>
      <c r="H96" s="6">
        <v>-1.5388665109628746E-7</v>
      </c>
      <c r="I96" s="5">
        <v>-4.845779565482095E-11</v>
      </c>
      <c r="J96" s="5">
        <v>2.9632769747433665E-8</v>
      </c>
    </row>
    <row r="97" spans="1:12" x14ac:dyDescent="0.25">
      <c r="A97" s="7" t="s">
        <v>76</v>
      </c>
      <c r="B97" s="7">
        <f>_xlfn.T.DIST.2T(ABS(B90),B53-6)</f>
        <v>2.1432209140144595E-36</v>
      </c>
      <c r="G97" s="2"/>
      <c r="H97" s="2"/>
    </row>
    <row r="98" spans="1:12" x14ac:dyDescent="0.25">
      <c r="A98" s="7" t="s">
        <v>77</v>
      </c>
      <c r="B98" s="7">
        <f>_xlfn.T.DIST.2T(ABS(B91),B53-6)</f>
        <v>5.1850019612371359E-2</v>
      </c>
      <c r="D98" s="5" t="s">
        <v>78</v>
      </c>
      <c r="E98" s="5" cm="1">
        <f t="array" ref="E98:L102">LINEST(C2:C51,D2:J51,TRUE,TRUE)</f>
        <v>-1.7482082743958656E-4</v>
      </c>
      <c r="F98" s="5">
        <v>1.3008785302640682E-6</v>
      </c>
      <c r="G98" s="6">
        <v>1.5948676838900867E-2</v>
      </c>
      <c r="H98" s="6">
        <v>-4.5614179957565647E-4</v>
      </c>
      <c r="I98" s="5">
        <v>3.4630808061853436E-3</v>
      </c>
      <c r="J98" s="5">
        <v>22.005197679038886</v>
      </c>
      <c r="K98" s="5">
        <v>-1.0208358877837735E-4</v>
      </c>
      <c r="L98" s="5">
        <v>-242.12509919915453</v>
      </c>
    </row>
    <row r="99" spans="1:12" x14ac:dyDescent="0.25">
      <c r="A99" s="7" t="s">
        <v>79</v>
      </c>
      <c r="B99" s="7">
        <f>_xlfn.T.DIST.2T(ABS(B92),B53-6)</f>
        <v>8.6127246090495824E-2</v>
      </c>
      <c r="E99" s="5">
        <v>7.8670546571619538E-5</v>
      </c>
      <c r="F99" s="5">
        <v>2.4686975010632236E-7</v>
      </c>
      <c r="G99" s="6">
        <v>1.6738193243867677E-3</v>
      </c>
      <c r="H99" s="6">
        <v>9.6913629398094568E-5</v>
      </c>
      <c r="I99" s="5">
        <v>4.8226432992372198E-3</v>
      </c>
      <c r="J99" s="5">
        <v>1.0322718046425274</v>
      </c>
      <c r="K99" s="5">
        <v>6.6090542980122438E-6</v>
      </c>
      <c r="L99" s="5">
        <v>11.622578843224344</v>
      </c>
    </row>
    <row r="100" spans="1:12" x14ac:dyDescent="0.25">
      <c r="A100" s="7" t="s">
        <v>80</v>
      </c>
      <c r="B100" s="7">
        <f>_xlfn.T.DIST.2T(ABS(B93),B53-6)</f>
        <v>2.8560796969513354E-13</v>
      </c>
      <c r="E100" s="5">
        <v>0.99900854299156705</v>
      </c>
      <c r="F100" s="5">
        <v>2.9806602711061118E-2</v>
      </c>
      <c r="G100" s="6" t="e">
        <v>#N/A</v>
      </c>
      <c r="H100" s="6" t="e">
        <v>#N/A</v>
      </c>
      <c r="I100" s="5" t="e">
        <v>#N/A</v>
      </c>
      <c r="J100" s="5" t="e">
        <v>#N/A</v>
      </c>
      <c r="K100" s="5" t="e">
        <v>#N/A</v>
      </c>
      <c r="L100" s="5" t="e">
        <v>#N/A</v>
      </c>
    </row>
    <row r="101" spans="1:12" x14ac:dyDescent="0.25">
      <c r="A101" s="7" t="s">
        <v>81</v>
      </c>
      <c r="B101" s="7">
        <f>_xlfn.T.DIST.2T(ABS(B94),B53-6)</f>
        <v>2.780262047749438E-3</v>
      </c>
      <c r="E101" s="5">
        <v>6045.6996188098101</v>
      </c>
      <c r="F101" s="5">
        <v>42</v>
      </c>
      <c r="G101" s="6" t="e">
        <v>#N/A</v>
      </c>
      <c r="H101" s="6" t="e">
        <v>#N/A</v>
      </c>
      <c r="I101" s="5" t="e">
        <v>#N/A</v>
      </c>
      <c r="J101" s="5" t="e">
        <v>#N/A</v>
      </c>
      <c r="K101" s="5" t="e">
        <v>#N/A</v>
      </c>
      <c r="L101" s="5" t="e">
        <v>#N/A</v>
      </c>
    </row>
    <row r="102" spans="1:12" x14ac:dyDescent="0.25">
      <c r="A102" s="7" t="s">
        <v>82</v>
      </c>
      <c r="B102" s="7">
        <f>_xlfn.T.DIST.2T(ABS(B95),B53-6)</f>
        <v>0.71440751305083239</v>
      </c>
      <c r="E102" s="5">
        <v>37.59841726421589</v>
      </c>
      <c r="F102" s="5">
        <v>3.7314209737351507E-2</v>
      </c>
      <c r="G102" s="6" t="e">
        <v>#N/A</v>
      </c>
      <c r="H102" s="6" t="e">
        <v>#N/A</v>
      </c>
      <c r="I102" s="5" t="e">
        <v>#N/A</v>
      </c>
      <c r="J102" s="5" t="e">
        <v>#N/A</v>
      </c>
      <c r="K102" s="5" t="e">
        <v>#N/A</v>
      </c>
      <c r="L102" s="5" t="e">
        <v>#N/A</v>
      </c>
    </row>
    <row r="103" spans="1:12" x14ac:dyDescent="0.25">
      <c r="G103" s="2"/>
      <c r="H103" s="2"/>
    </row>
    <row r="104" spans="1:12" x14ac:dyDescent="0.25">
      <c r="A104" s="7" t="s">
        <v>83</v>
      </c>
      <c r="B104" s="7">
        <f>QUARTILE($L$2:$L$51,0)</f>
        <v>-0.3410277345445154</v>
      </c>
      <c r="D104" s="5" t="s">
        <v>84</v>
      </c>
      <c r="E104" s="5" cm="1">
        <f t="array" ref="E104:F108">LINEST(C2:C51,E2:E51,TRUE,TRUE)</f>
        <v>5.8424910401454069</v>
      </c>
      <c r="F104" s="5">
        <v>-64.157558915465444</v>
      </c>
      <c r="G104" s="2"/>
      <c r="H104" s="2"/>
    </row>
    <row r="105" spans="1:12" x14ac:dyDescent="0.25">
      <c r="A105" s="7" t="s">
        <v>35</v>
      </c>
      <c r="B105" s="7">
        <f>QUARTILE($L$2:$L$51,1)</f>
        <v>-5.2239213603818779E-2</v>
      </c>
      <c r="E105" s="5">
        <v>0.14366599465894245</v>
      </c>
      <c r="F105" s="5">
        <v>1.7934752018201354</v>
      </c>
      <c r="G105" s="2"/>
      <c r="H105" s="2"/>
    </row>
    <row r="106" spans="1:12" x14ac:dyDescent="0.25">
      <c r="A106" s="7" t="s">
        <v>41</v>
      </c>
      <c r="B106" s="7">
        <f>QUARTILE($L$2:$L$51,2)</f>
        <v>5.7279195417665463E-3</v>
      </c>
      <c r="E106" s="5">
        <v>0.97179489577135081</v>
      </c>
      <c r="F106" s="5">
        <v>0.14871111038858653</v>
      </c>
      <c r="G106" s="2"/>
      <c r="H106" s="2"/>
    </row>
    <row r="107" spans="1:12" x14ac:dyDescent="0.25">
      <c r="A107" s="7" t="s">
        <v>85</v>
      </c>
      <c r="B107" s="7">
        <f>QUARTILE($L$2:$L$51,3)</f>
        <v>6.7352208914684297E-2</v>
      </c>
      <c r="E107" s="5">
        <v>1653.8196284927806</v>
      </c>
      <c r="F107" s="5">
        <v>48</v>
      </c>
      <c r="G107" s="2"/>
      <c r="H107" s="2"/>
    </row>
    <row r="108" spans="1:12" x14ac:dyDescent="0.25">
      <c r="A108" s="7" t="s">
        <v>50</v>
      </c>
      <c r="B108" s="7">
        <f>QUARTILE($L$2:$L$51,4)</f>
        <v>0.16055039032564267</v>
      </c>
      <c r="E108" s="5">
        <v>36.574211745008938</v>
      </c>
      <c r="F108" s="5">
        <v>1.0615197289443059</v>
      </c>
      <c r="G108" s="2"/>
      <c r="H108" s="2"/>
    </row>
    <row r="109" spans="1:12" x14ac:dyDescent="0.25">
      <c r="G109" s="2"/>
      <c r="H109" s="2"/>
    </row>
    <row r="110" spans="1:12" x14ac:dyDescent="0.25">
      <c r="G110" s="2"/>
      <c r="H110" s="2"/>
    </row>
    <row r="111" spans="1:12" x14ac:dyDescent="0.25">
      <c r="G111" s="2"/>
      <c r="H111" s="2"/>
    </row>
    <row r="112" spans="1:12" x14ac:dyDescent="0.25">
      <c r="G112" s="2"/>
      <c r="H112" s="2"/>
    </row>
    <row r="113" spans="7:8" x14ac:dyDescent="0.25">
      <c r="G113" s="2"/>
      <c r="H113" s="2"/>
    </row>
    <row r="114" spans="7:8" x14ac:dyDescent="0.25">
      <c r="G114" s="2"/>
      <c r="H114" s="2"/>
    </row>
    <row r="115" spans="7:8" x14ac:dyDescent="0.25">
      <c r="G115" s="2"/>
      <c r="H115" s="2"/>
    </row>
    <row r="116" spans="7:8" x14ac:dyDescent="0.25">
      <c r="G116" s="2"/>
      <c r="H116" s="2"/>
    </row>
    <row r="117" spans="7:8" x14ac:dyDescent="0.25">
      <c r="G117" s="2"/>
      <c r="H117" s="2"/>
    </row>
    <row r="118" spans="7:8" x14ac:dyDescent="0.25">
      <c r="G118" s="2"/>
      <c r="H118" s="2"/>
    </row>
    <row r="119" spans="7:8" x14ac:dyDescent="0.25">
      <c r="G119" s="2"/>
      <c r="H119" s="2"/>
    </row>
    <row r="120" spans="7:8" x14ac:dyDescent="0.25">
      <c r="G120" s="2"/>
      <c r="H120" s="2"/>
    </row>
    <row r="121" spans="7:8" x14ac:dyDescent="0.25">
      <c r="G121" s="2"/>
      <c r="H121" s="2"/>
    </row>
    <row r="122" spans="7:8" x14ac:dyDescent="0.25">
      <c r="G122" s="2"/>
      <c r="H122" s="2"/>
    </row>
    <row r="123" spans="7:8" x14ac:dyDescent="0.25">
      <c r="G123" s="2"/>
      <c r="H123" s="2"/>
    </row>
    <row r="124" spans="7:8" x14ac:dyDescent="0.25">
      <c r="G124" s="2"/>
      <c r="H124" s="2"/>
    </row>
    <row r="125" spans="7:8" x14ac:dyDescent="0.25">
      <c r="G125" s="2"/>
      <c r="H125" s="2"/>
    </row>
    <row r="126" spans="7:8" x14ac:dyDescent="0.25">
      <c r="G126" s="2"/>
      <c r="H126" s="2"/>
    </row>
    <row r="127" spans="7:8" x14ac:dyDescent="0.25">
      <c r="G127" s="2"/>
      <c r="H127" s="2"/>
    </row>
    <row r="128" spans="7:8" x14ac:dyDescent="0.25">
      <c r="G128" s="2"/>
      <c r="H128" s="2"/>
    </row>
    <row r="129" spans="7:8" x14ac:dyDescent="0.25">
      <c r="G129" s="2"/>
      <c r="H129" s="2"/>
    </row>
    <row r="130" spans="7:8" x14ac:dyDescent="0.25">
      <c r="G130" s="2"/>
      <c r="H130" s="2"/>
    </row>
    <row r="131" spans="7:8" x14ac:dyDescent="0.25">
      <c r="G131" s="2"/>
      <c r="H131" s="2"/>
    </row>
    <row r="132" spans="7:8" x14ac:dyDescent="0.25">
      <c r="G132" s="2"/>
      <c r="H132" s="2"/>
    </row>
    <row r="133" spans="7:8" x14ac:dyDescent="0.25">
      <c r="G133" s="2"/>
      <c r="H133" s="2"/>
    </row>
    <row r="134" spans="7:8" x14ac:dyDescent="0.25">
      <c r="G134" s="2"/>
      <c r="H134" s="2"/>
    </row>
    <row r="135" spans="7:8" x14ac:dyDescent="0.25">
      <c r="G135" s="2"/>
      <c r="H135" s="2"/>
    </row>
    <row r="136" spans="7:8" x14ac:dyDescent="0.25">
      <c r="G136" s="2"/>
      <c r="H136" s="2"/>
    </row>
    <row r="137" spans="7:8" x14ac:dyDescent="0.25">
      <c r="G137" s="2"/>
      <c r="H137" s="2"/>
    </row>
    <row r="138" spans="7:8" x14ac:dyDescent="0.25">
      <c r="G138" s="2"/>
      <c r="H138" s="2"/>
    </row>
    <row r="139" spans="7:8" x14ac:dyDescent="0.25">
      <c r="G139" s="2"/>
      <c r="H139" s="2"/>
    </row>
    <row r="140" spans="7:8" x14ac:dyDescent="0.25">
      <c r="G140" s="2"/>
      <c r="H140" s="2"/>
    </row>
    <row r="141" spans="7:8" x14ac:dyDescent="0.25">
      <c r="G141" s="2"/>
      <c r="H141" s="2"/>
    </row>
    <row r="142" spans="7:8" x14ac:dyDescent="0.25">
      <c r="G142" s="2"/>
      <c r="H142" s="2"/>
    </row>
    <row r="143" spans="7:8" x14ac:dyDescent="0.25">
      <c r="G143" s="2"/>
      <c r="H143" s="2"/>
    </row>
    <row r="144" spans="7:8" x14ac:dyDescent="0.25">
      <c r="G144" s="2"/>
      <c r="H144" s="2"/>
    </row>
    <row r="145" spans="7:8" x14ac:dyDescent="0.25">
      <c r="G145" s="2"/>
      <c r="H145" s="2"/>
    </row>
    <row r="146" spans="7:8" x14ac:dyDescent="0.25">
      <c r="G146" s="2"/>
      <c r="H146" s="2"/>
    </row>
    <row r="147" spans="7:8" x14ac:dyDescent="0.25">
      <c r="G147" s="2"/>
      <c r="H147" s="2"/>
    </row>
    <row r="148" spans="7:8" x14ac:dyDescent="0.25">
      <c r="G148" s="2"/>
      <c r="H148" s="2"/>
    </row>
    <row r="149" spans="7:8" x14ac:dyDescent="0.25">
      <c r="G149" s="2"/>
      <c r="H149" s="2"/>
    </row>
    <row r="150" spans="7:8" x14ac:dyDescent="0.25">
      <c r="G150" s="2"/>
      <c r="H150" s="2"/>
    </row>
    <row r="151" spans="7:8" x14ac:dyDescent="0.25">
      <c r="G151" s="2"/>
      <c r="H151" s="2"/>
    </row>
    <row r="152" spans="7:8" x14ac:dyDescent="0.25">
      <c r="G152" s="2"/>
      <c r="H152" s="2"/>
    </row>
    <row r="153" spans="7:8" x14ac:dyDescent="0.25">
      <c r="G153" s="2"/>
      <c r="H153" s="2"/>
    </row>
    <row r="154" spans="7:8" x14ac:dyDescent="0.25">
      <c r="G154" s="2"/>
      <c r="H154" s="2"/>
    </row>
    <row r="155" spans="7:8" x14ac:dyDescent="0.25">
      <c r="G155" s="2"/>
      <c r="H155" s="2"/>
    </row>
    <row r="156" spans="7:8" x14ac:dyDescent="0.25">
      <c r="G156" s="2"/>
      <c r="H156" s="2"/>
    </row>
    <row r="157" spans="7:8" x14ac:dyDescent="0.25">
      <c r="G157" s="2"/>
      <c r="H157" s="2"/>
    </row>
    <row r="158" spans="7:8" x14ac:dyDescent="0.25">
      <c r="G158" s="2"/>
      <c r="H158" s="2"/>
    </row>
    <row r="159" spans="7:8" x14ac:dyDescent="0.25">
      <c r="G159" s="2"/>
      <c r="H159" s="2"/>
    </row>
    <row r="160" spans="7:8" x14ac:dyDescent="0.25">
      <c r="G160" s="2"/>
      <c r="H160" s="2"/>
    </row>
    <row r="161" spans="7:8" x14ac:dyDescent="0.25">
      <c r="G161" s="2"/>
      <c r="H161" s="2"/>
    </row>
    <row r="162" spans="7:8" x14ac:dyDescent="0.25">
      <c r="G162" s="2"/>
      <c r="H162" s="2"/>
    </row>
    <row r="163" spans="7:8" x14ac:dyDescent="0.25">
      <c r="G163" s="2"/>
      <c r="H163" s="2"/>
    </row>
    <row r="164" spans="7:8" x14ac:dyDescent="0.25">
      <c r="G164" s="2"/>
      <c r="H164" s="2"/>
    </row>
    <row r="165" spans="7:8" x14ac:dyDescent="0.25">
      <c r="G165" s="2"/>
      <c r="H165" s="2"/>
    </row>
    <row r="166" spans="7:8" x14ac:dyDescent="0.25">
      <c r="G166" s="2"/>
      <c r="H166" s="2"/>
    </row>
    <row r="167" spans="7:8" x14ac:dyDescent="0.25">
      <c r="G167" s="2"/>
      <c r="H167" s="2"/>
    </row>
    <row r="168" spans="7:8" x14ac:dyDescent="0.25">
      <c r="G168" s="2"/>
      <c r="H168" s="2"/>
    </row>
    <row r="169" spans="7:8" x14ac:dyDescent="0.25">
      <c r="G169" s="2"/>
      <c r="H169" s="2"/>
    </row>
    <row r="170" spans="7:8" x14ac:dyDescent="0.25">
      <c r="G170" s="2"/>
      <c r="H170" s="2"/>
    </row>
    <row r="171" spans="7:8" x14ac:dyDescent="0.25">
      <c r="G171" s="2"/>
      <c r="H171" s="2"/>
    </row>
    <row r="172" spans="7:8" x14ac:dyDescent="0.25">
      <c r="G172" s="2"/>
      <c r="H172" s="2"/>
    </row>
    <row r="173" spans="7:8" x14ac:dyDescent="0.25">
      <c r="G173" s="2"/>
      <c r="H173" s="2"/>
    </row>
    <row r="174" spans="7:8" x14ac:dyDescent="0.25">
      <c r="G174" s="2"/>
      <c r="H174" s="2"/>
    </row>
    <row r="175" spans="7:8" x14ac:dyDescent="0.25">
      <c r="G175" s="2"/>
      <c r="H175" s="2"/>
    </row>
    <row r="176" spans="7:8" x14ac:dyDescent="0.25">
      <c r="G176" s="2"/>
      <c r="H176" s="2"/>
    </row>
    <row r="177" spans="7:8" x14ac:dyDescent="0.25">
      <c r="G177" s="2"/>
      <c r="H177" s="2"/>
    </row>
    <row r="178" spans="7:8" x14ac:dyDescent="0.25">
      <c r="G178" s="2"/>
      <c r="H178" s="2"/>
    </row>
    <row r="179" spans="7:8" x14ac:dyDescent="0.25">
      <c r="G179" s="2"/>
      <c r="H179" s="2"/>
    </row>
    <row r="180" spans="7:8" x14ac:dyDescent="0.25">
      <c r="G180" s="2"/>
      <c r="H180" s="2"/>
    </row>
    <row r="181" spans="7:8" x14ac:dyDescent="0.25">
      <c r="G181" s="2"/>
      <c r="H181" s="2"/>
    </row>
    <row r="182" spans="7:8" x14ac:dyDescent="0.25">
      <c r="G182" s="2"/>
      <c r="H182" s="2"/>
    </row>
    <row r="183" spans="7:8" x14ac:dyDescent="0.25">
      <c r="G183" s="2"/>
      <c r="H183" s="2"/>
    </row>
    <row r="184" spans="7:8" x14ac:dyDescent="0.25">
      <c r="G184" s="2"/>
      <c r="H184" s="2"/>
    </row>
    <row r="185" spans="7:8" x14ac:dyDescent="0.25">
      <c r="G185" s="2"/>
      <c r="H185" s="2"/>
    </row>
    <row r="186" spans="7:8" x14ac:dyDescent="0.25">
      <c r="G186" s="2"/>
      <c r="H186" s="2"/>
    </row>
    <row r="187" spans="7:8" x14ac:dyDescent="0.25">
      <c r="G187" s="2"/>
      <c r="H187" s="2"/>
    </row>
    <row r="188" spans="7:8" x14ac:dyDescent="0.25">
      <c r="G188" s="2"/>
      <c r="H188" s="2"/>
    </row>
    <row r="189" spans="7:8" x14ac:dyDescent="0.25">
      <c r="G189" s="2"/>
      <c r="H189" s="2"/>
    </row>
    <row r="190" spans="7:8" x14ac:dyDescent="0.25">
      <c r="G190" s="2"/>
      <c r="H190" s="2"/>
    </row>
    <row r="191" spans="7:8" x14ac:dyDescent="0.25">
      <c r="G191" s="2"/>
      <c r="H191" s="2"/>
    </row>
    <row r="192" spans="7:8" x14ac:dyDescent="0.25">
      <c r="G192" s="2"/>
      <c r="H192" s="2"/>
    </row>
    <row r="193" spans="7:8" x14ac:dyDescent="0.25">
      <c r="G193" s="2"/>
      <c r="H193" s="2"/>
    </row>
    <row r="194" spans="7:8" x14ac:dyDescent="0.25">
      <c r="G194" s="2"/>
      <c r="H194" s="2"/>
    </row>
    <row r="195" spans="7:8" x14ac:dyDescent="0.25">
      <c r="G195" s="2"/>
      <c r="H195" s="2"/>
    </row>
    <row r="196" spans="7:8" x14ac:dyDescent="0.25">
      <c r="G196" s="2"/>
      <c r="H196" s="2"/>
    </row>
    <row r="197" spans="7:8" x14ac:dyDescent="0.25">
      <c r="G197" s="2"/>
      <c r="H197" s="2"/>
    </row>
    <row r="198" spans="7:8" x14ac:dyDescent="0.25">
      <c r="G198" s="2"/>
      <c r="H198" s="2"/>
    </row>
    <row r="199" spans="7:8" x14ac:dyDescent="0.25">
      <c r="G199" s="2"/>
      <c r="H199" s="2"/>
    </row>
    <row r="200" spans="7:8" x14ac:dyDescent="0.25">
      <c r="G200" s="2"/>
      <c r="H200" s="2"/>
    </row>
    <row r="201" spans="7:8" x14ac:dyDescent="0.25">
      <c r="G201" s="2"/>
      <c r="H201" s="2"/>
    </row>
    <row r="202" spans="7:8" x14ac:dyDescent="0.25">
      <c r="G202" s="2"/>
      <c r="H202" s="2"/>
    </row>
    <row r="203" spans="7:8" x14ac:dyDescent="0.25">
      <c r="G203" s="2"/>
      <c r="H203" s="2"/>
    </row>
    <row r="204" spans="7:8" x14ac:dyDescent="0.25">
      <c r="G204" s="2"/>
      <c r="H204" s="2"/>
    </row>
    <row r="205" spans="7:8" x14ac:dyDescent="0.25">
      <c r="G205" s="2"/>
      <c r="H205" s="2"/>
    </row>
    <row r="206" spans="7:8" x14ac:dyDescent="0.25">
      <c r="G206" s="2"/>
      <c r="H206" s="2"/>
    </row>
    <row r="207" spans="7:8" x14ac:dyDescent="0.25">
      <c r="G207" s="2"/>
      <c r="H207" s="2"/>
    </row>
    <row r="208" spans="7:8" x14ac:dyDescent="0.25">
      <c r="G208" s="2"/>
      <c r="H208" s="2"/>
    </row>
    <row r="209" spans="7:8" x14ac:dyDescent="0.25">
      <c r="G209" s="2"/>
      <c r="H209" s="2"/>
    </row>
    <row r="210" spans="7:8" x14ac:dyDescent="0.25">
      <c r="G210" s="2"/>
      <c r="H210" s="2"/>
    </row>
    <row r="211" spans="7:8" x14ac:dyDescent="0.25">
      <c r="G211" s="2"/>
      <c r="H211" s="2"/>
    </row>
    <row r="212" spans="7:8" x14ac:dyDescent="0.25">
      <c r="G212" s="2"/>
      <c r="H212" s="2"/>
    </row>
    <row r="213" spans="7:8" x14ac:dyDescent="0.25">
      <c r="G213" s="2"/>
      <c r="H213" s="2"/>
    </row>
    <row r="214" spans="7:8" x14ac:dyDescent="0.25">
      <c r="G214" s="2"/>
      <c r="H214" s="2"/>
    </row>
    <row r="215" spans="7:8" x14ac:dyDescent="0.25">
      <c r="G215" s="2"/>
      <c r="H215" s="2"/>
    </row>
    <row r="216" spans="7:8" x14ac:dyDescent="0.25">
      <c r="G216" s="2"/>
      <c r="H216" s="2"/>
    </row>
    <row r="217" spans="7:8" x14ac:dyDescent="0.25">
      <c r="G217" s="2"/>
      <c r="H217" s="2"/>
    </row>
    <row r="218" spans="7:8" x14ac:dyDescent="0.25">
      <c r="G218" s="2"/>
      <c r="H218" s="2"/>
    </row>
    <row r="219" spans="7:8" x14ac:dyDescent="0.25">
      <c r="G219" s="2"/>
      <c r="H219" s="2"/>
    </row>
    <row r="220" spans="7:8" x14ac:dyDescent="0.25">
      <c r="G220" s="2"/>
      <c r="H220" s="2"/>
    </row>
    <row r="221" spans="7:8" x14ac:dyDescent="0.25">
      <c r="G221" s="2"/>
      <c r="H221" s="2"/>
    </row>
    <row r="222" spans="7:8" x14ac:dyDescent="0.25">
      <c r="G222" s="2"/>
      <c r="H222" s="2"/>
    </row>
    <row r="223" spans="7:8" x14ac:dyDescent="0.25">
      <c r="G223" s="2"/>
      <c r="H223" s="2"/>
    </row>
    <row r="224" spans="7:8" x14ac:dyDescent="0.25">
      <c r="G224" s="2"/>
      <c r="H224" s="2"/>
    </row>
    <row r="225" spans="7:8" x14ac:dyDescent="0.25">
      <c r="G225" s="2"/>
      <c r="H225" s="2"/>
    </row>
    <row r="226" spans="7:8" x14ac:dyDescent="0.25">
      <c r="G226" s="2"/>
      <c r="H226" s="2"/>
    </row>
    <row r="227" spans="7:8" x14ac:dyDescent="0.25">
      <c r="G227" s="2"/>
      <c r="H227" s="2"/>
    </row>
    <row r="228" spans="7:8" x14ac:dyDescent="0.25">
      <c r="G228" s="2"/>
      <c r="H228" s="2"/>
    </row>
    <row r="229" spans="7:8" x14ac:dyDescent="0.25">
      <c r="G229" s="2"/>
      <c r="H229" s="2"/>
    </row>
    <row r="230" spans="7:8" x14ac:dyDescent="0.25">
      <c r="G230" s="2"/>
      <c r="H230" s="2"/>
    </row>
    <row r="231" spans="7:8" x14ac:dyDescent="0.25">
      <c r="G231" s="2"/>
      <c r="H231" s="2"/>
    </row>
    <row r="232" spans="7:8" x14ac:dyDescent="0.25">
      <c r="G232" s="2"/>
      <c r="H232" s="2"/>
    </row>
    <row r="233" spans="7:8" x14ac:dyDescent="0.25">
      <c r="G233" s="2"/>
      <c r="H233" s="2"/>
    </row>
    <row r="234" spans="7:8" x14ac:dyDescent="0.25">
      <c r="G234" s="2"/>
      <c r="H234" s="2"/>
    </row>
    <row r="235" spans="7:8" x14ac:dyDescent="0.25">
      <c r="G235" s="2"/>
      <c r="H235" s="2"/>
    </row>
    <row r="236" spans="7:8" x14ac:dyDescent="0.25">
      <c r="G236" s="2"/>
      <c r="H236" s="2"/>
    </row>
    <row r="237" spans="7:8" x14ac:dyDescent="0.25">
      <c r="G237" s="2"/>
      <c r="H237" s="2"/>
    </row>
    <row r="238" spans="7:8" x14ac:dyDescent="0.25">
      <c r="G238" s="2"/>
      <c r="H238" s="2"/>
    </row>
    <row r="239" spans="7:8" x14ac:dyDescent="0.25">
      <c r="G239" s="2"/>
      <c r="H239" s="2"/>
    </row>
    <row r="240" spans="7:8" x14ac:dyDescent="0.25">
      <c r="G240" s="2"/>
      <c r="H240" s="2"/>
    </row>
    <row r="241" spans="7:8" x14ac:dyDescent="0.25">
      <c r="G241" s="2"/>
      <c r="H241" s="2"/>
    </row>
    <row r="242" spans="7:8" x14ac:dyDescent="0.25">
      <c r="G242" s="2"/>
      <c r="H242" s="2"/>
    </row>
    <row r="243" spans="7:8" x14ac:dyDescent="0.25">
      <c r="G243" s="2"/>
      <c r="H243" s="2"/>
    </row>
    <row r="244" spans="7:8" x14ac:dyDescent="0.25">
      <c r="G244" s="2"/>
      <c r="H244" s="2"/>
    </row>
    <row r="245" spans="7:8" x14ac:dyDescent="0.25">
      <c r="G245" s="2"/>
      <c r="H245" s="2"/>
    </row>
    <row r="246" spans="7:8" x14ac:dyDescent="0.25">
      <c r="G246" s="2"/>
      <c r="H246" s="2"/>
    </row>
    <row r="247" spans="7:8" x14ac:dyDescent="0.25">
      <c r="G247" s="2"/>
      <c r="H247" s="2"/>
    </row>
    <row r="248" spans="7:8" x14ac:dyDescent="0.25">
      <c r="G248" s="2"/>
      <c r="H248" s="2"/>
    </row>
    <row r="249" spans="7:8" x14ac:dyDescent="0.25">
      <c r="G249" s="2"/>
      <c r="H249" s="2"/>
    </row>
    <row r="250" spans="7:8" x14ac:dyDescent="0.25">
      <c r="G250" s="2"/>
      <c r="H250" s="2"/>
    </row>
    <row r="251" spans="7:8" x14ac:dyDescent="0.25">
      <c r="G251" s="2"/>
      <c r="H251" s="2"/>
    </row>
    <row r="252" spans="7:8" x14ac:dyDescent="0.25">
      <c r="G252" s="2"/>
      <c r="H252" s="2"/>
    </row>
    <row r="253" spans="7:8" x14ac:dyDescent="0.25">
      <c r="G253" s="2"/>
      <c r="H253" s="2"/>
    </row>
    <row r="254" spans="7:8" x14ac:dyDescent="0.25">
      <c r="G254" s="2"/>
      <c r="H254" s="2"/>
    </row>
    <row r="255" spans="7:8" x14ac:dyDescent="0.25">
      <c r="G255" s="2"/>
      <c r="H255" s="2"/>
    </row>
    <row r="256" spans="7:8" x14ac:dyDescent="0.25">
      <c r="G256" s="2"/>
      <c r="H256" s="2"/>
    </row>
    <row r="257" spans="7:8" x14ac:dyDescent="0.25">
      <c r="G257" s="2"/>
      <c r="H257" s="2"/>
    </row>
    <row r="258" spans="7:8" x14ac:dyDescent="0.25">
      <c r="G258" s="2"/>
      <c r="H258" s="2"/>
    </row>
    <row r="259" spans="7:8" x14ac:dyDescent="0.25">
      <c r="G259" s="2"/>
      <c r="H259" s="2"/>
    </row>
    <row r="260" spans="7:8" x14ac:dyDescent="0.25">
      <c r="G260" s="2"/>
      <c r="H260" s="2"/>
    </row>
    <row r="261" spans="7:8" x14ac:dyDescent="0.25">
      <c r="G261" s="2"/>
      <c r="H261" s="2"/>
    </row>
    <row r="262" spans="7:8" x14ac:dyDescent="0.25">
      <c r="G262" s="2"/>
      <c r="H262" s="2"/>
    </row>
    <row r="263" spans="7:8" x14ac:dyDescent="0.25">
      <c r="G263" s="2"/>
      <c r="H263" s="2"/>
    </row>
    <row r="264" spans="7:8" x14ac:dyDescent="0.25">
      <c r="G264" s="2"/>
      <c r="H264" s="2"/>
    </row>
    <row r="265" spans="7:8" x14ac:dyDescent="0.25">
      <c r="G265" s="2"/>
      <c r="H265" s="2"/>
    </row>
    <row r="266" spans="7:8" x14ac:dyDescent="0.25">
      <c r="G266" s="2"/>
      <c r="H266" s="2"/>
    </row>
    <row r="267" spans="7:8" x14ac:dyDescent="0.25">
      <c r="G267" s="2"/>
    </row>
    <row r="268" spans="7:8" x14ac:dyDescent="0.25">
      <c r="G268" s="2"/>
    </row>
    <row r="269" spans="7:8" x14ac:dyDescent="0.25">
      <c r="G269" s="2"/>
    </row>
    <row r="270" spans="7:8" x14ac:dyDescent="0.25">
      <c r="G270" s="2"/>
    </row>
    <row r="271" spans="7:8" x14ac:dyDescent="0.25">
      <c r="G271" s="2"/>
    </row>
    <row r="272" spans="7:8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  <row r="310" spans="7:7" x14ac:dyDescent="0.25">
      <c r="G310" s="2"/>
    </row>
    <row r="311" spans="7:7" x14ac:dyDescent="0.25">
      <c r="G311" s="2"/>
    </row>
    <row r="312" spans="7:7" x14ac:dyDescent="0.25">
      <c r="G312" s="2"/>
    </row>
    <row r="313" spans="7:7" x14ac:dyDescent="0.25">
      <c r="G313" s="2"/>
    </row>
    <row r="314" spans="7:7" x14ac:dyDescent="0.25">
      <c r="G314" s="2"/>
    </row>
    <row r="315" spans="7:7" x14ac:dyDescent="0.25">
      <c r="G315" s="2"/>
    </row>
    <row r="316" spans="7:7" x14ac:dyDescent="0.25">
      <c r="G316" s="2"/>
    </row>
    <row r="317" spans="7:7" x14ac:dyDescent="0.25">
      <c r="G317" s="2"/>
    </row>
    <row r="318" spans="7:7" x14ac:dyDescent="0.25">
      <c r="G318" s="2"/>
    </row>
    <row r="319" spans="7:7" x14ac:dyDescent="0.25">
      <c r="G319" s="2"/>
    </row>
    <row r="320" spans="7:7" x14ac:dyDescent="0.25">
      <c r="G320" s="2"/>
    </row>
    <row r="321" spans="7:7" x14ac:dyDescent="0.25">
      <c r="G321" s="2"/>
    </row>
    <row r="322" spans="7:7" x14ac:dyDescent="0.25">
      <c r="G322" s="2"/>
    </row>
    <row r="323" spans="7:7" x14ac:dyDescent="0.25">
      <c r="G323" s="2"/>
    </row>
    <row r="324" spans="7:7" x14ac:dyDescent="0.25">
      <c r="G324" s="2"/>
    </row>
    <row r="325" spans="7:7" x14ac:dyDescent="0.25">
      <c r="G325" s="2"/>
    </row>
    <row r="326" spans="7:7" x14ac:dyDescent="0.25">
      <c r="G326" s="2"/>
    </row>
    <row r="327" spans="7:7" x14ac:dyDescent="0.25">
      <c r="G327" s="2"/>
    </row>
    <row r="328" spans="7:7" x14ac:dyDescent="0.25">
      <c r="G328" s="2"/>
    </row>
    <row r="329" spans="7:7" x14ac:dyDescent="0.25">
      <c r="G329" s="2"/>
    </row>
    <row r="330" spans="7:7" x14ac:dyDescent="0.25">
      <c r="G330" s="2"/>
    </row>
    <row r="331" spans="7:7" x14ac:dyDescent="0.25">
      <c r="G331" s="2"/>
    </row>
    <row r="332" spans="7:7" x14ac:dyDescent="0.25">
      <c r="G332" s="2"/>
    </row>
    <row r="333" spans="7:7" x14ac:dyDescent="0.25">
      <c r="G333" s="2"/>
    </row>
    <row r="334" spans="7:7" x14ac:dyDescent="0.25">
      <c r="G334" s="2"/>
    </row>
    <row r="335" spans="7:7" x14ac:dyDescent="0.25">
      <c r="G335" s="2"/>
    </row>
    <row r="336" spans="7:7" x14ac:dyDescent="0.25">
      <c r="G336" s="2"/>
    </row>
    <row r="337" spans="7:7" x14ac:dyDescent="0.25">
      <c r="G337" s="2"/>
    </row>
    <row r="338" spans="7:7" x14ac:dyDescent="0.25">
      <c r="G338" s="2"/>
    </row>
    <row r="339" spans="7:7" x14ac:dyDescent="0.25">
      <c r="G339" s="2"/>
    </row>
    <row r="340" spans="7:7" x14ac:dyDescent="0.25">
      <c r="G340" s="2"/>
    </row>
    <row r="341" spans="7:7" x14ac:dyDescent="0.25">
      <c r="G341" s="2"/>
    </row>
    <row r="342" spans="7:7" x14ac:dyDescent="0.25">
      <c r="G342" s="2"/>
    </row>
    <row r="343" spans="7:7" x14ac:dyDescent="0.25">
      <c r="G343" s="2"/>
    </row>
    <row r="344" spans="7:7" x14ac:dyDescent="0.25">
      <c r="G344" s="2"/>
    </row>
    <row r="345" spans="7:7" x14ac:dyDescent="0.25">
      <c r="G345" s="2"/>
    </row>
    <row r="346" spans="7:7" x14ac:dyDescent="0.25">
      <c r="G346" s="2"/>
    </row>
    <row r="347" spans="7:7" x14ac:dyDescent="0.25">
      <c r="G347" s="2"/>
    </row>
    <row r="348" spans="7:7" x14ac:dyDescent="0.25">
      <c r="G348" s="2"/>
    </row>
    <row r="349" spans="7:7" x14ac:dyDescent="0.25">
      <c r="G349" s="2"/>
    </row>
    <row r="350" spans="7:7" x14ac:dyDescent="0.25">
      <c r="G350" s="2"/>
    </row>
    <row r="351" spans="7:7" x14ac:dyDescent="0.25">
      <c r="G351" s="2"/>
    </row>
    <row r="352" spans="7:7" x14ac:dyDescent="0.25">
      <c r="G352" s="2"/>
    </row>
    <row r="353" spans="7:7" x14ac:dyDescent="0.25">
      <c r="G353" s="2"/>
    </row>
    <row r="354" spans="7:7" x14ac:dyDescent="0.25">
      <c r="G354" s="2"/>
    </row>
    <row r="355" spans="7:7" x14ac:dyDescent="0.25">
      <c r="G355" s="2"/>
    </row>
    <row r="356" spans="7:7" x14ac:dyDescent="0.25">
      <c r="G356" s="2"/>
    </row>
    <row r="357" spans="7:7" x14ac:dyDescent="0.25">
      <c r="G357" s="2"/>
    </row>
    <row r="358" spans="7:7" x14ac:dyDescent="0.25">
      <c r="G358" s="2"/>
    </row>
    <row r="359" spans="7:7" x14ac:dyDescent="0.25">
      <c r="G359" s="2"/>
    </row>
    <row r="360" spans="7:7" x14ac:dyDescent="0.25">
      <c r="G360" s="2"/>
    </row>
    <row r="361" spans="7:7" x14ac:dyDescent="0.25">
      <c r="G361" s="2"/>
    </row>
    <row r="362" spans="7:7" x14ac:dyDescent="0.25">
      <c r="G362" s="2"/>
    </row>
    <row r="363" spans="7:7" x14ac:dyDescent="0.25">
      <c r="G363" s="2"/>
    </row>
    <row r="364" spans="7:7" x14ac:dyDescent="0.25">
      <c r="G364" s="2"/>
    </row>
    <row r="365" spans="7:7" x14ac:dyDescent="0.25">
      <c r="G365" s="2"/>
    </row>
    <row r="366" spans="7:7" x14ac:dyDescent="0.25">
      <c r="G366" s="2"/>
    </row>
    <row r="367" spans="7:7" x14ac:dyDescent="0.25">
      <c r="G367" s="2"/>
    </row>
    <row r="368" spans="7:7" x14ac:dyDescent="0.25">
      <c r="G368" s="2"/>
    </row>
    <row r="369" spans="7:7" x14ac:dyDescent="0.25">
      <c r="G369" s="2"/>
    </row>
    <row r="370" spans="7:7" x14ac:dyDescent="0.25">
      <c r="G370" s="2"/>
    </row>
    <row r="371" spans="7:7" x14ac:dyDescent="0.25">
      <c r="G371" s="2"/>
    </row>
    <row r="372" spans="7:7" x14ac:dyDescent="0.25">
      <c r="G372" s="2"/>
    </row>
    <row r="373" spans="7:7" x14ac:dyDescent="0.25">
      <c r="G373" s="2"/>
    </row>
    <row r="374" spans="7:7" x14ac:dyDescent="0.25">
      <c r="G374" s="2"/>
    </row>
    <row r="375" spans="7:7" x14ac:dyDescent="0.25">
      <c r="G375" s="2"/>
    </row>
    <row r="376" spans="7:7" x14ac:dyDescent="0.25">
      <c r="G376" s="2"/>
    </row>
    <row r="377" spans="7:7" x14ac:dyDescent="0.25">
      <c r="G377" s="2"/>
    </row>
    <row r="378" spans="7:7" x14ac:dyDescent="0.25">
      <c r="G378" s="2"/>
    </row>
    <row r="379" spans="7:7" x14ac:dyDescent="0.25">
      <c r="G379" s="2"/>
    </row>
    <row r="380" spans="7:7" x14ac:dyDescent="0.25">
      <c r="G380" s="2"/>
    </row>
    <row r="381" spans="7:7" x14ac:dyDescent="0.25">
      <c r="G381" s="2"/>
    </row>
    <row r="382" spans="7:7" x14ac:dyDescent="0.25">
      <c r="G382" s="2"/>
    </row>
    <row r="383" spans="7:7" x14ac:dyDescent="0.25">
      <c r="G383" s="2"/>
    </row>
    <row r="384" spans="7:7" x14ac:dyDescent="0.25">
      <c r="G384" s="2"/>
    </row>
    <row r="385" spans="7:7" x14ac:dyDescent="0.25">
      <c r="G385" s="2"/>
    </row>
    <row r="386" spans="7:7" x14ac:dyDescent="0.25">
      <c r="G386" s="2"/>
    </row>
    <row r="387" spans="7:7" x14ac:dyDescent="0.25">
      <c r="G387" s="2"/>
    </row>
    <row r="388" spans="7:7" x14ac:dyDescent="0.25">
      <c r="G388" s="2"/>
    </row>
    <row r="389" spans="7:7" x14ac:dyDescent="0.25">
      <c r="G389" s="2"/>
    </row>
    <row r="390" spans="7:7" x14ac:dyDescent="0.25">
      <c r="G390" s="2"/>
    </row>
    <row r="391" spans="7:7" x14ac:dyDescent="0.25">
      <c r="G391" s="2"/>
    </row>
    <row r="392" spans="7:7" x14ac:dyDescent="0.25">
      <c r="G392" s="2"/>
    </row>
    <row r="393" spans="7:7" x14ac:dyDescent="0.25">
      <c r="G393" s="2"/>
    </row>
    <row r="394" spans="7:7" x14ac:dyDescent="0.25">
      <c r="G394" s="2"/>
    </row>
    <row r="395" spans="7:7" x14ac:dyDescent="0.25">
      <c r="G395" s="2"/>
    </row>
    <row r="396" spans="7:7" x14ac:dyDescent="0.25">
      <c r="G396" s="2"/>
    </row>
    <row r="397" spans="7:7" x14ac:dyDescent="0.25">
      <c r="G397" s="2"/>
    </row>
    <row r="398" spans="7:7" x14ac:dyDescent="0.25">
      <c r="G398" s="2"/>
    </row>
    <row r="399" spans="7:7" x14ac:dyDescent="0.25">
      <c r="G399" s="2"/>
    </row>
    <row r="400" spans="7:7" x14ac:dyDescent="0.25">
      <c r="G400" s="2"/>
    </row>
    <row r="401" spans="7:7" x14ac:dyDescent="0.25">
      <c r="G401" s="2"/>
    </row>
    <row r="402" spans="7:7" x14ac:dyDescent="0.25">
      <c r="G402" s="2"/>
    </row>
    <row r="403" spans="7:7" x14ac:dyDescent="0.25">
      <c r="G403" s="2"/>
    </row>
    <row r="404" spans="7:7" x14ac:dyDescent="0.25">
      <c r="G404" s="2"/>
    </row>
    <row r="405" spans="7:7" x14ac:dyDescent="0.25">
      <c r="G405" s="2"/>
    </row>
    <row r="406" spans="7:7" x14ac:dyDescent="0.25">
      <c r="G406" s="2"/>
    </row>
    <row r="407" spans="7:7" x14ac:dyDescent="0.25">
      <c r="G407" s="2"/>
    </row>
    <row r="408" spans="7:7" x14ac:dyDescent="0.25">
      <c r="G408" s="2"/>
    </row>
    <row r="409" spans="7:7" x14ac:dyDescent="0.25">
      <c r="G409" s="2"/>
    </row>
    <row r="410" spans="7:7" x14ac:dyDescent="0.25">
      <c r="G410" s="2"/>
    </row>
    <row r="411" spans="7:7" x14ac:dyDescent="0.25">
      <c r="G411" s="2"/>
    </row>
    <row r="412" spans="7:7" x14ac:dyDescent="0.25">
      <c r="G412" s="2"/>
    </row>
    <row r="413" spans="7:7" x14ac:dyDescent="0.25">
      <c r="G413" s="2"/>
    </row>
    <row r="414" spans="7:7" x14ac:dyDescent="0.25">
      <c r="G414" s="2"/>
    </row>
    <row r="415" spans="7:7" x14ac:dyDescent="0.25">
      <c r="G415" s="2"/>
    </row>
    <row r="416" spans="7:7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  <row r="446" spans="7:7" x14ac:dyDescent="0.25">
      <c r="G446" s="2"/>
    </row>
    <row r="447" spans="7:7" x14ac:dyDescent="0.25">
      <c r="G447" s="2"/>
    </row>
    <row r="448" spans="7:7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  <row r="461" spans="7:7" x14ac:dyDescent="0.25">
      <c r="G461" s="2"/>
    </row>
    <row r="462" spans="7:7" x14ac:dyDescent="0.25">
      <c r="G462" s="2"/>
    </row>
    <row r="463" spans="7:7" x14ac:dyDescent="0.25">
      <c r="G463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  <row r="480" spans="7:7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  <row r="594" spans="7:7" x14ac:dyDescent="0.25">
      <c r="G594" s="2"/>
    </row>
    <row r="595" spans="7:7" x14ac:dyDescent="0.25">
      <c r="G595" s="2"/>
    </row>
    <row r="596" spans="7:7" x14ac:dyDescent="0.25">
      <c r="G596" s="2"/>
    </row>
    <row r="597" spans="7:7" x14ac:dyDescent="0.25">
      <c r="G597" s="2"/>
    </row>
    <row r="598" spans="7:7" x14ac:dyDescent="0.25">
      <c r="G598" s="2"/>
    </row>
    <row r="599" spans="7:7" x14ac:dyDescent="0.25">
      <c r="G599" s="2"/>
    </row>
    <row r="600" spans="7:7" x14ac:dyDescent="0.25">
      <c r="G600" s="2"/>
    </row>
    <row r="601" spans="7:7" x14ac:dyDescent="0.25">
      <c r="G601" s="2"/>
    </row>
    <row r="602" spans="7:7" x14ac:dyDescent="0.25">
      <c r="G602" s="2"/>
    </row>
    <row r="603" spans="7:7" x14ac:dyDescent="0.25">
      <c r="G603" s="2"/>
    </row>
    <row r="604" spans="7:7" x14ac:dyDescent="0.25">
      <c r="G604" s="2"/>
    </row>
    <row r="605" spans="7:7" x14ac:dyDescent="0.25">
      <c r="G605" s="2"/>
    </row>
    <row r="606" spans="7:7" x14ac:dyDescent="0.25">
      <c r="G606" s="2"/>
    </row>
    <row r="607" spans="7:7" x14ac:dyDescent="0.25">
      <c r="G607" s="2"/>
    </row>
    <row r="608" spans="7:7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2"/>
    </row>
    <row r="625" spans="7:7" x14ac:dyDescent="0.25">
      <c r="G625" s="2"/>
    </row>
    <row r="626" spans="7:7" x14ac:dyDescent="0.25">
      <c r="G626" s="2"/>
    </row>
    <row r="627" spans="7:7" x14ac:dyDescent="0.25">
      <c r="G627" s="2"/>
    </row>
    <row r="628" spans="7:7" x14ac:dyDescent="0.25">
      <c r="G628" s="2"/>
    </row>
    <row r="629" spans="7:7" x14ac:dyDescent="0.25">
      <c r="G629" s="2"/>
    </row>
    <row r="630" spans="7:7" x14ac:dyDescent="0.25">
      <c r="G630" s="2"/>
    </row>
    <row r="631" spans="7:7" x14ac:dyDescent="0.25">
      <c r="G631" s="2"/>
    </row>
    <row r="632" spans="7:7" x14ac:dyDescent="0.25">
      <c r="G632" s="2"/>
    </row>
    <row r="633" spans="7:7" x14ac:dyDescent="0.25">
      <c r="G633" s="2"/>
    </row>
    <row r="634" spans="7:7" x14ac:dyDescent="0.25">
      <c r="G634" s="2"/>
    </row>
    <row r="635" spans="7:7" x14ac:dyDescent="0.25">
      <c r="G635" s="2"/>
    </row>
    <row r="636" spans="7:7" x14ac:dyDescent="0.25">
      <c r="G636" s="2"/>
    </row>
    <row r="637" spans="7:7" x14ac:dyDescent="0.25">
      <c r="G637" s="2"/>
    </row>
    <row r="638" spans="7:7" x14ac:dyDescent="0.25">
      <c r="G638" s="2"/>
    </row>
    <row r="639" spans="7:7" x14ac:dyDescent="0.25">
      <c r="G639" s="2"/>
    </row>
    <row r="640" spans="7:7" x14ac:dyDescent="0.25">
      <c r="G640" s="2"/>
    </row>
    <row r="641" spans="7:7" x14ac:dyDescent="0.25">
      <c r="G641" s="2"/>
    </row>
    <row r="642" spans="7:7" x14ac:dyDescent="0.25">
      <c r="G642" s="2"/>
    </row>
    <row r="643" spans="7:7" x14ac:dyDescent="0.25">
      <c r="G643" s="2"/>
    </row>
    <row r="644" spans="7:7" x14ac:dyDescent="0.25">
      <c r="G644" s="2"/>
    </row>
    <row r="645" spans="7:7" x14ac:dyDescent="0.25">
      <c r="G645" s="2"/>
    </row>
    <row r="646" spans="7:7" x14ac:dyDescent="0.25">
      <c r="G646" s="2"/>
    </row>
    <row r="647" spans="7:7" x14ac:dyDescent="0.25">
      <c r="G647" s="2"/>
    </row>
    <row r="648" spans="7:7" x14ac:dyDescent="0.25">
      <c r="G648" s="2"/>
    </row>
    <row r="649" spans="7:7" x14ac:dyDescent="0.25">
      <c r="G649" s="2"/>
    </row>
    <row r="650" spans="7:7" x14ac:dyDescent="0.25">
      <c r="G650" s="2"/>
    </row>
    <row r="651" spans="7:7" x14ac:dyDescent="0.25">
      <c r="G651" s="2"/>
    </row>
    <row r="652" spans="7:7" x14ac:dyDescent="0.25">
      <c r="G652" s="2"/>
    </row>
    <row r="653" spans="7:7" x14ac:dyDescent="0.25">
      <c r="G653" s="2"/>
    </row>
    <row r="654" spans="7:7" x14ac:dyDescent="0.25">
      <c r="G654" s="2"/>
    </row>
    <row r="655" spans="7:7" x14ac:dyDescent="0.25">
      <c r="G655" s="2"/>
    </row>
    <row r="656" spans="7:7" x14ac:dyDescent="0.25">
      <c r="G656" s="2"/>
    </row>
    <row r="657" spans="7:7" x14ac:dyDescent="0.25">
      <c r="G657" s="2"/>
    </row>
    <row r="658" spans="7:7" x14ac:dyDescent="0.25">
      <c r="G658" s="2"/>
    </row>
    <row r="659" spans="7:7" x14ac:dyDescent="0.25">
      <c r="G659" s="2"/>
    </row>
    <row r="660" spans="7:7" x14ac:dyDescent="0.25">
      <c r="G660" s="2"/>
    </row>
    <row r="661" spans="7:7" x14ac:dyDescent="0.25">
      <c r="G661" s="2"/>
    </row>
    <row r="662" spans="7:7" x14ac:dyDescent="0.25">
      <c r="G662" s="2"/>
    </row>
    <row r="663" spans="7:7" x14ac:dyDescent="0.25">
      <c r="G663" s="2"/>
    </row>
    <row r="664" spans="7:7" x14ac:dyDescent="0.25">
      <c r="G664" s="2"/>
    </row>
    <row r="665" spans="7:7" x14ac:dyDescent="0.25">
      <c r="G665" s="2"/>
    </row>
    <row r="666" spans="7:7" x14ac:dyDescent="0.25">
      <c r="G666" s="2"/>
    </row>
    <row r="667" spans="7:7" x14ac:dyDescent="0.25">
      <c r="G667" s="2"/>
    </row>
    <row r="668" spans="7:7" x14ac:dyDescent="0.25">
      <c r="G668" s="2"/>
    </row>
    <row r="669" spans="7:7" x14ac:dyDescent="0.25">
      <c r="G669" s="2"/>
    </row>
    <row r="670" spans="7:7" x14ac:dyDescent="0.25">
      <c r="G670" s="2"/>
    </row>
    <row r="671" spans="7:7" x14ac:dyDescent="0.25">
      <c r="G671" s="2"/>
    </row>
    <row r="672" spans="7:7" x14ac:dyDescent="0.25">
      <c r="G672" s="2"/>
    </row>
    <row r="673" spans="7:7" x14ac:dyDescent="0.25">
      <c r="G673" s="2"/>
    </row>
    <row r="674" spans="7:7" x14ac:dyDescent="0.25">
      <c r="G674" s="2"/>
    </row>
    <row r="675" spans="7:7" x14ac:dyDescent="0.25">
      <c r="G675" s="2"/>
    </row>
    <row r="676" spans="7:7" x14ac:dyDescent="0.25">
      <c r="G676" s="2"/>
    </row>
    <row r="677" spans="7:7" x14ac:dyDescent="0.25">
      <c r="G677" s="2"/>
    </row>
    <row r="678" spans="7:7" x14ac:dyDescent="0.25">
      <c r="G678" s="2"/>
    </row>
    <row r="679" spans="7:7" x14ac:dyDescent="0.25">
      <c r="G679" s="2"/>
    </row>
    <row r="680" spans="7:7" x14ac:dyDescent="0.25">
      <c r="G680" s="2"/>
    </row>
    <row r="681" spans="7:7" x14ac:dyDescent="0.25">
      <c r="G681" s="2"/>
    </row>
    <row r="682" spans="7:7" x14ac:dyDescent="0.25">
      <c r="G682" s="2"/>
    </row>
    <row r="683" spans="7:7" x14ac:dyDescent="0.25">
      <c r="G683" s="2"/>
    </row>
    <row r="684" spans="7:7" x14ac:dyDescent="0.25">
      <c r="G684" s="2"/>
    </row>
    <row r="685" spans="7:7" x14ac:dyDescent="0.25">
      <c r="G685" s="2"/>
    </row>
    <row r="686" spans="7:7" x14ac:dyDescent="0.25">
      <c r="G686" s="2"/>
    </row>
    <row r="687" spans="7:7" x14ac:dyDescent="0.25">
      <c r="G687" s="2"/>
    </row>
    <row r="688" spans="7:7" x14ac:dyDescent="0.25">
      <c r="G688" s="2"/>
    </row>
    <row r="689" spans="7:7" x14ac:dyDescent="0.25">
      <c r="G689" s="2"/>
    </row>
    <row r="690" spans="7:7" x14ac:dyDescent="0.25">
      <c r="G690" s="2"/>
    </row>
    <row r="691" spans="7:7" x14ac:dyDescent="0.25">
      <c r="G691" s="2"/>
    </row>
    <row r="692" spans="7:7" x14ac:dyDescent="0.25">
      <c r="G692" s="2"/>
    </row>
    <row r="693" spans="7:7" x14ac:dyDescent="0.25">
      <c r="G693" s="2"/>
    </row>
    <row r="694" spans="7:7" x14ac:dyDescent="0.25">
      <c r="G694" s="2"/>
    </row>
    <row r="695" spans="7:7" x14ac:dyDescent="0.25">
      <c r="G695" s="2"/>
    </row>
    <row r="696" spans="7:7" x14ac:dyDescent="0.25">
      <c r="G696" s="2"/>
    </row>
    <row r="697" spans="7:7" x14ac:dyDescent="0.25">
      <c r="G697" s="2"/>
    </row>
    <row r="698" spans="7:7" x14ac:dyDescent="0.25">
      <c r="G698" s="2"/>
    </row>
    <row r="699" spans="7:7" x14ac:dyDescent="0.25">
      <c r="G699" s="2"/>
    </row>
    <row r="700" spans="7:7" x14ac:dyDescent="0.25">
      <c r="G700" s="2"/>
    </row>
    <row r="701" spans="7:7" x14ac:dyDescent="0.25">
      <c r="G701" s="2"/>
    </row>
    <row r="702" spans="7:7" x14ac:dyDescent="0.25">
      <c r="G702" s="2"/>
    </row>
    <row r="703" spans="7:7" x14ac:dyDescent="0.25">
      <c r="G703" s="2"/>
    </row>
    <row r="704" spans="7:7" x14ac:dyDescent="0.25">
      <c r="G704" s="2"/>
    </row>
    <row r="705" spans="7:7" x14ac:dyDescent="0.25">
      <c r="G705" s="2"/>
    </row>
    <row r="706" spans="7:7" x14ac:dyDescent="0.25">
      <c r="G706" s="2"/>
    </row>
    <row r="707" spans="7:7" x14ac:dyDescent="0.25">
      <c r="G707" s="2"/>
    </row>
    <row r="708" spans="7:7" x14ac:dyDescent="0.25">
      <c r="G708" s="2"/>
    </row>
    <row r="709" spans="7:7" x14ac:dyDescent="0.25">
      <c r="G709" s="2"/>
    </row>
    <row r="710" spans="7:7" x14ac:dyDescent="0.25">
      <c r="G710" s="2"/>
    </row>
    <row r="711" spans="7:7" x14ac:dyDescent="0.25">
      <c r="G711" s="2"/>
    </row>
    <row r="712" spans="7:7" x14ac:dyDescent="0.25">
      <c r="G712" s="2"/>
    </row>
    <row r="713" spans="7:7" x14ac:dyDescent="0.25">
      <c r="G713" s="2"/>
    </row>
    <row r="714" spans="7:7" x14ac:dyDescent="0.25">
      <c r="G714" s="2"/>
    </row>
    <row r="715" spans="7:7" x14ac:dyDescent="0.25">
      <c r="G715" s="2"/>
    </row>
    <row r="716" spans="7:7" x14ac:dyDescent="0.25">
      <c r="G716" s="2"/>
    </row>
    <row r="717" spans="7:7" x14ac:dyDescent="0.25">
      <c r="G717" s="2"/>
    </row>
    <row r="718" spans="7:7" x14ac:dyDescent="0.25">
      <c r="G718" s="2"/>
    </row>
    <row r="719" spans="7:7" x14ac:dyDescent="0.25">
      <c r="G719" s="2"/>
    </row>
    <row r="720" spans="7:7" x14ac:dyDescent="0.25">
      <c r="G720" s="2"/>
    </row>
    <row r="721" spans="7:7" x14ac:dyDescent="0.25">
      <c r="G721" s="2"/>
    </row>
    <row r="722" spans="7:7" x14ac:dyDescent="0.25">
      <c r="G722" s="2"/>
    </row>
    <row r="723" spans="7:7" x14ac:dyDescent="0.25">
      <c r="G723" s="2"/>
    </row>
    <row r="724" spans="7:7" x14ac:dyDescent="0.25">
      <c r="G724" s="2"/>
    </row>
    <row r="725" spans="7:7" x14ac:dyDescent="0.25">
      <c r="G725" s="2"/>
    </row>
    <row r="726" spans="7:7" x14ac:dyDescent="0.25">
      <c r="G726" s="2"/>
    </row>
    <row r="727" spans="7:7" x14ac:dyDescent="0.25">
      <c r="G727" s="2"/>
    </row>
    <row r="728" spans="7:7" x14ac:dyDescent="0.25">
      <c r="G728" s="2"/>
    </row>
    <row r="729" spans="7:7" x14ac:dyDescent="0.25">
      <c r="G729" s="2"/>
    </row>
    <row r="730" spans="7:7" x14ac:dyDescent="0.25">
      <c r="G730" s="2"/>
    </row>
    <row r="731" spans="7:7" x14ac:dyDescent="0.25">
      <c r="G731" s="2"/>
    </row>
    <row r="732" spans="7:7" x14ac:dyDescent="0.25">
      <c r="G732" s="2"/>
    </row>
    <row r="733" spans="7:7" x14ac:dyDescent="0.25">
      <c r="G733" s="2"/>
    </row>
    <row r="734" spans="7:7" x14ac:dyDescent="0.25">
      <c r="G734" s="2"/>
    </row>
    <row r="735" spans="7:7" x14ac:dyDescent="0.25">
      <c r="G735" s="2"/>
    </row>
    <row r="736" spans="7:7" x14ac:dyDescent="0.25">
      <c r="G736" s="2"/>
    </row>
    <row r="737" spans="7:7" x14ac:dyDescent="0.25">
      <c r="G737" s="2"/>
    </row>
    <row r="738" spans="7:7" x14ac:dyDescent="0.25">
      <c r="G738" s="2"/>
    </row>
    <row r="739" spans="7:7" x14ac:dyDescent="0.25">
      <c r="G739" s="2"/>
    </row>
    <row r="740" spans="7:7" x14ac:dyDescent="0.25">
      <c r="G740" s="2"/>
    </row>
    <row r="741" spans="7:7" x14ac:dyDescent="0.25">
      <c r="G741" s="2"/>
    </row>
    <row r="742" spans="7:7" x14ac:dyDescent="0.25">
      <c r="G742" s="2"/>
    </row>
    <row r="743" spans="7:7" x14ac:dyDescent="0.25">
      <c r="G743" s="2"/>
    </row>
    <row r="744" spans="7:7" x14ac:dyDescent="0.25">
      <c r="G744" s="2"/>
    </row>
    <row r="745" spans="7:7" x14ac:dyDescent="0.25">
      <c r="G745" s="2"/>
    </row>
    <row r="746" spans="7:7" x14ac:dyDescent="0.25">
      <c r="G746" s="2"/>
    </row>
    <row r="747" spans="7:7" x14ac:dyDescent="0.25">
      <c r="G747" s="2"/>
    </row>
    <row r="748" spans="7:7" x14ac:dyDescent="0.25">
      <c r="G748" s="2"/>
    </row>
    <row r="749" spans="7:7" x14ac:dyDescent="0.25">
      <c r="G749" s="2"/>
    </row>
    <row r="750" spans="7:7" x14ac:dyDescent="0.25">
      <c r="G750" s="2"/>
    </row>
    <row r="751" spans="7:7" x14ac:dyDescent="0.25">
      <c r="G751" s="2"/>
    </row>
    <row r="752" spans="7:7" x14ac:dyDescent="0.25">
      <c r="G752" s="2"/>
    </row>
    <row r="753" spans="7:7" x14ac:dyDescent="0.25">
      <c r="G753" s="2"/>
    </row>
    <row r="754" spans="7:7" x14ac:dyDescent="0.25">
      <c r="G754" s="2"/>
    </row>
    <row r="755" spans="7:7" x14ac:dyDescent="0.25">
      <c r="G755" s="2"/>
    </row>
    <row r="756" spans="7:7" x14ac:dyDescent="0.25">
      <c r="G756" s="2"/>
    </row>
    <row r="757" spans="7:7" x14ac:dyDescent="0.25">
      <c r="G757" s="2"/>
    </row>
    <row r="758" spans="7:7" x14ac:dyDescent="0.25">
      <c r="G758" s="2"/>
    </row>
    <row r="759" spans="7:7" x14ac:dyDescent="0.25">
      <c r="G759" s="2"/>
    </row>
    <row r="760" spans="7:7" x14ac:dyDescent="0.25">
      <c r="G760" s="2"/>
    </row>
    <row r="761" spans="7:7" x14ac:dyDescent="0.25">
      <c r="G761" s="2"/>
    </row>
    <row r="762" spans="7:7" x14ac:dyDescent="0.25">
      <c r="G762" s="2"/>
    </row>
    <row r="763" spans="7:7" x14ac:dyDescent="0.25">
      <c r="G763" s="2"/>
    </row>
    <row r="764" spans="7:7" x14ac:dyDescent="0.25">
      <c r="G764" s="2"/>
    </row>
    <row r="765" spans="7:7" x14ac:dyDescent="0.25">
      <c r="G765" s="2"/>
    </row>
    <row r="766" spans="7:7" x14ac:dyDescent="0.25">
      <c r="G766" s="2"/>
    </row>
    <row r="767" spans="7:7" x14ac:dyDescent="0.25">
      <c r="G767" s="2"/>
    </row>
    <row r="768" spans="7:7" x14ac:dyDescent="0.25">
      <c r="G768" s="2"/>
    </row>
    <row r="769" spans="7:7" x14ac:dyDescent="0.25">
      <c r="G769" s="2"/>
    </row>
    <row r="770" spans="7:7" x14ac:dyDescent="0.25">
      <c r="G770" s="2"/>
    </row>
    <row r="771" spans="7:7" x14ac:dyDescent="0.25">
      <c r="G771" s="2"/>
    </row>
    <row r="772" spans="7:7" x14ac:dyDescent="0.25">
      <c r="G772" s="2"/>
    </row>
    <row r="773" spans="7:7" x14ac:dyDescent="0.25">
      <c r="G773" s="2"/>
    </row>
    <row r="774" spans="7:7" x14ac:dyDescent="0.25">
      <c r="G774" s="2"/>
    </row>
    <row r="775" spans="7:7" x14ac:dyDescent="0.25">
      <c r="G775" s="2"/>
    </row>
    <row r="776" spans="7:7" x14ac:dyDescent="0.25">
      <c r="G776" s="2"/>
    </row>
    <row r="777" spans="7:7" x14ac:dyDescent="0.25">
      <c r="G777" s="2"/>
    </row>
    <row r="778" spans="7:7" x14ac:dyDescent="0.25">
      <c r="G778" s="2"/>
    </row>
    <row r="779" spans="7:7" x14ac:dyDescent="0.25">
      <c r="G779" s="2"/>
    </row>
    <row r="780" spans="7:7" x14ac:dyDescent="0.25">
      <c r="G780" s="2"/>
    </row>
    <row r="781" spans="7:7" x14ac:dyDescent="0.25">
      <c r="G781" s="2"/>
    </row>
    <row r="782" spans="7:7" x14ac:dyDescent="0.25">
      <c r="G782" s="2"/>
    </row>
    <row r="783" spans="7:7" x14ac:dyDescent="0.25">
      <c r="G783" s="2"/>
    </row>
    <row r="784" spans="7:7" x14ac:dyDescent="0.25">
      <c r="G784" s="2"/>
    </row>
    <row r="785" spans="7:7" x14ac:dyDescent="0.25">
      <c r="G785" s="2"/>
    </row>
    <row r="786" spans="7:7" x14ac:dyDescent="0.25">
      <c r="G786" s="2"/>
    </row>
    <row r="787" spans="7:7" x14ac:dyDescent="0.25">
      <c r="G787" s="2"/>
    </row>
    <row r="788" spans="7:7" x14ac:dyDescent="0.25">
      <c r="G788" s="2"/>
    </row>
    <row r="789" spans="7:7" x14ac:dyDescent="0.25">
      <c r="G789" s="2"/>
    </row>
    <row r="790" spans="7:7" x14ac:dyDescent="0.25">
      <c r="G790" s="2"/>
    </row>
    <row r="791" spans="7:7" x14ac:dyDescent="0.25">
      <c r="G791" s="2"/>
    </row>
    <row r="792" spans="7:7" x14ac:dyDescent="0.25">
      <c r="G792" s="2"/>
    </row>
    <row r="793" spans="7:7" x14ac:dyDescent="0.25">
      <c r="G793" s="2"/>
    </row>
    <row r="794" spans="7:7" x14ac:dyDescent="0.25">
      <c r="G794" s="2"/>
    </row>
    <row r="795" spans="7:7" x14ac:dyDescent="0.25">
      <c r="G795" s="2"/>
    </row>
    <row r="796" spans="7:7" x14ac:dyDescent="0.25">
      <c r="G796" s="2"/>
    </row>
    <row r="797" spans="7:7" x14ac:dyDescent="0.25">
      <c r="G797" s="2"/>
    </row>
    <row r="798" spans="7:7" x14ac:dyDescent="0.25">
      <c r="G798" s="2"/>
    </row>
    <row r="799" spans="7:7" x14ac:dyDescent="0.25">
      <c r="G799" s="2"/>
    </row>
    <row r="800" spans="7:7" x14ac:dyDescent="0.25">
      <c r="G800" s="2"/>
    </row>
    <row r="801" spans="7:7" x14ac:dyDescent="0.25">
      <c r="G801" s="2"/>
    </row>
    <row r="802" spans="7:7" x14ac:dyDescent="0.25">
      <c r="G802" s="2"/>
    </row>
    <row r="803" spans="7:7" x14ac:dyDescent="0.25">
      <c r="G803" s="2"/>
    </row>
    <row r="804" spans="7:7" x14ac:dyDescent="0.25">
      <c r="G804" s="2"/>
    </row>
    <row r="805" spans="7:7" x14ac:dyDescent="0.25">
      <c r="G805" s="2"/>
    </row>
    <row r="806" spans="7:7" x14ac:dyDescent="0.25">
      <c r="G806" s="2"/>
    </row>
    <row r="807" spans="7:7" x14ac:dyDescent="0.25">
      <c r="G807" s="2"/>
    </row>
    <row r="808" spans="7:7" x14ac:dyDescent="0.25">
      <c r="G808" s="2"/>
    </row>
    <row r="809" spans="7:7" x14ac:dyDescent="0.25">
      <c r="G809" s="2"/>
    </row>
    <row r="810" spans="7:7" x14ac:dyDescent="0.25">
      <c r="G810" s="2"/>
    </row>
    <row r="811" spans="7:7" x14ac:dyDescent="0.25">
      <c r="G811" s="2"/>
    </row>
    <row r="812" spans="7:7" x14ac:dyDescent="0.25">
      <c r="G812" s="2"/>
    </row>
    <row r="813" spans="7:7" x14ac:dyDescent="0.25">
      <c r="G813" s="2"/>
    </row>
    <row r="814" spans="7:7" x14ac:dyDescent="0.25">
      <c r="G814" s="2"/>
    </row>
    <row r="815" spans="7:7" x14ac:dyDescent="0.25">
      <c r="G815" s="2"/>
    </row>
    <row r="816" spans="7:7" x14ac:dyDescent="0.25">
      <c r="G816" s="2"/>
    </row>
    <row r="817" spans="7:7" x14ac:dyDescent="0.25">
      <c r="G817" s="2"/>
    </row>
    <row r="818" spans="7:7" x14ac:dyDescent="0.25">
      <c r="G818" s="2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FRED Graph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Simatovic</cp:lastModifiedBy>
  <cp:revision/>
  <dcterms:created xsi:type="dcterms:W3CDTF">2024-03-23T15:38:09Z</dcterms:created>
  <dcterms:modified xsi:type="dcterms:W3CDTF">2024-04-06T22:00:35Z</dcterms:modified>
  <cp:category/>
  <cp:contentStatus/>
</cp:coreProperties>
</file>