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6B3D8E47-2B69-411C-8B2E-566175E745D1}" xr6:coauthVersionLast="47" xr6:coauthVersionMax="47" xr10:uidLastSave="{00000000-0000-0000-0000-000000000000}"/>
  <bookViews>
    <workbookView xWindow="29468" yWindow="12" windowWidth="19331" windowHeight="11347" xr2:uid="{00000000-000D-0000-FFFF-FFFF00000000}"/>
  </bookViews>
  <sheets>
    <sheet name="Cooldown 1" sheetId="3" r:id="rId1"/>
    <sheet name="Cooldown 2" sheetId="8" r:id="rId2"/>
    <sheet name="Cooldown 3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I7" i="9"/>
  <c r="H7" i="9"/>
  <c r="G7" i="9"/>
  <c r="F7" i="9"/>
  <c r="E7" i="9"/>
  <c r="D7" i="9"/>
  <c r="C7" i="9"/>
  <c r="J6" i="9"/>
  <c r="AO14" i="9" s="1"/>
  <c r="I6" i="9"/>
  <c r="I54" i="9" s="1"/>
  <c r="H6" i="9"/>
  <c r="H54" i="9" s="1"/>
  <c r="G6" i="9"/>
  <c r="F6" i="9"/>
  <c r="E6" i="9"/>
  <c r="D6" i="9"/>
  <c r="C6" i="9"/>
  <c r="X29" i="9" s="1"/>
  <c r="N29" i="9" s="1"/>
  <c r="J5" i="9"/>
  <c r="AO11" i="9" s="1"/>
  <c r="I5" i="9"/>
  <c r="AN11" i="9" s="1"/>
  <c r="H5" i="9"/>
  <c r="AM11" i="9" s="1"/>
  <c r="G5" i="9"/>
  <c r="AL11" i="9" s="1"/>
  <c r="F5" i="9"/>
  <c r="AK11" i="9" s="1"/>
  <c r="E5" i="9"/>
  <c r="E53" i="9" s="1"/>
  <c r="D5" i="9"/>
  <c r="D53" i="9" s="1"/>
  <c r="C5" i="9"/>
  <c r="C53" i="9" s="1"/>
  <c r="C6" i="8"/>
  <c r="D6" i="8"/>
  <c r="E6" i="8"/>
  <c r="F6" i="8"/>
  <c r="G6" i="8"/>
  <c r="H6" i="8"/>
  <c r="AM16" i="8" s="1"/>
  <c r="I6" i="8"/>
  <c r="I54" i="8" s="1"/>
  <c r="J6" i="8"/>
  <c r="J54" i="8" s="1"/>
  <c r="C7" i="8"/>
  <c r="D7" i="8"/>
  <c r="E7" i="8"/>
  <c r="F7" i="8"/>
  <c r="G7" i="8"/>
  <c r="H7" i="8"/>
  <c r="I7" i="8"/>
  <c r="J7" i="8"/>
  <c r="D5" i="8"/>
  <c r="E5" i="8"/>
  <c r="F5" i="8"/>
  <c r="G5" i="8"/>
  <c r="H5" i="8"/>
  <c r="I5" i="8"/>
  <c r="J5" i="8"/>
  <c r="AO11" i="8" s="1"/>
  <c r="C5" i="8"/>
  <c r="J3" i="9"/>
  <c r="G3" i="9"/>
  <c r="D3" i="9"/>
  <c r="Y31" i="9" s="1"/>
  <c r="O31" i="9" s="1"/>
  <c r="M2" i="9"/>
  <c r="J2" i="9"/>
  <c r="G2" i="9"/>
  <c r="D2" i="9"/>
  <c r="AE18" i="9" s="1"/>
  <c r="U18" i="9" s="1"/>
  <c r="D1" i="9"/>
  <c r="M2" i="8"/>
  <c r="J3" i="8"/>
  <c r="J2" i="8"/>
  <c r="G3" i="8"/>
  <c r="G2" i="8"/>
  <c r="D3" i="8"/>
  <c r="Y37" i="8" s="1"/>
  <c r="O37" i="8" s="1"/>
  <c r="D2" i="8"/>
  <c r="X17" i="8" s="1"/>
  <c r="N17" i="8" s="1"/>
  <c r="D1" i="8"/>
  <c r="E83" i="9"/>
  <c r="G83" i="9" s="1"/>
  <c r="C83" i="9"/>
  <c r="E82" i="9"/>
  <c r="G82" i="9" s="1"/>
  <c r="C82" i="9"/>
  <c r="B81" i="9"/>
  <c r="C79" i="9"/>
  <c r="J78" i="9"/>
  <c r="B77" i="9"/>
  <c r="B72" i="9"/>
  <c r="B67" i="9"/>
  <c r="J65" i="9"/>
  <c r="I65" i="9"/>
  <c r="H65" i="9"/>
  <c r="G65" i="9"/>
  <c r="F65" i="9"/>
  <c r="E65" i="9"/>
  <c r="D65" i="9"/>
  <c r="C65" i="9"/>
  <c r="G64" i="9"/>
  <c r="G79" i="9" s="1"/>
  <c r="F64" i="9"/>
  <c r="F79" i="9" s="1"/>
  <c r="E64" i="9"/>
  <c r="E79" i="9" s="1"/>
  <c r="C64" i="9"/>
  <c r="J63" i="9"/>
  <c r="I63" i="9"/>
  <c r="I78" i="9" s="1"/>
  <c r="C63" i="9"/>
  <c r="C78" i="9" s="1"/>
  <c r="B62" i="9"/>
  <c r="J60" i="9"/>
  <c r="I60" i="9"/>
  <c r="H60" i="9"/>
  <c r="G60" i="9"/>
  <c r="F60" i="9"/>
  <c r="E60" i="9"/>
  <c r="D60" i="9"/>
  <c r="C60" i="9"/>
  <c r="F59" i="9"/>
  <c r="E58" i="9"/>
  <c r="D58" i="9"/>
  <c r="C58" i="9"/>
  <c r="B57" i="9"/>
  <c r="J55" i="9"/>
  <c r="I55" i="9"/>
  <c r="H55" i="9"/>
  <c r="G55" i="9"/>
  <c r="F55" i="9"/>
  <c r="E55" i="9"/>
  <c r="D55" i="9"/>
  <c r="C55" i="9"/>
  <c r="J54" i="9"/>
  <c r="F54" i="9"/>
  <c r="E54" i="9"/>
  <c r="D54" i="9"/>
  <c r="C54" i="9"/>
  <c r="J53" i="9"/>
  <c r="I53" i="9"/>
  <c r="H53" i="9"/>
  <c r="G53" i="9"/>
  <c r="F53" i="9"/>
  <c r="B52" i="9"/>
  <c r="J42" i="9"/>
  <c r="J64" i="9" s="1"/>
  <c r="J79" i="9" s="1"/>
  <c r="I42" i="9"/>
  <c r="I64" i="9" s="1"/>
  <c r="I79" i="9" s="1"/>
  <c r="H42" i="9"/>
  <c r="H64" i="9" s="1"/>
  <c r="H79" i="9" s="1"/>
  <c r="G42" i="9"/>
  <c r="F42" i="9"/>
  <c r="E42" i="9"/>
  <c r="D42" i="9"/>
  <c r="D64" i="9" s="1"/>
  <c r="D79" i="9" s="1"/>
  <c r="C42" i="9"/>
  <c r="J41" i="9"/>
  <c r="I41" i="9"/>
  <c r="H41" i="9"/>
  <c r="H63" i="9" s="1"/>
  <c r="H78" i="9" s="1"/>
  <c r="G41" i="9"/>
  <c r="G63" i="9" s="1"/>
  <c r="G78" i="9" s="1"/>
  <c r="F41" i="9"/>
  <c r="F63" i="9" s="1"/>
  <c r="F78" i="9" s="1"/>
  <c r="E41" i="9"/>
  <c r="E63" i="9" s="1"/>
  <c r="E78" i="9" s="1"/>
  <c r="D41" i="9"/>
  <c r="D63" i="9" s="1"/>
  <c r="D78" i="9" s="1"/>
  <c r="C41" i="9"/>
  <c r="Z31" i="9"/>
  <c r="P31" i="9" s="1"/>
  <c r="J20" i="9"/>
  <c r="J59" i="9" s="1"/>
  <c r="I20" i="9"/>
  <c r="I59" i="9" s="1"/>
  <c r="H20" i="9"/>
  <c r="H59" i="9" s="1"/>
  <c r="G20" i="9"/>
  <c r="G59" i="9" s="1"/>
  <c r="F20" i="9"/>
  <c r="E20" i="9"/>
  <c r="E59" i="9" s="1"/>
  <c r="D20" i="9"/>
  <c r="D59" i="9" s="1"/>
  <c r="C20" i="9"/>
  <c r="C59" i="9" s="1"/>
  <c r="J19" i="9"/>
  <c r="J58" i="9" s="1"/>
  <c r="I19" i="9"/>
  <c r="I58" i="9" s="1"/>
  <c r="H19" i="9"/>
  <c r="H58" i="9" s="1"/>
  <c r="G19" i="9"/>
  <c r="G58" i="9" s="1"/>
  <c r="F19" i="9"/>
  <c r="F58" i="9" s="1"/>
  <c r="E19" i="9"/>
  <c r="D19" i="9"/>
  <c r="C19" i="9"/>
  <c r="AO18" i="9"/>
  <c r="AN18" i="9"/>
  <c r="AM18" i="9"/>
  <c r="AL18" i="9"/>
  <c r="AB18" i="9" s="1"/>
  <c r="R18" i="9" s="1"/>
  <c r="AK18" i="9"/>
  <c r="AA18" i="9" s="1"/>
  <c r="Q18" i="9" s="1"/>
  <c r="AJ18" i="9"/>
  <c r="AI18" i="9"/>
  <c r="AH18" i="9"/>
  <c r="AO17" i="9"/>
  <c r="AK17" i="9"/>
  <c r="AJ17" i="9"/>
  <c r="AI17" i="9"/>
  <c r="AH17" i="9"/>
  <c r="AO16" i="9"/>
  <c r="AN16" i="9"/>
  <c r="AM16" i="9"/>
  <c r="AL16" i="9"/>
  <c r="AK16" i="9"/>
  <c r="AA16" i="9" s="1"/>
  <c r="Q16" i="9" s="1"/>
  <c r="AJ16" i="9"/>
  <c r="AI16" i="9"/>
  <c r="Y16" i="9" s="1"/>
  <c r="O16" i="9" s="1"/>
  <c r="AH16" i="9"/>
  <c r="AK15" i="9"/>
  <c r="AJ15" i="9"/>
  <c r="AI15" i="9"/>
  <c r="AH15" i="9"/>
  <c r="AK14" i="9"/>
  <c r="AJ14" i="9"/>
  <c r="AI14" i="9"/>
  <c r="AH14" i="9"/>
  <c r="AO13" i="9"/>
  <c r="AN13" i="9"/>
  <c r="AM13" i="9"/>
  <c r="AL13" i="9"/>
  <c r="AK13" i="9"/>
  <c r="AA13" i="9" s="1"/>
  <c r="Q13" i="9" s="1"/>
  <c r="AJ13" i="9"/>
  <c r="AI13" i="9"/>
  <c r="Y13" i="9" s="1"/>
  <c r="O13" i="9" s="1"/>
  <c r="AH13" i="9"/>
  <c r="AK12" i="9"/>
  <c r="AJ12" i="9"/>
  <c r="AI12" i="9"/>
  <c r="AH12" i="9"/>
  <c r="G83" i="8"/>
  <c r="E83" i="8"/>
  <c r="C83" i="8"/>
  <c r="E82" i="8"/>
  <c r="G82" i="8" s="1"/>
  <c r="C82" i="8"/>
  <c r="B81" i="8"/>
  <c r="I78" i="8"/>
  <c r="B77" i="8"/>
  <c r="B72" i="8"/>
  <c r="B67" i="8"/>
  <c r="J65" i="8"/>
  <c r="I65" i="8"/>
  <c r="H65" i="8"/>
  <c r="G65" i="8"/>
  <c r="F65" i="8"/>
  <c r="E65" i="8"/>
  <c r="D65" i="8"/>
  <c r="C65" i="8"/>
  <c r="G64" i="8"/>
  <c r="G79" i="8" s="1"/>
  <c r="F64" i="8"/>
  <c r="F79" i="8" s="1"/>
  <c r="E64" i="8"/>
  <c r="E79" i="8" s="1"/>
  <c r="D64" i="8"/>
  <c r="D79" i="8" s="1"/>
  <c r="C64" i="8"/>
  <c r="C79" i="8" s="1"/>
  <c r="J63" i="8"/>
  <c r="J78" i="8" s="1"/>
  <c r="I63" i="8"/>
  <c r="B62" i="8"/>
  <c r="J60" i="8"/>
  <c r="I60" i="8"/>
  <c r="H60" i="8"/>
  <c r="G60" i="8"/>
  <c r="F60" i="8"/>
  <c r="E60" i="8"/>
  <c r="D60" i="8"/>
  <c r="C60" i="8"/>
  <c r="G59" i="8"/>
  <c r="F59" i="8"/>
  <c r="D59" i="8"/>
  <c r="C59" i="8"/>
  <c r="J58" i="8"/>
  <c r="E58" i="8"/>
  <c r="D58" i="8"/>
  <c r="C58" i="8"/>
  <c r="B57" i="8"/>
  <c r="J55" i="8"/>
  <c r="I55" i="8"/>
  <c r="H55" i="8"/>
  <c r="G55" i="8"/>
  <c r="D55" i="8"/>
  <c r="C55" i="8"/>
  <c r="H54" i="8"/>
  <c r="G54" i="8"/>
  <c r="F54" i="8"/>
  <c r="E54" i="8"/>
  <c r="D54" i="8"/>
  <c r="C54" i="8"/>
  <c r="I53" i="8"/>
  <c r="H53" i="8"/>
  <c r="G53" i="8"/>
  <c r="F53" i="8"/>
  <c r="E53" i="8"/>
  <c r="D53" i="8"/>
  <c r="C53" i="8"/>
  <c r="B52" i="8"/>
  <c r="J42" i="8"/>
  <c r="J64" i="8" s="1"/>
  <c r="J79" i="8" s="1"/>
  <c r="I42" i="8"/>
  <c r="I64" i="8" s="1"/>
  <c r="I79" i="8" s="1"/>
  <c r="H42" i="8"/>
  <c r="H64" i="8" s="1"/>
  <c r="H79" i="8" s="1"/>
  <c r="G42" i="8"/>
  <c r="F42" i="8"/>
  <c r="E42" i="8"/>
  <c r="D42" i="8"/>
  <c r="C42" i="8"/>
  <c r="J41" i="8"/>
  <c r="I41" i="8"/>
  <c r="H41" i="8"/>
  <c r="H63" i="8" s="1"/>
  <c r="H78" i="8" s="1"/>
  <c r="G41" i="8"/>
  <c r="G63" i="8" s="1"/>
  <c r="G78" i="8" s="1"/>
  <c r="F41" i="8"/>
  <c r="F63" i="8" s="1"/>
  <c r="F78" i="8" s="1"/>
  <c r="E41" i="8"/>
  <c r="E63" i="8" s="1"/>
  <c r="E78" i="8" s="1"/>
  <c r="D41" i="8"/>
  <c r="D63" i="8" s="1"/>
  <c r="D78" i="8" s="1"/>
  <c r="C41" i="8"/>
  <c r="C63" i="8" s="1"/>
  <c r="C78" i="8" s="1"/>
  <c r="J20" i="8"/>
  <c r="J59" i="8" s="1"/>
  <c r="I20" i="8"/>
  <c r="I59" i="8" s="1"/>
  <c r="H20" i="8"/>
  <c r="H59" i="8" s="1"/>
  <c r="G20" i="8"/>
  <c r="F20" i="8"/>
  <c r="E20" i="8"/>
  <c r="E59" i="8" s="1"/>
  <c r="D20" i="8"/>
  <c r="C20" i="8"/>
  <c r="J19" i="8"/>
  <c r="I19" i="8"/>
  <c r="I58" i="8" s="1"/>
  <c r="H19" i="8"/>
  <c r="H58" i="8" s="1"/>
  <c r="G19" i="8"/>
  <c r="G58" i="8" s="1"/>
  <c r="F19" i="8"/>
  <c r="F58" i="8" s="1"/>
  <c r="E19" i="8"/>
  <c r="D19" i="8"/>
  <c r="C19" i="8"/>
  <c r="AO18" i="8"/>
  <c r="AN18" i="8"/>
  <c r="AM18" i="8"/>
  <c r="AL18" i="8"/>
  <c r="AH18" i="8"/>
  <c r="AM17" i="8"/>
  <c r="AL17" i="8"/>
  <c r="AK17" i="8"/>
  <c r="AJ17" i="8"/>
  <c r="AI17" i="8"/>
  <c r="AH17" i="8"/>
  <c r="AO16" i="8"/>
  <c r="AN16" i="8"/>
  <c r="AL16" i="8"/>
  <c r="AK16" i="8"/>
  <c r="AJ16" i="8"/>
  <c r="AI16" i="8"/>
  <c r="AH16" i="8"/>
  <c r="AO15" i="8"/>
  <c r="AN15" i="8"/>
  <c r="AL15" i="8"/>
  <c r="AK15" i="8"/>
  <c r="AJ15" i="8"/>
  <c r="AI15" i="8"/>
  <c r="AH15" i="8"/>
  <c r="AO14" i="8"/>
  <c r="AN14" i="8"/>
  <c r="AL14" i="8"/>
  <c r="AK14" i="8"/>
  <c r="AJ14" i="8"/>
  <c r="AI14" i="8"/>
  <c r="AH14" i="8"/>
  <c r="AO13" i="8"/>
  <c r="AN13" i="8"/>
  <c r="AM13" i="8"/>
  <c r="AL13" i="8"/>
  <c r="AK13" i="8"/>
  <c r="AJ13" i="8"/>
  <c r="AI13" i="8"/>
  <c r="AH13" i="8"/>
  <c r="AN12" i="8"/>
  <c r="AM12" i="8"/>
  <c r="AL12" i="8"/>
  <c r="AK12" i="8"/>
  <c r="AJ12" i="8"/>
  <c r="AI12" i="8"/>
  <c r="AH12" i="8"/>
  <c r="AN11" i="8"/>
  <c r="AM11" i="8"/>
  <c r="AL11" i="8"/>
  <c r="AK11" i="8"/>
  <c r="AJ11" i="8"/>
  <c r="AI11" i="8"/>
  <c r="AH11" i="8"/>
  <c r="AA17" i="8" l="1"/>
  <c r="Q17" i="8" s="1"/>
  <c r="AD15" i="8"/>
  <c r="T15" i="8" s="1"/>
  <c r="AA17" i="9"/>
  <c r="Q17" i="9" s="1"/>
  <c r="AE17" i="9"/>
  <c r="U17" i="9" s="1"/>
  <c r="AA14" i="9"/>
  <c r="Q14" i="9" s="1"/>
  <c r="AA12" i="9"/>
  <c r="Q12" i="9" s="1"/>
  <c r="Y18" i="9"/>
  <c r="O18" i="9" s="1"/>
  <c r="AB17" i="8"/>
  <c r="R17" i="8" s="1"/>
  <c r="AA15" i="9"/>
  <c r="Q15" i="9" s="1"/>
  <c r="Q20" i="9" s="1"/>
  <c r="F69" i="9" s="1"/>
  <c r="X31" i="9"/>
  <c r="N31" i="9" s="1"/>
  <c r="Z33" i="8"/>
  <c r="P33" i="8" s="1"/>
  <c r="Y39" i="9"/>
  <c r="O39" i="9" s="1"/>
  <c r="AA27" i="8"/>
  <c r="Q27" i="8" s="1"/>
  <c r="AA33" i="8"/>
  <c r="Q33" i="8" s="1"/>
  <c r="AD39" i="8"/>
  <c r="T39" i="8" s="1"/>
  <c r="AE39" i="8"/>
  <c r="U39" i="8" s="1"/>
  <c r="AC35" i="8"/>
  <c r="S35" i="8" s="1"/>
  <c r="AB37" i="9"/>
  <c r="R37" i="9" s="1"/>
  <c r="AB27" i="8"/>
  <c r="R27" i="8" s="1"/>
  <c r="Y37" i="9"/>
  <c r="O37" i="9" s="1"/>
  <c r="AC27" i="8"/>
  <c r="S27" i="8" s="1"/>
  <c r="Z37" i="9"/>
  <c r="P37" i="9" s="1"/>
  <c r="AA37" i="9"/>
  <c r="Q37" i="9" s="1"/>
  <c r="X39" i="9"/>
  <c r="N39" i="9" s="1"/>
  <c r="Z39" i="9"/>
  <c r="P39" i="9" s="1"/>
  <c r="Z27" i="8"/>
  <c r="P27" i="8" s="1"/>
  <c r="AB31" i="8"/>
  <c r="R31" i="8" s="1"/>
  <c r="Z29" i="9"/>
  <c r="P29" i="9" s="1"/>
  <c r="AE31" i="8"/>
  <c r="U31" i="8" s="1"/>
  <c r="AA29" i="9"/>
  <c r="Q29" i="9" s="1"/>
  <c r="Y33" i="8"/>
  <c r="O33" i="8" s="1"/>
  <c r="AA31" i="9"/>
  <c r="Q31" i="9" s="1"/>
  <c r="AA35" i="8"/>
  <c r="Q35" i="8" s="1"/>
  <c r="AA29" i="8"/>
  <c r="Q29" i="8" s="1"/>
  <c r="AD35" i="8"/>
  <c r="T35" i="8" s="1"/>
  <c r="X33" i="9"/>
  <c r="N33" i="9" s="1"/>
  <c r="AC29" i="8"/>
  <c r="S29" i="8" s="1"/>
  <c r="AE35" i="8"/>
  <c r="U35" i="8" s="1"/>
  <c r="Y33" i="9"/>
  <c r="O33" i="9" s="1"/>
  <c r="AD29" i="8"/>
  <c r="T29" i="8" s="1"/>
  <c r="X37" i="8"/>
  <c r="N37" i="8" s="1"/>
  <c r="Z33" i="9"/>
  <c r="P33" i="9" s="1"/>
  <c r="X29" i="8"/>
  <c r="N29" i="8" s="1"/>
  <c r="AA39" i="9"/>
  <c r="Q39" i="9" s="1"/>
  <c r="Y29" i="8"/>
  <c r="O29" i="8" s="1"/>
  <c r="X31" i="8"/>
  <c r="N31" i="8" s="1"/>
  <c r="X35" i="9"/>
  <c r="N35" i="9" s="1"/>
  <c r="AE25" i="9"/>
  <c r="U25" i="9" s="1"/>
  <c r="AA39" i="8"/>
  <c r="Q39" i="8" s="1"/>
  <c r="Y35" i="8"/>
  <c r="O35" i="8" s="1"/>
  <c r="X25" i="8"/>
  <c r="N25" i="8" s="1"/>
  <c r="Z37" i="8"/>
  <c r="P37" i="8" s="1"/>
  <c r="Y31" i="8"/>
  <c r="O31" i="8" s="1"/>
  <c r="Y35" i="9"/>
  <c r="O35" i="9" s="1"/>
  <c r="Z31" i="8"/>
  <c r="P31" i="8" s="1"/>
  <c r="AB37" i="8"/>
  <c r="R37" i="8" s="1"/>
  <c r="AA31" i="8"/>
  <c r="Q31" i="8" s="1"/>
  <c r="AA35" i="9"/>
  <c r="Q35" i="9" s="1"/>
  <c r="Z39" i="8"/>
  <c r="P39" i="8" s="1"/>
  <c r="AB39" i="8"/>
  <c r="R39" i="8" s="1"/>
  <c r="Y27" i="9"/>
  <c r="O27" i="9" s="1"/>
  <c r="X37" i="9"/>
  <c r="N37" i="9" s="1"/>
  <c r="AD39" i="9"/>
  <c r="T39" i="9" s="1"/>
  <c r="Y39" i="8"/>
  <c r="O39" i="8" s="1"/>
  <c r="AC25" i="8"/>
  <c r="S25" i="8" s="1"/>
  <c r="AE27" i="8"/>
  <c r="U27" i="8" s="1"/>
  <c r="AB33" i="8"/>
  <c r="R33" i="8" s="1"/>
  <c r="Y25" i="8"/>
  <c r="O25" i="8" s="1"/>
  <c r="AA37" i="8"/>
  <c r="Q37" i="8" s="1"/>
  <c r="Z25" i="8"/>
  <c r="P25" i="8" s="1"/>
  <c r="Z35" i="9"/>
  <c r="P35" i="9" s="1"/>
  <c r="AA25" i="8"/>
  <c r="Q25" i="8" s="1"/>
  <c r="AC37" i="8"/>
  <c r="S37" i="8" s="1"/>
  <c r="X27" i="9"/>
  <c r="N27" i="9" s="1"/>
  <c r="AB25" i="8"/>
  <c r="R25" i="8" s="1"/>
  <c r="Y27" i="8"/>
  <c r="O27" i="8" s="1"/>
  <c r="AC31" i="8"/>
  <c r="S31" i="8" s="1"/>
  <c r="AC39" i="8"/>
  <c r="S39" i="8" s="1"/>
  <c r="Y29" i="9"/>
  <c r="O29" i="9" s="1"/>
  <c r="X39" i="8"/>
  <c r="N39" i="8" s="1"/>
  <c r="AB15" i="8"/>
  <c r="R15" i="8" s="1"/>
  <c r="AE13" i="8"/>
  <c r="U13" i="8" s="1"/>
  <c r="X14" i="8"/>
  <c r="N14" i="8" s="1"/>
  <c r="Z12" i="8"/>
  <c r="P12" i="8" s="1"/>
  <c r="Z14" i="8"/>
  <c r="P14" i="8" s="1"/>
  <c r="AB13" i="9"/>
  <c r="R13" i="9" s="1"/>
  <c r="AB16" i="9"/>
  <c r="R16" i="9" s="1"/>
  <c r="AA14" i="8"/>
  <c r="Q14" i="8" s="1"/>
  <c r="AC12" i="8"/>
  <c r="S12" i="8" s="1"/>
  <c r="X18" i="8"/>
  <c r="N18" i="8" s="1"/>
  <c r="X16" i="8"/>
  <c r="N16" i="8" s="1"/>
  <c r="AD11" i="8"/>
  <c r="T11" i="8" s="1"/>
  <c r="AB18" i="8"/>
  <c r="R18" i="8" s="1"/>
  <c r="AA12" i="8"/>
  <c r="Q12" i="8" s="1"/>
  <c r="AB12" i="8"/>
  <c r="R12" i="8" s="1"/>
  <c r="AB14" i="8"/>
  <c r="R14" i="8" s="1"/>
  <c r="AE18" i="8"/>
  <c r="U18" i="8" s="1"/>
  <c r="X12" i="8"/>
  <c r="N12" i="8" s="1"/>
  <c r="Y16" i="8"/>
  <c r="O16" i="8" s="1"/>
  <c r="Y14" i="8"/>
  <c r="O14" i="8" s="1"/>
  <c r="AE11" i="8"/>
  <c r="U11" i="8" s="1"/>
  <c r="Y12" i="8"/>
  <c r="O12" i="8" s="1"/>
  <c r="AE15" i="8"/>
  <c r="U15" i="8" s="1"/>
  <c r="AC17" i="8"/>
  <c r="S17" i="8" s="1"/>
  <c r="AC16" i="8"/>
  <c r="S16" i="8" s="1"/>
  <c r="AD12" i="8"/>
  <c r="T12" i="8" s="1"/>
  <c r="AD14" i="8"/>
  <c r="T14" i="8" s="1"/>
  <c r="AC18" i="8"/>
  <c r="S18" i="8" s="1"/>
  <c r="X13" i="8"/>
  <c r="N13" i="8" s="1"/>
  <c r="AD18" i="8"/>
  <c r="T18" i="8" s="1"/>
  <c r="Y13" i="8"/>
  <c r="O13" i="8" s="1"/>
  <c r="D70" i="8" s="1"/>
  <c r="AC11" i="9"/>
  <c r="S11" i="9" s="1"/>
  <c r="Z16" i="8"/>
  <c r="P16" i="8" s="1"/>
  <c r="AE14" i="8"/>
  <c r="U14" i="8" s="1"/>
  <c r="AA16" i="8"/>
  <c r="Q16" i="8" s="1"/>
  <c r="AB16" i="8"/>
  <c r="R16" i="8" s="1"/>
  <c r="X11" i="8"/>
  <c r="N11" i="8" s="1"/>
  <c r="X15" i="8"/>
  <c r="N15" i="8" s="1"/>
  <c r="AD16" i="8"/>
  <c r="T16" i="8" s="1"/>
  <c r="AC13" i="9"/>
  <c r="S13" i="9" s="1"/>
  <c r="AC16" i="9"/>
  <c r="S16" i="9" s="1"/>
  <c r="Y11" i="8"/>
  <c r="O11" i="8" s="1"/>
  <c r="Z13" i="8"/>
  <c r="P13" i="8" s="1"/>
  <c r="Y15" i="8"/>
  <c r="O15" i="8" s="1"/>
  <c r="AE16" i="8"/>
  <c r="U16" i="8" s="1"/>
  <c r="AD13" i="9"/>
  <c r="T13" i="9" s="1"/>
  <c r="AD16" i="9"/>
  <c r="T16" i="9" s="1"/>
  <c r="Z11" i="8"/>
  <c r="P11" i="8" s="1"/>
  <c r="P20" i="8" s="1"/>
  <c r="E69" i="8" s="1"/>
  <c r="AA13" i="8"/>
  <c r="Q13" i="8" s="1"/>
  <c r="AA11" i="8"/>
  <c r="Q11" i="8" s="1"/>
  <c r="AB13" i="8"/>
  <c r="R13" i="8" s="1"/>
  <c r="AB11" i="8"/>
  <c r="R11" i="8" s="1"/>
  <c r="AC13" i="8"/>
  <c r="S13" i="8" s="1"/>
  <c r="Z15" i="8"/>
  <c r="P15" i="8" s="1"/>
  <c r="Y17" i="8"/>
  <c r="O17" i="8" s="1"/>
  <c r="Y14" i="9"/>
  <c r="O14" i="9" s="1"/>
  <c r="Y17" i="9"/>
  <c r="O17" i="9" s="1"/>
  <c r="AD11" i="9"/>
  <c r="T11" i="9" s="1"/>
  <c r="AC11" i="8"/>
  <c r="S11" i="8" s="1"/>
  <c r="AD13" i="8"/>
  <c r="T13" i="8" s="1"/>
  <c r="AA15" i="8"/>
  <c r="Q15" i="8" s="1"/>
  <c r="Z17" i="8"/>
  <c r="P17" i="8" s="1"/>
  <c r="X25" i="9"/>
  <c r="N25" i="9" s="1"/>
  <c r="AH11" i="9"/>
  <c r="AL12" i="9"/>
  <c r="AB12" i="9" s="1"/>
  <c r="R12" i="9" s="1"/>
  <c r="AL15" i="9"/>
  <c r="AB15" i="9" s="1"/>
  <c r="R15" i="9" s="1"/>
  <c r="Y25" i="9"/>
  <c r="O25" i="9" s="1"/>
  <c r="AI11" i="9"/>
  <c r="Y11" i="9" s="1"/>
  <c r="O11" i="9" s="1"/>
  <c r="AM12" i="9"/>
  <c r="AC12" i="9" s="1"/>
  <c r="S12" i="9" s="1"/>
  <c r="AM15" i="9"/>
  <c r="AC15" i="9" s="1"/>
  <c r="S15" i="9" s="1"/>
  <c r="AB35" i="9"/>
  <c r="R35" i="9" s="1"/>
  <c r="AJ11" i="9"/>
  <c r="Z11" i="9" s="1"/>
  <c r="P11" i="9" s="1"/>
  <c r="AN12" i="9"/>
  <c r="AD12" i="9" s="1"/>
  <c r="T12" i="9" s="1"/>
  <c r="AN15" i="9"/>
  <c r="AD15" i="9" s="1"/>
  <c r="T15" i="9" s="1"/>
  <c r="AO12" i="9"/>
  <c r="AO15" i="9"/>
  <c r="AM14" i="9"/>
  <c r="AC14" i="9" s="1"/>
  <c r="S14" i="9" s="1"/>
  <c r="AL17" i="9"/>
  <c r="AB17" i="9" s="1"/>
  <c r="R17" i="9" s="1"/>
  <c r="AE27" i="9"/>
  <c r="U27" i="9" s="1"/>
  <c r="G54" i="9"/>
  <c r="Z18" i="9"/>
  <c r="P18" i="9" s="1"/>
  <c r="AL14" i="9"/>
  <c r="AB14" i="9" s="1"/>
  <c r="R14" i="9" s="1"/>
  <c r="AN14" i="9"/>
  <c r="AD14" i="9" s="1"/>
  <c r="T14" i="9" s="1"/>
  <c r="AM17" i="9"/>
  <c r="AC17" i="9" s="1"/>
  <c r="S17" i="9" s="1"/>
  <c r="AE33" i="9"/>
  <c r="U33" i="9" s="1"/>
  <c r="AN17" i="9"/>
  <c r="AD17" i="9" s="1"/>
  <c r="T17" i="9" s="1"/>
  <c r="AE29" i="8"/>
  <c r="U29" i="8" s="1"/>
  <c r="AC33" i="8"/>
  <c r="S33" i="8" s="1"/>
  <c r="AE37" i="8"/>
  <c r="U37" i="8" s="1"/>
  <c r="F55" i="8"/>
  <c r="AI18" i="8"/>
  <c r="Y18" i="8" s="1"/>
  <c r="O18" i="8" s="1"/>
  <c r="AO12" i="8"/>
  <c r="AE12" i="8" s="1"/>
  <c r="U12" i="8" s="1"/>
  <c r="AJ18" i="8"/>
  <c r="Z18" i="8" s="1"/>
  <c r="P18" i="8" s="1"/>
  <c r="AK18" i="8"/>
  <c r="AA18" i="8" s="1"/>
  <c r="Q18" i="8" s="1"/>
  <c r="AD33" i="8"/>
  <c r="T33" i="8" s="1"/>
  <c r="AE33" i="8"/>
  <c r="U33" i="8" s="1"/>
  <c r="E55" i="8"/>
  <c r="AN17" i="8"/>
  <c r="AD17" i="8" s="1"/>
  <c r="T17" i="8" s="1"/>
  <c r="AM14" i="8"/>
  <c r="AC14" i="8" s="1"/>
  <c r="S14" i="8" s="1"/>
  <c r="AM15" i="8"/>
  <c r="AC15" i="8" s="1"/>
  <c r="S15" i="8" s="1"/>
  <c r="AO17" i="8"/>
  <c r="AE17" i="8" s="1"/>
  <c r="U17" i="8" s="1"/>
  <c r="J53" i="8"/>
  <c r="X11" i="9"/>
  <c r="N11" i="9" s="1"/>
  <c r="Z12" i="9"/>
  <c r="P12" i="9" s="1"/>
  <c r="Z15" i="9"/>
  <c r="P15" i="9" s="1"/>
  <c r="AD18" i="9"/>
  <c r="T18" i="9" s="1"/>
  <c r="Z25" i="9"/>
  <c r="P25" i="9" s="1"/>
  <c r="Z27" i="9"/>
  <c r="P27" i="9" s="1"/>
  <c r="AB29" i="9"/>
  <c r="R29" i="9" s="1"/>
  <c r="AB31" i="9"/>
  <c r="R31" i="9" s="1"/>
  <c r="AA33" i="9"/>
  <c r="Q33" i="9" s="1"/>
  <c r="AB39" i="9"/>
  <c r="R39" i="9" s="1"/>
  <c r="AE12" i="9"/>
  <c r="U12" i="9" s="1"/>
  <c r="X13" i="9"/>
  <c r="N13" i="9" s="1"/>
  <c r="X14" i="9"/>
  <c r="N14" i="9" s="1"/>
  <c r="AE15" i="9"/>
  <c r="U15" i="9" s="1"/>
  <c r="X16" i="9"/>
  <c r="N16" i="9" s="1"/>
  <c r="AA25" i="9"/>
  <c r="Q25" i="9" s="1"/>
  <c r="AA27" i="9"/>
  <c r="Q27" i="9" s="1"/>
  <c r="AC29" i="9"/>
  <c r="S29" i="9" s="1"/>
  <c r="AC31" i="9"/>
  <c r="S31" i="9" s="1"/>
  <c r="AB33" i="9"/>
  <c r="R33" i="9" s="1"/>
  <c r="AD35" i="9"/>
  <c r="T35" i="9" s="1"/>
  <c r="AD37" i="9"/>
  <c r="T37" i="9" s="1"/>
  <c r="AC39" i="9"/>
  <c r="S39" i="9" s="1"/>
  <c r="Z13" i="9"/>
  <c r="P13" i="9" s="1"/>
  <c r="Z14" i="9"/>
  <c r="P14" i="9" s="1"/>
  <c r="X15" i="9"/>
  <c r="N15" i="9" s="1"/>
  <c r="Z16" i="9"/>
  <c r="P16" i="9" s="1"/>
  <c r="AB25" i="9"/>
  <c r="R25" i="9" s="1"/>
  <c r="AB27" i="9"/>
  <c r="R27" i="9" s="1"/>
  <c r="AD29" i="9"/>
  <c r="T29" i="9" s="1"/>
  <c r="AD31" i="9"/>
  <c r="T31" i="9" s="1"/>
  <c r="AC33" i="9"/>
  <c r="S33" i="9" s="1"/>
  <c r="AE35" i="9"/>
  <c r="U35" i="9" s="1"/>
  <c r="AE37" i="9"/>
  <c r="U37" i="9" s="1"/>
  <c r="AE11" i="9"/>
  <c r="U11" i="9" s="1"/>
  <c r="AC18" i="9"/>
  <c r="S18" i="9" s="1"/>
  <c r="AC35" i="9"/>
  <c r="S35" i="9" s="1"/>
  <c r="AA11" i="9"/>
  <c r="Q11" i="9" s="1"/>
  <c r="Y12" i="9"/>
  <c r="O12" i="9" s="1"/>
  <c r="AE13" i="9"/>
  <c r="U13" i="9" s="1"/>
  <c r="AE14" i="9"/>
  <c r="U14" i="9" s="1"/>
  <c r="Y15" i="9"/>
  <c r="O15" i="9" s="1"/>
  <c r="AE16" i="9"/>
  <c r="U16" i="9" s="1"/>
  <c r="X17" i="9"/>
  <c r="N17" i="9" s="1"/>
  <c r="X18" i="9"/>
  <c r="N18" i="9" s="1"/>
  <c r="AC25" i="9"/>
  <c r="S25" i="9" s="1"/>
  <c r="AC27" i="9"/>
  <c r="S27" i="9" s="1"/>
  <c r="AE29" i="9"/>
  <c r="U29" i="9" s="1"/>
  <c r="AE31" i="9"/>
  <c r="U31" i="9" s="1"/>
  <c r="AD33" i="9"/>
  <c r="T33" i="9" s="1"/>
  <c r="AE39" i="9"/>
  <c r="U39" i="9" s="1"/>
  <c r="X12" i="9"/>
  <c r="N12" i="9" s="1"/>
  <c r="AC37" i="9"/>
  <c r="S37" i="9" s="1"/>
  <c r="AB11" i="9"/>
  <c r="R11" i="9" s="1"/>
  <c r="Z17" i="9"/>
  <c r="P17" i="9" s="1"/>
  <c r="AD25" i="9"/>
  <c r="T25" i="9" s="1"/>
  <c r="AD27" i="9"/>
  <c r="T27" i="9" s="1"/>
  <c r="AE25" i="8"/>
  <c r="U25" i="8" s="1"/>
  <c r="Z29" i="8"/>
  <c r="P29" i="8" s="1"/>
  <c r="AD31" i="8"/>
  <c r="T31" i="8" s="1"/>
  <c r="Z35" i="8"/>
  <c r="P35" i="8" s="1"/>
  <c r="AD37" i="8"/>
  <c r="T37" i="8" s="1"/>
  <c r="X27" i="8"/>
  <c r="N27" i="8" s="1"/>
  <c r="AB29" i="8"/>
  <c r="R29" i="8" s="1"/>
  <c r="AB35" i="8"/>
  <c r="R35" i="8" s="1"/>
  <c r="X33" i="8"/>
  <c r="N33" i="8" s="1"/>
  <c r="AD25" i="8"/>
  <c r="T25" i="8" s="1"/>
  <c r="AD27" i="8"/>
  <c r="T27" i="8" s="1"/>
  <c r="X35" i="8"/>
  <c r="N35" i="8" s="1"/>
  <c r="O20" i="8" l="1"/>
  <c r="D69" i="8" s="1"/>
  <c r="U20" i="8"/>
  <c r="J69" i="8" s="1"/>
  <c r="R20" i="9"/>
  <c r="G69" i="9" s="1"/>
  <c r="F70" i="8"/>
  <c r="Q19" i="9"/>
  <c r="F68" i="9" s="1"/>
  <c r="U19" i="9"/>
  <c r="J68" i="9" s="1"/>
  <c r="E70" i="8"/>
  <c r="F75" i="8"/>
  <c r="Q41" i="8"/>
  <c r="F73" i="8" s="1"/>
  <c r="E75" i="9"/>
  <c r="D75" i="8"/>
  <c r="F82" i="8"/>
  <c r="H75" i="8"/>
  <c r="R41" i="8"/>
  <c r="R53" i="8" s="1"/>
  <c r="S42" i="8"/>
  <c r="H74" i="8" s="1"/>
  <c r="Q42" i="9"/>
  <c r="F74" i="9" s="1"/>
  <c r="N41" i="9"/>
  <c r="N54" i="9" s="1"/>
  <c r="Q42" i="8"/>
  <c r="F74" i="8" s="1"/>
  <c r="D75" i="9"/>
  <c r="F83" i="8"/>
  <c r="P41" i="9"/>
  <c r="E73" i="9" s="1"/>
  <c r="O41" i="8"/>
  <c r="O53" i="8" s="1"/>
  <c r="U42" i="8"/>
  <c r="J74" i="8" s="1"/>
  <c r="R41" i="9"/>
  <c r="R53" i="9" s="1"/>
  <c r="S41" i="8"/>
  <c r="S54" i="8" s="1"/>
  <c r="O42" i="8"/>
  <c r="D74" i="8" s="1"/>
  <c r="O41" i="9"/>
  <c r="O53" i="9" s="1"/>
  <c r="C75" i="9"/>
  <c r="O42" i="9"/>
  <c r="D74" i="9" s="1"/>
  <c r="S42" i="9"/>
  <c r="H74" i="9" s="1"/>
  <c r="N42" i="9"/>
  <c r="C74" i="9" s="1"/>
  <c r="F83" i="9"/>
  <c r="U41" i="8"/>
  <c r="U54" i="8" s="1"/>
  <c r="Q20" i="8"/>
  <c r="F69" i="8" s="1"/>
  <c r="F70" i="9"/>
  <c r="Q19" i="8"/>
  <c r="F68" i="8" s="1"/>
  <c r="D83" i="8"/>
  <c r="U19" i="8"/>
  <c r="J68" i="8" s="1"/>
  <c r="C70" i="8"/>
  <c r="I70" i="8"/>
  <c r="O19" i="8"/>
  <c r="D68" i="8" s="1"/>
  <c r="P19" i="8"/>
  <c r="E68" i="8" s="1"/>
  <c r="G70" i="8"/>
  <c r="S19" i="8"/>
  <c r="H68" i="8" s="1"/>
  <c r="R20" i="8"/>
  <c r="G69" i="8" s="1"/>
  <c r="R19" i="9"/>
  <c r="G68" i="9" s="1"/>
  <c r="G70" i="9"/>
  <c r="R19" i="8"/>
  <c r="G68" i="8" s="1"/>
  <c r="D83" i="9"/>
  <c r="T19" i="8"/>
  <c r="I68" i="8" s="1"/>
  <c r="N19" i="9"/>
  <c r="N19" i="8"/>
  <c r="C68" i="8" s="1"/>
  <c r="N20" i="8"/>
  <c r="S20" i="8"/>
  <c r="H69" i="8" s="1"/>
  <c r="P19" i="9"/>
  <c r="E68" i="9" s="1"/>
  <c r="T20" i="8"/>
  <c r="I69" i="8" s="1"/>
  <c r="T20" i="9"/>
  <c r="I69" i="9" s="1"/>
  <c r="D82" i="8"/>
  <c r="J70" i="8"/>
  <c r="H70" i="9"/>
  <c r="S20" i="9"/>
  <c r="H69" i="9" s="1"/>
  <c r="T19" i="9"/>
  <c r="I68" i="9" s="1"/>
  <c r="T42" i="9"/>
  <c r="I74" i="9" s="1"/>
  <c r="J75" i="9"/>
  <c r="P20" i="9"/>
  <c r="E69" i="9" s="1"/>
  <c r="I75" i="9"/>
  <c r="R42" i="9"/>
  <c r="G74" i="9" s="1"/>
  <c r="U42" i="9"/>
  <c r="J74" i="9" s="1"/>
  <c r="H75" i="9"/>
  <c r="U20" i="9"/>
  <c r="J69" i="9" s="1"/>
  <c r="O19" i="9"/>
  <c r="D68" i="9" s="1"/>
  <c r="O20" i="9"/>
  <c r="D69" i="9" s="1"/>
  <c r="T41" i="9"/>
  <c r="T54" i="9" s="1"/>
  <c r="C70" i="9"/>
  <c r="H70" i="8"/>
  <c r="P42" i="8"/>
  <c r="E74" i="8" s="1"/>
  <c r="J75" i="8"/>
  <c r="S41" i="9"/>
  <c r="S54" i="9" s="1"/>
  <c r="D70" i="9"/>
  <c r="D82" i="9"/>
  <c r="S19" i="9"/>
  <c r="H68" i="9" s="1"/>
  <c r="P42" i="9"/>
  <c r="E74" i="9" s="1"/>
  <c r="U43" i="9"/>
  <c r="G75" i="9"/>
  <c r="F82" i="9"/>
  <c r="E70" i="9"/>
  <c r="N20" i="9"/>
  <c r="Q41" i="9"/>
  <c r="Q54" i="9" s="1"/>
  <c r="I70" i="9"/>
  <c r="F75" i="9"/>
  <c r="J70" i="9"/>
  <c r="U41" i="9"/>
  <c r="U53" i="9" s="1"/>
  <c r="P41" i="8"/>
  <c r="E73" i="8" s="1"/>
  <c r="I75" i="8"/>
  <c r="R42" i="8"/>
  <c r="G74" i="8" s="1"/>
  <c r="U43" i="8"/>
  <c r="E75" i="8"/>
  <c r="N41" i="8"/>
  <c r="N54" i="8" s="1"/>
  <c r="G75" i="8"/>
  <c r="N42" i="8"/>
  <c r="C74" i="8" s="1"/>
  <c r="T41" i="8"/>
  <c r="C75" i="8"/>
  <c r="T42" i="8"/>
  <c r="I74" i="8" s="1"/>
  <c r="C68" i="9"/>
  <c r="Q54" i="8" l="1"/>
  <c r="Q53" i="8"/>
  <c r="I73" i="9"/>
  <c r="U53" i="8"/>
  <c r="P53" i="9"/>
  <c r="S53" i="8"/>
  <c r="S53" i="9"/>
  <c r="H73" i="9"/>
  <c r="T53" i="9"/>
  <c r="H73" i="8"/>
  <c r="D73" i="8"/>
  <c r="O54" i="8"/>
  <c r="N53" i="9"/>
  <c r="C73" i="9"/>
  <c r="P54" i="9"/>
  <c r="R54" i="9"/>
  <c r="G73" i="9"/>
  <c r="R54" i="8"/>
  <c r="G73" i="8"/>
  <c r="J73" i="8"/>
  <c r="R43" i="9"/>
  <c r="R50" i="9" s="1"/>
  <c r="S50" i="9" s="1"/>
  <c r="J73" i="9"/>
  <c r="O54" i="9"/>
  <c r="D73" i="9"/>
  <c r="Q53" i="9"/>
  <c r="R21" i="8"/>
  <c r="N21" i="8"/>
  <c r="C69" i="8"/>
  <c r="R21" i="9"/>
  <c r="U54" i="9"/>
  <c r="F73" i="9"/>
  <c r="C69" i="9"/>
  <c r="N21" i="9"/>
  <c r="N43" i="9"/>
  <c r="R43" i="8"/>
  <c r="R48" i="8" s="1"/>
  <c r="S48" i="8" s="1"/>
  <c r="P53" i="8"/>
  <c r="P54" i="8"/>
  <c r="N43" i="8"/>
  <c r="N53" i="8"/>
  <c r="C73" i="8"/>
  <c r="T53" i="8"/>
  <c r="I73" i="8"/>
  <c r="T54" i="8"/>
  <c r="R48" i="9" l="1"/>
  <c r="S48" i="9" s="1"/>
  <c r="R47" i="9"/>
  <c r="S47" i="9" s="1"/>
  <c r="R49" i="9"/>
  <c r="S49" i="9" s="1"/>
  <c r="N55" i="9"/>
  <c r="R49" i="8"/>
  <c r="S49" i="8" s="1"/>
  <c r="N55" i="8"/>
  <c r="R50" i="8"/>
  <c r="S50" i="8" s="1"/>
  <c r="R47" i="8"/>
  <c r="S47" i="8" s="1"/>
  <c r="AB25" i="3" l="1"/>
  <c r="AA25" i="3"/>
  <c r="Z25" i="3"/>
  <c r="Y25" i="3"/>
  <c r="X25" i="3"/>
  <c r="AE25" i="3"/>
  <c r="AD25" i="3"/>
  <c r="AC25" i="3"/>
  <c r="AO11" i="3"/>
  <c r="AN11" i="3"/>
  <c r="AM11" i="3"/>
  <c r="AL11" i="3"/>
  <c r="AK11" i="3"/>
  <c r="AJ11" i="3"/>
  <c r="AI11" i="3"/>
  <c r="AH11" i="3"/>
  <c r="J53" i="3"/>
  <c r="C53" i="3"/>
  <c r="I53" i="3"/>
  <c r="H53" i="3"/>
  <c r="G53" i="3"/>
  <c r="F53" i="3"/>
  <c r="E53" i="3"/>
  <c r="D53" i="3"/>
  <c r="J42" i="3" l="1"/>
  <c r="J41" i="3"/>
  <c r="I42" i="3"/>
  <c r="I41" i="3"/>
  <c r="H42" i="3"/>
  <c r="H41" i="3"/>
  <c r="G42" i="3"/>
  <c r="G41" i="3"/>
  <c r="F42" i="3"/>
  <c r="F41" i="3"/>
  <c r="E42" i="3"/>
  <c r="E41" i="3"/>
  <c r="D42" i="3"/>
  <c r="D41" i="3"/>
  <c r="C42" i="3"/>
  <c r="C41" i="3"/>
  <c r="J20" i="3"/>
  <c r="J19" i="3"/>
  <c r="I20" i="3"/>
  <c r="I19" i="3"/>
  <c r="H20" i="3"/>
  <c r="H19" i="3"/>
  <c r="G20" i="3"/>
  <c r="G19" i="3"/>
  <c r="F20" i="3"/>
  <c r="F19" i="3"/>
  <c r="E20" i="3"/>
  <c r="E19" i="3"/>
  <c r="D20" i="3"/>
  <c r="D19" i="3"/>
  <c r="C20" i="3"/>
  <c r="C19" i="3"/>
  <c r="E83" i="3" l="1"/>
  <c r="G83" i="3" s="1"/>
  <c r="E82" i="3"/>
  <c r="G82" i="3" s="1"/>
  <c r="C82" i="3"/>
  <c r="C83" i="3"/>
  <c r="B81" i="3"/>
  <c r="C63" i="3" l="1"/>
  <c r="C78" i="3" s="1"/>
  <c r="C65" i="3"/>
  <c r="D65" i="3"/>
  <c r="E65" i="3"/>
  <c r="F65" i="3"/>
  <c r="G65" i="3"/>
  <c r="H65" i="3"/>
  <c r="I65" i="3"/>
  <c r="J65" i="3"/>
  <c r="D60" i="3"/>
  <c r="E60" i="3"/>
  <c r="F60" i="3"/>
  <c r="G60" i="3"/>
  <c r="H60" i="3"/>
  <c r="I60" i="3"/>
  <c r="J60" i="3"/>
  <c r="C60" i="3"/>
  <c r="B77" i="3" l="1"/>
  <c r="B72" i="3"/>
  <c r="B67" i="3"/>
  <c r="B62" i="3"/>
  <c r="B57" i="3"/>
  <c r="B52" i="3"/>
  <c r="AE37" i="3"/>
  <c r="U37" i="3" s="1"/>
  <c r="AD37" i="3"/>
  <c r="T37" i="3" s="1"/>
  <c r="AC37" i="3"/>
  <c r="S37" i="3" s="1"/>
  <c r="AB37" i="3"/>
  <c r="R37" i="3" s="1"/>
  <c r="AA37" i="3"/>
  <c r="Q37" i="3" s="1"/>
  <c r="Z37" i="3"/>
  <c r="P37" i="3" s="1"/>
  <c r="Y37" i="3"/>
  <c r="O37" i="3" s="1"/>
  <c r="X37" i="3"/>
  <c r="N37" i="3" s="1"/>
  <c r="AE35" i="3"/>
  <c r="U35" i="3" s="1"/>
  <c r="AD35" i="3"/>
  <c r="T35" i="3" s="1"/>
  <c r="AC35" i="3"/>
  <c r="S35" i="3" s="1"/>
  <c r="AB35" i="3"/>
  <c r="R35" i="3" s="1"/>
  <c r="AA35" i="3"/>
  <c r="Q35" i="3" s="1"/>
  <c r="Z35" i="3"/>
  <c r="P35" i="3" s="1"/>
  <c r="Y35" i="3"/>
  <c r="O35" i="3" s="1"/>
  <c r="X35" i="3"/>
  <c r="N35" i="3" s="1"/>
  <c r="AE33" i="3"/>
  <c r="U33" i="3" s="1"/>
  <c r="AD33" i="3"/>
  <c r="T33" i="3" s="1"/>
  <c r="AC33" i="3"/>
  <c r="S33" i="3" s="1"/>
  <c r="AB33" i="3"/>
  <c r="R33" i="3" s="1"/>
  <c r="AA33" i="3"/>
  <c r="Q33" i="3" s="1"/>
  <c r="Z33" i="3"/>
  <c r="P33" i="3" s="1"/>
  <c r="Y33" i="3"/>
  <c r="O33" i="3" s="1"/>
  <c r="X33" i="3"/>
  <c r="N33" i="3" s="1"/>
  <c r="AE31" i="3"/>
  <c r="U31" i="3" s="1"/>
  <c r="AD31" i="3"/>
  <c r="T31" i="3" s="1"/>
  <c r="AC31" i="3"/>
  <c r="S31" i="3" s="1"/>
  <c r="AB31" i="3"/>
  <c r="R31" i="3" s="1"/>
  <c r="AA31" i="3"/>
  <c r="Q31" i="3" s="1"/>
  <c r="Z31" i="3"/>
  <c r="P31" i="3" s="1"/>
  <c r="Y31" i="3"/>
  <c r="O31" i="3" s="1"/>
  <c r="X31" i="3"/>
  <c r="N31" i="3" s="1"/>
  <c r="AE29" i="3"/>
  <c r="U29" i="3" s="1"/>
  <c r="AD29" i="3"/>
  <c r="T29" i="3" s="1"/>
  <c r="AC29" i="3"/>
  <c r="S29" i="3" s="1"/>
  <c r="AB29" i="3"/>
  <c r="R29" i="3" s="1"/>
  <c r="AA29" i="3"/>
  <c r="Q29" i="3" s="1"/>
  <c r="Z29" i="3"/>
  <c r="P29" i="3" s="1"/>
  <c r="Y29" i="3"/>
  <c r="O29" i="3" s="1"/>
  <c r="X29" i="3"/>
  <c r="N29" i="3" s="1"/>
  <c r="N25" i="3"/>
  <c r="D63" i="3"/>
  <c r="D78" i="3" s="1"/>
  <c r="E63" i="3"/>
  <c r="E78" i="3" s="1"/>
  <c r="F63" i="3"/>
  <c r="F78" i="3" s="1"/>
  <c r="G63" i="3"/>
  <c r="H63" i="3"/>
  <c r="H78" i="3" s="1"/>
  <c r="J63" i="3"/>
  <c r="J78" i="3" s="1"/>
  <c r="D64" i="3"/>
  <c r="E64" i="3"/>
  <c r="F64" i="3"/>
  <c r="G64" i="3"/>
  <c r="H64" i="3"/>
  <c r="H79" i="3" s="1"/>
  <c r="J64" i="3"/>
  <c r="J79" i="3" s="1"/>
  <c r="C64" i="3"/>
  <c r="C79" i="3" s="1"/>
  <c r="D59" i="3"/>
  <c r="E59" i="3"/>
  <c r="F59" i="3"/>
  <c r="G59" i="3"/>
  <c r="H59" i="3"/>
  <c r="I59" i="3"/>
  <c r="J59" i="3"/>
  <c r="C59" i="3"/>
  <c r="I58" i="3"/>
  <c r="D58" i="3"/>
  <c r="E58" i="3"/>
  <c r="F58" i="3"/>
  <c r="G58" i="3"/>
  <c r="H58" i="3"/>
  <c r="J58" i="3"/>
  <c r="C58" i="3"/>
  <c r="C54" i="3"/>
  <c r="AH16" i="3"/>
  <c r="X16" i="3" s="1"/>
  <c r="N16" i="3" s="1"/>
  <c r="AI16" i="3"/>
  <c r="AJ16" i="3"/>
  <c r="Z16" i="3" s="1"/>
  <c r="P16" i="3" s="1"/>
  <c r="AK16" i="3"/>
  <c r="AA16" i="3" s="1"/>
  <c r="Q16" i="3" s="1"/>
  <c r="AL16" i="3"/>
  <c r="AB16" i="3" s="1"/>
  <c r="R16" i="3" s="1"/>
  <c r="AM16" i="3"/>
  <c r="AC16" i="3" s="1"/>
  <c r="S16" i="3" s="1"/>
  <c r="AN16" i="3"/>
  <c r="AD16" i="3" s="1"/>
  <c r="T16" i="3" s="1"/>
  <c r="AO16" i="3"/>
  <c r="AE16" i="3" s="1"/>
  <c r="U16" i="3" s="1"/>
  <c r="AH17" i="3"/>
  <c r="X17" i="3" s="1"/>
  <c r="N17" i="3" s="1"/>
  <c r="AI17" i="3"/>
  <c r="Y17" i="3" s="1"/>
  <c r="O17" i="3" s="1"/>
  <c r="AJ17" i="3"/>
  <c r="Z17" i="3" s="1"/>
  <c r="P17" i="3" s="1"/>
  <c r="AK17" i="3"/>
  <c r="AA17" i="3" s="1"/>
  <c r="Q17" i="3" s="1"/>
  <c r="AL17" i="3"/>
  <c r="AB17" i="3" s="1"/>
  <c r="R17" i="3" s="1"/>
  <c r="AM17" i="3"/>
  <c r="AC17" i="3" s="1"/>
  <c r="S17" i="3" s="1"/>
  <c r="AN17" i="3"/>
  <c r="AD17" i="3" s="1"/>
  <c r="T17" i="3" s="1"/>
  <c r="AO17" i="3"/>
  <c r="AE17" i="3" s="1"/>
  <c r="U17" i="3" s="1"/>
  <c r="AH12" i="3"/>
  <c r="X12" i="3" s="1"/>
  <c r="N12" i="3" s="1"/>
  <c r="AI12" i="3"/>
  <c r="Y12" i="3" s="1"/>
  <c r="O12" i="3" s="1"/>
  <c r="AJ12" i="3"/>
  <c r="Z12" i="3" s="1"/>
  <c r="P12" i="3" s="1"/>
  <c r="AK12" i="3"/>
  <c r="AA12" i="3" s="1"/>
  <c r="Q12" i="3" s="1"/>
  <c r="AL12" i="3"/>
  <c r="AB12" i="3" s="1"/>
  <c r="R12" i="3" s="1"/>
  <c r="AM12" i="3"/>
  <c r="AC12" i="3" s="1"/>
  <c r="S12" i="3" s="1"/>
  <c r="AN12" i="3"/>
  <c r="AD12" i="3" s="1"/>
  <c r="T12" i="3" s="1"/>
  <c r="AO12" i="3"/>
  <c r="AE12" i="3" s="1"/>
  <c r="U12" i="3" s="1"/>
  <c r="AH13" i="3"/>
  <c r="X13" i="3" s="1"/>
  <c r="N13" i="3" s="1"/>
  <c r="AI13" i="3"/>
  <c r="Y13" i="3" s="1"/>
  <c r="O13" i="3" s="1"/>
  <c r="AJ13" i="3"/>
  <c r="Z13" i="3" s="1"/>
  <c r="P13" i="3" s="1"/>
  <c r="AK13" i="3"/>
  <c r="AA13" i="3" s="1"/>
  <c r="Q13" i="3" s="1"/>
  <c r="AL13" i="3"/>
  <c r="AB13" i="3" s="1"/>
  <c r="R13" i="3" s="1"/>
  <c r="AM13" i="3"/>
  <c r="AC13" i="3" s="1"/>
  <c r="S13" i="3" s="1"/>
  <c r="AN13" i="3"/>
  <c r="AD13" i="3" s="1"/>
  <c r="T13" i="3" s="1"/>
  <c r="AO13" i="3"/>
  <c r="AE13" i="3" s="1"/>
  <c r="U13" i="3" s="1"/>
  <c r="AH14" i="3"/>
  <c r="X14" i="3" s="1"/>
  <c r="N14" i="3" s="1"/>
  <c r="AI14" i="3"/>
  <c r="Y14" i="3" s="1"/>
  <c r="O14" i="3" s="1"/>
  <c r="AJ14" i="3"/>
  <c r="Z14" i="3" s="1"/>
  <c r="P14" i="3" s="1"/>
  <c r="AK14" i="3"/>
  <c r="AA14" i="3" s="1"/>
  <c r="Q14" i="3" s="1"/>
  <c r="AL14" i="3"/>
  <c r="AB14" i="3" s="1"/>
  <c r="R14" i="3" s="1"/>
  <c r="AM14" i="3"/>
  <c r="AC14" i="3" s="1"/>
  <c r="S14" i="3" s="1"/>
  <c r="AN14" i="3"/>
  <c r="AD14" i="3" s="1"/>
  <c r="T14" i="3" s="1"/>
  <c r="AO14" i="3"/>
  <c r="AE14" i="3" s="1"/>
  <c r="U14" i="3" s="1"/>
  <c r="AH15" i="3"/>
  <c r="X15" i="3" s="1"/>
  <c r="N15" i="3" s="1"/>
  <c r="AI15" i="3"/>
  <c r="Y15" i="3" s="1"/>
  <c r="O15" i="3" s="1"/>
  <c r="AJ15" i="3"/>
  <c r="Z15" i="3" s="1"/>
  <c r="P15" i="3" s="1"/>
  <c r="AK15" i="3"/>
  <c r="AA15" i="3" s="1"/>
  <c r="Q15" i="3" s="1"/>
  <c r="AL15" i="3"/>
  <c r="AB15" i="3" s="1"/>
  <c r="R15" i="3" s="1"/>
  <c r="AM15" i="3"/>
  <c r="AC15" i="3" s="1"/>
  <c r="S15" i="3" s="1"/>
  <c r="AN15" i="3"/>
  <c r="AD15" i="3" s="1"/>
  <c r="T15" i="3" s="1"/>
  <c r="AO15" i="3"/>
  <c r="AE11" i="3"/>
  <c r="U11" i="3" s="1"/>
  <c r="AI18" i="3"/>
  <c r="AJ18" i="3"/>
  <c r="AK18" i="3"/>
  <c r="AL18" i="3"/>
  <c r="AM18" i="3"/>
  <c r="AN18" i="3"/>
  <c r="AO18" i="3"/>
  <c r="AH18" i="3"/>
  <c r="X39" i="3"/>
  <c r="N39" i="3" s="1"/>
  <c r="Y39" i="3"/>
  <c r="O39" i="3" s="1"/>
  <c r="Z39" i="3"/>
  <c r="P39" i="3" s="1"/>
  <c r="AA39" i="3"/>
  <c r="Q39" i="3" s="1"/>
  <c r="AB39" i="3"/>
  <c r="R39" i="3" s="1"/>
  <c r="AC39" i="3"/>
  <c r="S39" i="3" s="1"/>
  <c r="AD39" i="3"/>
  <c r="T39" i="3" s="1"/>
  <c r="AE39" i="3"/>
  <c r="U39" i="3" s="1"/>
  <c r="X27" i="3"/>
  <c r="N27" i="3" s="1"/>
  <c r="C55" i="3"/>
  <c r="D55" i="3"/>
  <c r="E55" i="3"/>
  <c r="F55" i="3"/>
  <c r="G55" i="3"/>
  <c r="H55" i="3"/>
  <c r="I55" i="3"/>
  <c r="J55" i="3"/>
  <c r="D54" i="3"/>
  <c r="E54" i="3"/>
  <c r="F54" i="3"/>
  <c r="G54" i="3"/>
  <c r="H54" i="3"/>
  <c r="I54" i="3"/>
  <c r="J54" i="3"/>
  <c r="Y11" i="3"/>
  <c r="O11" i="3" s="1"/>
  <c r="Z11" i="3"/>
  <c r="P11" i="3" s="1"/>
  <c r="AA11" i="3"/>
  <c r="Q11" i="3" s="1"/>
  <c r="AB11" i="3"/>
  <c r="R11" i="3" s="1"/>
  <c r="AC11" i="3"/>
  <c r="S11" i="3" s="1"/>
  <c r="AD11" i="3"/>
  <c r="T11" i="3" s="1"/>
  <c r="X11" i="3"/>
  <c r="N11" i="3" s="1"/>
  <c r="I64" i="3"/>
  <c r="I79" i="3" s="1"/>
  <c r="I63" i="3"/>
  <c r="I78" i="3" s="1"/>
  <c r="Y27" i="3"/>
  <c r="O27" i="3" s="1"/>
  <c r="Z27" i="3"/>
  <c r="P27" i="3" s="1"/>
  <c r="AA27" i="3"/>
  <c r="Q27" i="3" s="1"/>
  <c r="AB27" i="3"/>
  <c r="R27" i="3" s="1"/>
  <c r="AC27" i="3"/>
  <c r="S27" i="3" s="1"/>
  <c r="AD27" i="3"/>
  <c r="T27" i="3" s="1"/>
  <c r="AE27" i="3"/>
  <c r="U27" i="3" s="1"/>
  <c r="U25" i="3"/>
  <c r="O25" i="3"/>
  <c r="P25" i="3"/>
  <c r="Q25" i="3"/>
  <c r="R25" i="3"/>
  <c r="S25" i="3"/>
  <c r="T25" i="3"/>
  <c r="AE15" i="3"/>
  <c r="U15" i="3" s="1"/>
  <c r="Y16" i="3"/>
  <c r="O16" i="3" s="1"/>
  <c r="N20" i="3" l="1"/>
  <c r="U42" i="3"/>
  <c r="U41" i="3"/>
  <c r="S42" i="3"/>
  <c r="S41" i="3"/>
  <c r="H73" i="3" s="1"/>
  <c r="R41" i="3"/>
  <c r="G73" i="3" s="1"/>
  <c r="R42" i="3"/>
  <c r="G74" i="3" s="1"/>
  <c r="P20" i="3"/>
  <c r="O20" i="3"/>
  <c r="S20" i="3"/>
  <c r="S19" i="3"/>
  <c r="R19" i="3"/>
  <c r="R20" i="3"/>
  <c r="T20" i="3"/>
  <c r="T19" i="3"/>
  <c r="Q42" i="3"/>
  <c r="F74" i="3" s="1"/>
  <c r="Q41" i="3"/>
  <c r="O42" i="3"/>
  <c r="D74" i="3" s="1"/>
  <c r="O41" i="3"/>
  <c r="T42" i="3"/>
  <c r="I74" i="3" s="1"/>
  <c r="T41" i="3"/>
  <c r="Q20" i="3"/>
  <c r="U20" i="3"/>
  <c r="U19" i="3"/>
  <c r="U43" i="3"/>
  <c r="N42" i="3"/>
  <c r="N41" i="3"/>
  <c r="P42" i="3"/>
  <c r="E74" i="3" s="1"/>
  <c r="P41" i="3"/>
  <c r="G79" i="3"/>
  <c r="G78" i="3"/>
  <c r="F79" i="3"/>
  <c r="E79" i="3"/>
  <c r="D79" i="3"/>
  <c r="G75" i="3"/>
  <c r="F75" i="3"/>
  <c r="C75" i="3"/>
  <c r="E75" i="3"/>
  <c r="N19" i="3"/>
  <c r="C70" i="3"/>
  <c r="D75" i="3"/>
  <c r="Q19" i="3"/>
  <c r="F70" i="3"/>
  <c r="J75" i="3"/>
  <c r="I70" i="3"/>
  <c r="P19" i="3"/>
  <c r="E70" i="3"/>
  <c r="H70" i="3"/>
  <c r="O19" i="3"/>
  <c r="D68" i="3" s="1"/>
  <c r="D70" i="3"/>
  <c r="G70" i="3"/>
  <c r="J70" i="3"/>
  <c r="I75" i="3"/>
  <c r="H75" i="3"/>
  <c r="F82" i="3"/>
  <c r="F83" i="3"/>
  <c r="X18" i="3"/>
  <c r="N18" i="3" s="1"/>
  <c r="AE18" i="3"/>
  <c r="U18" i="3" s="1"/>
  <c r="AD18" i="3"/>
  <c r="T18" i="3" s="1"/>
  <c r="AC18" i="3"/>
  <c r="S18" i="3" s="1"/>
  <c r="AB18" i="3"/>
  <c r="R18" i="3" s="1"/>
  <c r="AA18" i="3"/>
  <c r="Q18" i="3" s="1"/>
  <c r="Z18" i="3"/>
  <c r="P18" i="3" s="1"/>
  <c r="Y18" i="3"/>
  <c r="O18" i="3" s="1"/>
  <c r="O54" i="3" l="1"/>
  <c r="P54" i="3"/>
  <c r="N54" i="3"/>
  <c r="T54" i="3"/>
  <c r="Q54" i="3"/>
  <c r="R54" i="3"/>
  <c r="S54" i="3"/>
  <c r="F73" i="3"/>
  <c r="E73" i="3"/>
  <c r="U54" i="3"/>
  <c r="N43" i="3"/>
  <c r="H74" i="3"/>
  <c r="R43" i="3"/>
  <c r="N53" i="3" s="1"/>
  <c r="I73" i="3"/>
  <c r="C73" i="3"/>
  <c r="C74" i="3"/>
  <c r="R21" i="3"/>
  <c r="D73" i="3"/>
  <c r="N21" i="3"/>
  <c r="D83" i="3"/>
  <c r="D82" i="3"/>
  <c r="G68" i="3"/>
  <c r="G69" i="3"/>
  <c r="C69" i="3"/>
  <c r="J74" i="3"/>
  <c r="D69" i="3"/>
  <c r="C68" i="3"/>
  <c r="U53" i="3" l="1"/>
  <c r="P53" i="3"/>
  <c r="O53" i="3"/>
  <c r="Q53" i="3"/>
  <c r="N55" i="3"/>
  <c r="T53" i="3"/>
  <c r="S53" i="3"/>
  <c r="R53" i="3"/>
  <c r="R49" i="3"/>
  <c r="S49" i="3" s="1"/>
  <c r="R48" i="3"/>
  <c r="S48" i="3" s="1"/>
  <c r="R47" i="3"/>
  <c r="S47" i="3" s="1"/>
  <c r="R50" i="3"/>
  <c r="S50" i="3" s="1"/>
  <c r="I69" i="3"/>
  <c r="I68" i="3"/>
  <c r="H69" i="3"/>
  <c r="H68" i="3"/>
  <c r="F69" i="3"/>
  <c r="F68" i="3"/>
  <c r="E69" i="3"/>
  <c r="E68" i="3"/>
  <c r="J73" i="3"/>
  <c r="J68" i="3" l="1"/>
  <c r="J69" i="3"/>
</calcChain>
</file>

<file path=xl/sharedStrings.xml><?xml version="1.0" encoding="utf-8"?>
<sst xmlns="http://schemas.openxmlformats.org/spreadsheetml/2006/main" count="689" uniqueCount="82">
  <si>
    <t>Sample ID</t>
  </si>
  <si>
    <t>&lt;--</t>
  </si>
  <si>
    <t>Add your sampel ID in cell D1</t>
  </si>
  <si>
    <t>R_sheet (RT)</t>
  </si>
  <si>
    <t>Tc</t>
  </si>
  <si>
    <t>Diffusivity</t>
  </si>
  <si>
    <t>Gap factor</t>
  </si>
  <si>
    <t>T he</t>
  </si>
  <si>
    <t>T chu</t>
  </si>
  <si>
    <t>Time</t>
  </si>
  <si>
    <t>Notes</t>
  </si>
  <si>
    <t>R_sheet (20K)</t>
  </si>
  <si>
    <t>Film thickness</t>
  </si>
  <si>
    <t>Op. temperature</t>
  </si>
  <si>
    <t>#154 A</t>
  </si>
  <si>
    <t>A</t>
  </si>
  <si>
    <t>B</t>
  </si>
  <si>
    <t>C</t>
  </si>
  <si>
    <t>D</t>
  </si>
  <si>
    <t>E</t>
  </si>
  <si>
    <t>F</t>
  </si>
  <si>
    <t>G</t>
  </si>
  <si>
    <t>H</t>
  </si>
  <si>
    <t xml:space="preserve"> 1</t>
  </si>
  <si>
    <t>Noise level</t>
  </si>
  <si>
    <t>2 - 7</t>
  </si>
  <si>
    <t>Holder Nr</t>
  </si>
  <si>
    <t>He level before</t>
  </si>
  <si>
    <t>RT_resist</t>
  </si>
  <si>
    <t>R-factor</t>
  </si>
  <si>
    <t>Expected resistance</t>
  </si>
  <si>
    <t>Detector length/wire width (calculated from fixed length to the right and wire width table to the left)</t>
  </si>
  <si>
    <t>Detector length (µm)</t>
  </si>
  <si>
    <t>MOhm</t>
  </si>
  <si>
    <t>Average</t>
  </si>
  <si>
    <t>Max</t>
  </si>
  <si>
    <t>Detector length extracted from Klayout. Selecting all Wires+Bends and calculate the perimeter. Perimeter devided by 2 equals the detector length. Taper is excluded.</t>
  </si>
  <si>
    <t>Average of all widths</t>
  </si>
  <si>
    <t>Maximum of all widths</t>
  </si>
  <si>
    <t>I_sw</t>
  </si>
  <si>
    <t>Q-factor</t>
  </si>
  <si>
    <t>Expected switching current</t>
  </si>
  <si>
    <t>µA/MHz</t>
  </si>
  <si>
    <t>Number of detectors</t>
  </si>
  <si>
    <t>Return Current</t>
  </si>
  <si>
    <t xml:space="preserve"> </t>
  </si>
  <si>
    <t>Device</t>
  </si>
  <si>
    <t>Number</t>
  </si>
  <si>
    <t>Percent (%)</t>
  </si>
  <si>
    <t>Heat Conductance</t>
  </si>
  <si>
    <t>Yield &gt;90% of Qmax</t>
  </si>
  <si>
    <t>Ideally all those values are 100% for perfect yield; the closer to 100% the better</t>
  </si>
  <si>
    <t>Yield &gt;80% of Qmax</t>
  </si>
  <si>
    <t>Yield &gt;70% of Qmax</t>
  </si>
  <si>
    <t>Summary</t>
  </si>
  <si>
    <t>Yield &gt;60% of Qmax</t>
  </si>
  <si>
    <t>Wire widths (reading values from above)</t>
  </si>
  <si>
    <t>Norm. Deviation from Qmax (=1-(Qmax-Qavg)/Qmax)</t>
  </si>
  <si>
    <t>Using overall Qmax</t>
  </si>
  <si>
    <t>Using column Qmax</t>
  </si>
  <si>
    <t>8</t>
  </si>
  <si>
    <t>All</t>
  </si>
  <si>
    <t>Detector resistance (ignoring row 8)</t>
  </si>
  <si>
    <t>Ideally all those values are 1 for perfect yield; the closer to 1 the better</t>
  </si>
  <si>
    <t>Maximum</t>
  </si>
  <si>
    <t>Stdv</t>
  </si>
  <si>
    <t>Switching currents (ignoring row 8)</t>
  </si>
  <si>
    <t>R-factor (ignoring row 8)</t>
  </si>
  <si>
    <t>Q-factor (ignoring row 8)</t>
  </si>
  <si>
    <t>Isw/width [µA/nm]  (ignoring row 8)</t>
  </si>
  <si>
    <t>Reference detectors  (row 8, column C-H)</t>
  </si>
  <si>
    <t>R</t>
  </si>
  <si>
    <t>Isw</t>
  </si>
  <si>
    <t>Q</t>
  </si>
  <si>
    <t>Isw/WW</t>
  </si>
  <si>
    <t>Constants for calculator: do not change!!!</t>
  </si>
  <si>
    <t>h_bar</t>
  </si>
  <si>
    <t>electron charge</t>
  </si>
  <si>
    <t>Boltzmann</t>
  </si>
  <si>
    <t>250703 U1</t>
  </si>
  <si>
    <t>cannot reach</t>
  </si>
  <si>
    <t>cannotreach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</si>
</sst>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07AEB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indexed="64"/>
      </bottom>
      <diagonal/>
    </border>
    <border>
      <left/>
      <right/>
      <top style="medium">
        <color rgb="FF000000"/>
      </top>
      <bottom style="thick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ck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rgb="FF000000"/>
      </top>
      <bottom/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rgb="FF000000"/>
      </bottom>
      <diagonal/>
    </border>
    <border>
      <left/>
      <right/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3" fillId="17" borderId="93" applyNumberFormat="0" applyAlignment="0" applyProtection="0"/>
    <xf numFmtId="0" fontId="12" fillId="18" borderId="94" applyNumberFormat="0" applyFont="0" applyAlignment="0" applyProtection="0"/>
  </cellStyleXfs>
  <cellXfs count="416"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5" borderId="40" xfId="0" applyFill="1" applyBorder="1"/>
    <xf numFmtId="0" fontId="0" fillId="5" borderId="42" xfId="0" applyFill="1" applyBorder="1"/>
    <xf numFmtId="0" fontId="2" fillId="2" borderId="22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quotePrefix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8" borderId="57" xfId="0" applyFill="1" applyBorder="1"/>
    <xf numFmtId="0" fontId="1" fillId="8" borderId="37" xfId="0" applyFont="1" applyFill="1" applyBorder="1"/>
    <xf numFmtId="0" fontId="1" fillId="8" borderId="58" xfId="0" applyFont="1" applyFill="1" applyBorder="1"/>
    <xf numFmtId="0" fontId="1" fillId="8" borderId="59" xfId="0" applyFont="1" applyFill="1" applyBorder="1"/>
    <xf numFmtId="0" fontId="1" fillId="8" borderId="60" xfId="0" applyFont="1" applyFill="1" applyBorder="1"/>
    <xf numFmtId="0" fontId="0" fillId="5" borderId="0" xfId="0" applyFill="1"/>
    <xf numFmtId="20" fontId="0" fillId="5" borderId="41" xfId="0" applyNumberFormat="1" applyFill="1" applyBorder="1"/>
    <xf numFmtId="0" fontId="0" fillId="5" borderId="41" xfId="0" applyFill="1" applyBorder="1"/>
    <xf numFmtId="0" fontId="0" fillId="5" borderId="44" xfId="0" applyFill="1" applyBorder="1"/>
    <xf numFmtId="0" fontId="1" fillId="0" borderId="0" xfId="0" applyFont="1" applyAlignment="1">
      <alignment horizontal="right"/>
    </xf>
    <xf numFmtId="0" fontId="9" fillId="10" borderId="0" xfId="0" applyFont="1" applyFill="1"/>
    <xf numFmtId="3" fontId="9" fillId="10" borderId="0" xfId="0" applyNumberFormat="1" applyFont="1" applyFill="1"/>
    <xf numFmtId="11" fontId="9" fillId="10" borderId="0" xfId="0" applyNumberFormat="1" applyFont="1" applyFill="1"/>
    <xf numFmtId="0" fontId="0" fillId="0" borderId="0" xfId="0" applyAlignment="1">
      <alignment horizontal="right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75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0" fillId="15" borderId="38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0" fillId="15" borderId="76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5" fillId="3" borderId="8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16" borderId="35" xfId="0" applyFill="1" applyBorder="1"/>
    <xf numFmtId="0" fontId="0" fillId="16" borderId="78" xfId="0" applyFill="1" applyBorder="1"/>
    <xf numFmtId="0" fontId="0" fillId="16" borderId="37" xfId="0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8" fillId="0" borderId="0" xfId="0" applyFont="1"/>
    <xf numFmtId="0" fontId="0" fillId="15" borderId="0" xfId="0" applyFill="1" applyAlignment="1">
      <alignment horizontal="center"/>
    </xf>
    <xf numFmtId="0" fontId="2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14" borderId="98" xfId="0" applyFill="1" applyBorder="1" applyAlignment="1">
      <alignment horizontal="center" vertical="center"/>
    </xf>
    <xf numFmtId="0" fontId="0" fillId="14" borderId="99" xfId="0" applyFill="1" applyBorder="1" applyAlignment="1">
      <alignment horizontal="center" vertical="center"/>
    </xf>
    <xf numFmtId="0" fontId="0" fillId="14" borderId="100" xfId="0" applyFill="1" applyBorder="1" applyAlignment="1">
      <alignment horizontal="center" vertical="center"/>
    </xf>
    <xf numFmtId="0" fontId="0" fillId="14" borderId="73" xfId="0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0" fillId="10" borderId="98" xfId="0" applyNumberFormat="1" applyFill="1" applyBorder="1" applyAlignment="1">
      <alignment horizontal="center" vertical="center"/>
    </xf>
    <xf numFmtId="2" fontId="0" fillId="10" borderId="99" xfId="0" applyNumberFormat="1" applyFill="1" applyBorder="1" applyAlignment="1">
      <alignment horizontal="center" vertical="center"/>
    </xf>
    <xf numFmtId="2" fontId="0" fillId="10" borderId="101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0" borderId="100" xfId="0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2" fontId="0" fillId="13" borderId="98" xfId="0" applyNumberFormat="1" applyFill="1" applyBorder="1" applyAlignment="1">
      <alignment horizontal="center" vertical="center"/>
    </xf>
    <xf numFmtId="2" fontId="0" fillId="13" borderId="99" xfId="0" applyNumberFormat="1" applyFill="1" applyBorder="1" applyAlignment="1">
      <alignment horizontal="center" vertical="center"/>
    </xf>
    <xf numFmtId="2" fontId="0" fillId="13" borderId="101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100" xfId="0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2" fontId="0" fillId="11" borderId="98" xfId="0" applyNumberFormat="1" applyFill="1" applyBorder="1" applyAlignment="1">
      <alignment horizontal="center" vertical="center"/>
    </xf>
    <xf numFmtId="2" fontId="0" fillId="11" borderId="99" xfId="0" applyNumberFormat="1" applyFill="1" applyBorder="1" applyAlignment="1">
      <alignment horizontal="center" vertical="center"/>
    </xf>
    <xf numFmtId="2" fontId="0" fillId="11" borderId="101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1" borderId="100" xfId="0" applyFill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2" fontId="0" fillId="6" borderId="98" xfId="0" applyNumberFormat="1" applyFill="1" applyBorder="1" applyAlignment="1">
      <alignment horizontal="center" vertical="center"/>
    </xf>
    <xf numFmtId="2" fontId="0" fillId="6" borderId="99" xfId="0" applyNumberFormat="1" applyFill="1" applyBorder="1" applyAlignment="1">
      <alignment horizontal="center" vertical="center"/>
    </xf>
    <xf numFmtId="2" fontId="0" fillId="6" borderId="10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00" xfId="0" applyNumberFormat="1" applyFill="1" applyBorder="1" applyAlignment="1">
      <alignment horizontal="center" vertical="center"/>
    </xf>
    <xf numFmtId="2" fontId="0" fillId="6" borderId="73" xfId="0" applyNumberFormat="1" applyFill="1" applyBorder="1" applyAlignment="1">
      <alignment horizontal="center" vertical="center"/>
    </xf>
    <xf numFmtId="2" fontId="0" fillId="9" borderId="9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97" xfId="0" applyNumberFormat="1" applyFill="1" applyBorder="1" applyAlignment="1">
      <alignment horizontal="center"/>
    </xf>
    <xf numFmtId="2" fontId="0" fillId="9" borderId="96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97" xfId="0" applyNumberFormat="1" applyFill="1" applyBorder="1" applyAlignment="1">
      <alignment horizontal="center" vertical="center"/>
    </xf>
    <xf numFmtId="2" fontId="0" fillId="4" borderId="10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03" xfId="0" applyNumberFormat="1" applyFill="1" applyBorder="1" applyAlignment="1">
      <alignment horizontal="center"/>
    </xf>
    <xf numFmtId="2" fontId="0" fillId="4" borderId="102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3" xfId="0" applyNumberFormat="1" applyFill="1" applyBorder="1" applyAlignment="1">
      <alignment horizontal="center" vertical="center"/>
    </xf>
    <xf numFmtId="2" fontId="1" fillId="11" borderId="79" xfId="0" applyNumberFormat="1" applyFont="1" applyFill="1" applyBorder="1" applyAlignment="1">
      <alignment horizontal="center" vertical="center"/>
    </xf>
    <xf numFmtId="2" fontId="1" fillId="6" borderId="7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" fontId="0" fillId="0" borderId="0" xfId="0" applyNumberFormat="1"/>
    <xf numFmtId="0" fontId="1" fillId="7" borderId="0" xfId="0" applyFont="1" applyFill="1" applyAlignment="1">
      <alignment horizontal="right" vertical="center"/>
    </xf>
    <xf numFmtId="0" fontId="14" fillId="7" borderId="49" xfId="0" applyFont="1" applyFill="1" applyBorder="1" applyAlignment="1">
      <alignment horizontal="center" vertical="center"/>
    </xf>
    <xf numFmtId="0" fontId="0" fillId="19" borderId="98" xfId="0" applyFill="1" applyBorder="1" applyAlignment="1">
      <alignment horizontal="center" vertical="center"/>
    </xf>
    <xf numFmtId="0" fontId="0" fillId="19" borderId="99" xfId="0" applyFill="1" applyBorder="1" applyAlignment="1">
      <alignment horizontal="center" vertical="center"/>
    </xf>
    <xf numFmtId="0" fontId="2" fillId="7" borderId="105" xfId="0" applyFont="1" applyFill="1" applyBorder="1" applyAlignment="1">
      <alignment horizontal="center" vertical="center"/>
    </xf>
    <xf numFmtId="0" fontId="1" fillId="7" borderId="106" xfId="0" applyFont="1" applyFill="1" applyBorder="1" applyAlignment="1">
      <alignment horizontal="center" vertical="center"/>
    </xf>
    <xf numFmtId="0" fontId="1" fillId="7" borderId="10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08" xfId="0" applyFont="1" applyFill="1" applyBorder="1" applyAlignment="1">
      <alignment horizontal="center" vertical="center"/>
    </xf>
    <xf numFmtId="0" fontId="0" fillId="0" borderId="109" xfId="0" applyBorder="1"/>
    <xf numFmtId="0" fontId="3" fillId="3" borderId="21" xfId="0" applyFont="1" applyFill="1" applyBorder="1" applyAlignment="1">
      <alignment horizontal="center"/>
    </xf>
    <xf numFmtId="0" fontId="3" fillId="3" borderId="112" xfId="0" applyFont="1" applyFill="1" applyBorder="1" applyAlignment="1">
      <alignment horizontal="center"/>
    </xf>
    <xf numFmtId="0" fontId="3" fillId="3" borderId="11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5" xfId="0" applyFont="1" applyFill="1" applyBorder="1" applyAlignment="1">
      <alignment horizontal="center" vertical="center"/>
    </xf>
    <xf numFmtId="0" fontId="1" fillId="2" borderId="116" xfId="0" applyFont="1" applyFill="1" applyBorder="1" applyAlignment="1">
      <alignment horizontal="center" vertical="center"/>
    </xf>
    <xf numFmtId="0" fontId="1" fillId="2" borderId="1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18" xfId="0" applyFont="1" applyFill="1" applyBorder="1" applyAlignment="1">
      <alignment horizontal="center" vertical="center"/>
    </xf>
    <xf numFmtId="0" fontId="5" fillId="3" borderId="112" xfId="0" applyFont="1" applyFill="1" applyBorder="1" applyAlignment="1">
      <alignment horizontal="center" vertical="center"/>
    </xf>
    <xf numFmtId="0" fontId="0" fillId="3" borderId="120" xfId="0" applyFill="1" applyBorder="1" applyAlignment="1">
      <alignment horizontal="center" vertical="center"/>
    </xf>
    <xf numFmtId="0" fontId="0" fillId="3" borderId="121" xfId="0" applyFill="1" applyBorder="1" applyAlignment="1">
      <alignment horizontal="center" vertical="center"/>
    </xf>
    <xf numFmtId="0" fontId="5" fillId="3" borderId="122" xfId="0" applyFont="1" applyFill="1" applyBorder="1" applyAlignment="1">
      <alignment horizontal="center" vertical="center"/>
    </xf>
    <xf numFmtId="2" fontId="0" fillId="3" borderId="120" xfId="0" applyNumberFormat="1" applyFill="1" applyBorder="1" applyAlignment="1">
      <alignment horizontal="center" vertical="center"/>
    </xf>
    <xf numFmtId="2" fontId="0" fillId="3" borderId="123" xfId="0" applyNumberFormat="1" applyFill="1" applyBorder="1" applyAlignment="1">
      <alignment horizontal="center" vertical="center"/>
    </xf>
    <xf numFmtId="2" fontId="0" fillId="3" borderId="121" xfId="0" applyNumberFormat="1" applyFill="1" applyBorder="1" applyAlignment="1">
      <alignment horizontal="center" vertical="center"/>
    </xf>
    <xf numFmtId="2" fontId="0" fillId="3" borderId="130" xfId="0" applyNumberFormat="1" applyFill="1" applyBorder="1" applyAlignment="1">
      <alignment horizontal="center" vertical="center"/>
    </xf>
    <xf numFmtId="2" fontId="0" fillId="3" borderId="131" xfId="0" applyNumberFormat="1" applyFill="1" applyBorder="1" applyAlignment="1">
      <alignment horizontal="center" vertical="center"/>
    </xf>
    <xf numFmtId="2" fontId="0" fillId="3" borderId="132" xfId="0" applyNumberFormat="1" applyFill="1" applyBorder="1" applyAlignment="1">
      <alignment horizontal="center" vertical="center"/>
    </xf>
    <xf numFmtId="2" fontId="0" fillId="3" borderId="133" xfId="0" applyNumberFormat="1" applyFill="1" applyBorder="1" applyAlignment="1">
      <alignment horizontal="center" vertical="center"/>
    </xf>
    <xf numFmtId="2" fontId="0" fillId="3" borderId="134" xfId="0" applyNumberFormat="1" applyFill="1" applyBorder="1" applyAlignment="1">
      <alignment horizontal="center" vertical="center"/>
    </xf>
    <xf numFmtId="2" fontId="0" fillId="3" borderId="124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29" xfId="0" applyNumberFormat="1" applyFill="1" applyBorder="1" applyAlignment="1">
      <alignment horizontal="center" vertical="center"/>
    </xf>
    <xf numFmtId="2" fontId="0" fillId="3" borderId="135" xfId="0" applyNumberFormat="1" applyFill="1" applyBorder="1" applyAlignment="1">
      <alignment horizontal="center" vertical="center"/>
    </xf>
    <xf numFmtId="2" fontId="0" fillId="3" borderId="110" xfId="0" applyNumberFormat="1" applyFill="1" applyBorder="1" applyAlignment="1">
      <alignment horizontal="center" vertical="center"/>
    </xf>
    <xf numFmtId="2" fontId="0" fillId="3" borderId="80" xfId="0" applyNumberFormat="1" applyFill="1" applyBorder="1" applyAlignment="1">
      <alignment horizontal="center" vertical="center"/>
    </xf>
    <xf numFmtId="2" fontId="0" fillId="3" borderId="136" xfId="0" applyNumberFormat="1" applyFill="1" applyBorder="1" applyAlignment="1">
      <alignment horizontal="center" vertical="center"/>
    </xf>
    <xf numFmtId="2" fontId="13" fillId="17" borderId="112" xfId="1" applyNumberFormat="1" applyBorder="1" applyAlignment="1">
      <alignment horizontal="center" vertical="center"/>
    </xf>
    <xf numFmtId="2" fontId="13" fillId="17" borderId="19" xfId="1" applyNumberFormat="1" applyBorder="1" applyAlignment="1">
      <alignment horizontal="center" vertical="center"/>
    </xf>
    <xf numFmtId="2" fontId="13" fillId="17" borderId="20" xfId="1" applyNumberFormat="1" applyBorder="1" applyAlignment="1">
      <alignment horizontal="center" vertical="center"/>
    </xf>
    <xf numFmtId="0" fontId="0" fillId="18" borderId="94" xfId="2" applyFont="1"/>
    <xf numFmtId="0" fontId="4" fillId="3" borderId="137" xfId="0" applyFont="1" applyFill="1" applyBorder="1" applyAlignment="1">
      <alignment horizontal="center" vertical="center" wrapText="1"/>
    </xf>
    <xf numFmtId="0" fontId="1" fillId="3" borderId="137" xfId="0" applyFont="1" applyFill="1" applyBorder="1" applyAlignment="1">
      <alignment vertical="center"/>
    </xf>
    <xf numFmtId="0" fontId="6" fillId="3" borderId="137" xfId="0" applyFont="1" applyFill="1" applyBorder="1" applyAlignment="1">
      <alignment horizontal="center" vertical="center"/>
    </xf>
    <xf numFmtId="2" fontId="13" fillId="17" borderId="21" xfId="1" applyNumberFormat="1" applyBorder="1" applyAlignment="1">
      <alignment horizontal="center" vertical="center"/>
    </xf>
    <xf numFmtId="2" fontId="13" fillId="17" borderId="124" xfId="1" applyNumberFormat="1" applyBorder="1" applyAlignment="1">
      <alignment horizontal="center" vertical="center"/>
    </xf>
    <xf numFmtId="2" fontId="13" fillId="17" borderId="4" xfId="1" applyNumberFormat="1" applyBorder="1" applyAlignment="1">
      <alignment horizontal="center" vertical="center"/>
    </xf>
    <xf numFmtId="2" fontId="13" fillId="17" borderId="17" xfId="1" applyNumberFormat="1" applyBorder="1" applyAlignment="1">
      <alignment horizontal="center" vertical="center"/>
    </xf>
    <xf numFmtId="2" fontId="13" fillId="17" borderId="7" xfId="1" applyNumberFormat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0" fillId="0" borderId="139" xfId="0" applyBorder="1"/>
    <xf numFmtId="1" fontId="1" fillId="2" borderId="32" xfId="0" quotePrefix="1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7" borderId="141" xfId="0" applyFont="1" applyFill="1" applyBorder="1" applyAlignment="1">
      <alignment horizontal="center" vertical="center"/>
    </xf>
    <xf numFmtId="0" fontId="1" fillId="7" borderId="104" xfId="0" applyFont="1" applyFill="1" applyBorder="1" applyAlignment="1">
      <alignment horizontal="center" vertical="center"/>
    </xf>
    <xf numFmtId="16" fontId="1" fillId="7" borderId="142" xfId="0" quotePrefix="1" applyNumberFormat="1" applyFont="1" applyFill="1" applyBorder="1" applyAlignment="1">
      <alignment horizontal="center" vertical="center"/>
    </xf>
    <xf numFmtId="0" fontId="1" fillId="7" borderId="119" xfId="0" applyFont="1" applyFill="1" applyBorder="1" applyAlignment="1">
      <alignment horizontal="center" vertical="center"/>
    </xf>
    <xf numFmtId="16" fontId="1" fillId="7" borderId="143" xfId="0" applyNumberFormat="1" applyFont="1" applyFill="1" applyBorder="1" applyAlignment="1">
      <alignment horizontal="center" vertical="center"/>
    </xf>
    <xf numFmtId="2" fontId="0" fillId="6" borderId="136" xfId="0" applyNumberFormat="1" applyFill="1" applyBorder="1" applyAlignment="1">
      <alignment horizontal="center" vertical="center"/>
    </xf>
    <xf numFmtId="2" fontId="0" fillId="6" borderId="109" xfId="0" applyNumberFormat="1" applyFill="1" applyBorder="1" applyAlignment="1">
      <alignment horizontal="center" vertical="center"/>
    </xf>
    <xf numFmtId="16" fontId="1" fillId="7" borderId="144" xfId="0" applyNumberFormat="1" applyFont="1" applyFill="1" applyBorder="1" applyAlignment="1">
      <alignment horizontal="center" vertical="center"/>
    </xf>
    <xf numFmtId="2" fontId="0" fillId="6" borderId="145" xfId="0" applyNumberFormat="1" applyFill="1" applyBorder="1" applyAlignment="1">
      <alignment horizontal="center" vertical="center"/>
    </xf>
    <xf numFmtId="0" fontId="1" fillId="7" borderId="114" xfId="0" applyFont="1" applyFill="1" applyBorder="1" applyAlignment="1">
      <alignment horizontal="center" vertical="center"/>
    </xf>
    <xf numFmtId="2" fontId="0" fillId="11" borderId="136" xfId="0" applyNumberFormat="1" applyFill="1" applyBorder="1" applyAlignment="1">
      <alignment horizontal="center" vertical="center"/>
    </xf>
    <xf numFmtId="2" fontId="0" fillId="11" borderId="109" xfId="0" applyNumberFormat="1" applyFill="1" applyBorder="1" applyAlignment="1">
      <alignment horizontal="center" vertical="center"/>
    </xf>
    <xf numFmtId="0" fontId="0" fillId="11" borderId="145" xfId="0" applyFill="1" applyBorder="1" applyAlignment="1">
      <alignment horizontal="center" vertical="center"/>
    </xf>
    <xf numFmtId="2" fontId="0" fillId="13" borderId="136" xfId="0" applyNumberFormat="1" applyFill="1" applyBorder="1" applyAlignment="1">
      <alignment horizontal="center" vertical="center"/>
    </xf>
    <xf numFmtId="2" fontId="0" fillId="13" borderId="109" xfId="0" applyNumberFormat="1" applyFill="1" applyBorder="1" applyAlignment="1">
      <alignment horizontal="center" vertical="center"/>
    </xf>
    <xf numFmtId="0" fontId="0" fillId="13" borderId="145" xfId="0" applyFill="1" applyBorder="1" applyAlignment="1">
      <alignment horizontal="center" vertical="center"/>
    </xf>
    <xf numFmtId="2" fontId="0" fillId="10" borderId="136" xfId="0" applyNumberFormat="1" applyFill="1" applyBorder="1" applyAlignment="1">
      <alignment horizontal="center" vertical="center"/>
    </xf>
    <xf numFmtId="2" fontId="0" fillId="10" borderId="109" xfId="0" applyNumberFormat="1" applyFill="1" applyBorder="1" applyAlignment="1">
      <alignment horizontal="center" vertical="center"/>
    </xf>
    <xf numFmtId="0" fontId="0" fillId="10" borderId="145" xfId="0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0" fillId="14" borderId="136" xfId="0" applyFill="1" applyBorder="1" applyAlignment="1">
      <alignment horizontal="center" vertical="center"/>
    </xf>
    <xf numFmtId="0" fontId="0" fillId="14" borderId="145" xfId="0" applyFill="1" applyBorder="1" applyAlignment="1">
      <alignment horizontal="center" vertical="center"/>
    </xf>
    <xf numFmtId="0" fontId="1" fillId="7" borderId="111" xfId="0" applyFont="1" applyFill="1" applyBorder="1" applyAlignment="1">
      <alignment horizontal="center" vertical="center"/>
    </xf>
    <xf numFmtId="0" fontId="0" fillId="19" borderId="136" xfId="0" applyFill="1" applyBorder="1" applyAlignment="1">
      <alignment horizontal="center" vertical="center"/>
    </xf>
    <xf numFmtId="16" fontId="1" fillId="7" borderId="148" xfId="0" applyNumberFormat="1" applyFont="1" applyFill="1" applyBorder="1" applyAlignment="1">
      <alignment horizontal="center" vertical="center"/>
    </xf>
    <xf numFmtId="0" fontId="0" fillId="19" borderId="149" xfId="0" applyFill="1" applyBorder="1" applyAlignment="1">
      <alignment horizontal="center" vertical="center"/>
    </xf>
    <xf numFmtId="0" fontId="0" fillId="19" borderId="139" xfId="0" applyFill="1" applyBorder="1" applyAlignment="1">
      <alignment horizontal="center" vertical="center"/>
    </xf>
    <xf numFmtId="0" fontId="0" fillId="19" borderId="12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18" borderId="150" xfId="2" applyFont="1" applyBorder="1"/>
    <xf numFmtId="2" fontId="13" fillId="17" borderId="23" xfId="1" applyNumberFormat="1" applyBorder="1" applyAlignment="1">
      <alignment horizontal="center" vertical="center"/>
    </xf>
    <xf numFmtId="0" fontId="1" fillId="7" borderId="0" xfId="0" applyFont="1" applyFill="1" applyAlignment="1">
      <alignment horizontal="right"/>
    </xf>
    <xf numFmtId="0" fontId="0" fillId="8" borderId="79" xfId="0" applyFill="1" applyBorder="1"/>
    <xf numFmtId="0" fontId="0" fillId="8" borderId="152" xfId="0" applyFill="1" applyBorder="1"/>
    <xf numFmtId="0" fontId="1" fillId="20" borderId="106" xfId="0" applyFont="1" applyFill="1" applyBorder="1"/>
    <xf numFmtId="0" fontId="1" fillId="20" borderId="107" xfId="0" applyFont="1" applyFill="1" applyBorder="1"/>
    <xf numFmtId="0" fontId="1" fillId="20" borderId="153" xfId="0" applyFont="1" applyFill="1" applyBorder="1"/>
    <xf numFmtId="0" fontId="3" fillId="5" borderId="120" xfId="0" applyFont="1" applyFill="1" applyBorder="1" applyAlignment="1">
      <alignment horizontal="center" vertical="center"/>
    </xf>
    <xf numFmtId="0" fontId="3" fillId="5" borderId="123" xfId="0" applyFont="1" applyFill="1" applyBorder="1" applyAlignment="1">
      <alignment horizontal="center" vertical="center"/>
    </xf>
    <xf numFmtId="0" fontId="3" fillId="5" borderId="128" xfId="0" applyFont="1" applyFill="1" applyBorder="1" applyAlignment="1">
      <alignment horizontal="center" vertical="center"/>
    </xf>
    <xf numFmtId="0" fontId="3" fillId="5" borderId="121" xfId="0" applyFont="1" applyFill="1" applyBorder="1" applyAlignment="1">
      <alignment horizontal="center" vertical="center"/>
    </xf>
    <xf numFmtId="0" fontId="3" fillId="5" borderId="12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29" xfId="0" applyFont="1" applyFill="1" applyBorder="1" applyAlignment="1">
      <alignment horizontal="center" vertical="center"/>
    </xf>
    <xf numFmtId="0" fontId="3" fillId="5" borderId="125" xfId="0" applyFont="1" applyFill="1" applyBorder="1" applyAlignment="1">
      <alignment horizontal="center" vertical="center"/>
    </xf>
    <xf numFmtId="0" fontId="3" fillId="5" borderId="127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13" xfId="0" applyFont="1" applyFill="1" applyBorder="1" applyAlignment="1">
      <alignment horizontal="center" vertical="center"/>
    </xf>
    <xf numFmtId="0" fontId="3" fillId="5" borderId="108" xfId="0" applyFont="1" applyFill="1" applyBorder="1" applyAlignment="1">
      <alignment horizontal="center" vertical="center"/>
    </xf>
    <xf numFmtId="0" fontId="3" fillId="5" borderId="126" xfId="0" applyFont="1" applyFill="1" applyBorder="1" applyAlignment="1">
      <alignment horizontal="center" vertical="center"/>
    </xf>
    <xf numFmtId="0" fontId="0" fillId="5" borderId="38" xfId="0" applyFill="1" applyBorder="1"/>
    <xf numFmtId="0" fontId="3" fillId="5" borderId="39" xfId="0" applyFont="1" applyFill="1" applyBorder="1" applyAlignment="1">
      <alignment horizontal="center" vertical="center"/>
    </xf>
    <xf numFmtId="0" fontId="0" fillId="5" borderId="76" xfId="0" applyFill="1" applyBorder="1"/>
    <xf numFmtId="0" fontId="3" fillId="5" borderId="4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2" fontId="0" fillId="5" borderId="130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131" xfId="0" applyNumberFormat="1" applyFill="1" applyBorder="1" applyAlignment="1">
      <alignment horizontal="center" vertical="center"/>
    </xf>
    <xf numFmtId="0" fontId="0" fillId="23" borderId="154" xfId="0" applyFill="1" applyBorder="1"/>
    <xf numFmtId="0" fontId="3" fillId="3" borderId="13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38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5" borderId="13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0" fillId="15" borderId="137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3" fillId="5" borderId="1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5" borderId="27" xfId="0" applyFill="1" applyBorder="1"/>
    <xf numFmtId="0" fontId="0" fillId="3" borderId="123" xfId="0" applyFill="1" applyBorder="1" applyAlignment="1">
      <alignment horizontal="center" vertical="center"/>
    </xf>
    <xf numFmtId="0" fontId="0" fillId="3" borderId="157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7" borderId="67" xfId="0" applyNumberFormat="1" applyFont="1" applyFill="1" applyBorder="1" applyAlignment="1">
      <alignment horizontal="center" vertical="center"/>
    </xf>
    <xf numFmtId="0" fontId="0" fillId="2" borderId="16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55" xfId="0" applyFill="1" applyBorder="1" applyAlignment="1">
      <alignment horizontal="center" vertical="center"/>
    </xf>
    <xf numFmtId="0" fontId="0" fillId="2" borderId="156" xfId="0" applyFill="1" applyBorder="1" applyAlignment="1">
      <alignment horizontal="center" vertical="center"/>
    </xf>
    <xf numFmtId="0" fontId="0" fillId="2" borderId="16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4" borderId="45" xfId="0" applyFill="1" applyBorder="1"/>
    <xf numFmtId="0" fontId="0" fillId="24" borderId="47" xfId="0" applyFill="1" applyBorder="1"/>
    <xf numFmtId="0" fontId="1" fillId="10" borderId="53" xfId="0" applyFont="1" applyFill="1" applyBorder="1" applyAlignment="1">
      <alignment horizontal="center"/>
    </xf>
    <xf numFmtId="0" fontId="1" fillId="10" borderId="73" xfId="0" applyFont="1" applyFill="1" applyBorder="1" applyAlignment="1">
      <alignment horizontal="center"/>
    </xf>
    <xf numFmtId="0" fontId="1" fillId="10" borderId="145" xfId="0" applyFont="1" applyFill="1" applyBorder="1" applyAlignment="1">
      <alignment horizontal="center"/>
    </xf>
    <xf numFmtId="0" fontId="1" fillId="6" borderId="13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8" borderId="79" xfId="0" applyFont="1" applyFill="1" applyBorder="1" applyAlignment="1">
      <alignment horizontal="center"/>
    </xf>
    <xf numFmtId="0" fontId="1" fillId="19" borderId="146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109" xfId="0" applyFont="1" applyFill="1" applyBorder="1" applyAlignment="1">
      <alignment horizontal="center"/>
    </xf>
    <xf numFmtId="0" fontId="1" fillId="10" borderId="137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" fillId="13" borderId="13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55" xfId="0" applyFill="1" applyBorder="1" applyAlignment="1">
      <alignment horizontal="center"/>
    </xf>
    <xf numFmtId="0" fontId="0" fillId="16" borderId="77" xfId="0" applyFill="1" applyBorder="1" applyAlignment="1">
      <alignment horizontal="center"/>
    </xf>
    <xf numFmtId="0" fontId="0" fillId="16" borderId="56" xfId="0" applyFill="1" applyBorder="1" applyAlignment="1">
      <alignment horizontal="center"/>
    </xf>
    <xf numFmtId="0" fontId="1" fillId="11" borderId="13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4" borderId="146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147" xfId="0" applyFont="1" applyFill="1" applyBorder="1" applyAlignment="1">
      <alignment horizontal="center"/>
    </xf>
    <xf numFmtId="0" fontId="1" fillId="2" borderId="14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64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09" xfId="0" applyFont="1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57" xfId="0" applyFill="1" applyBorder="1" applyAlignment="1">
      <alignment horizontal="center"/>
    </xf>
    <xf numFmtId="0" fontId="1" fillId="8" borderId="57" xfId="0" applyFont="1" applyFill="1" applyBorder="1" applyAlignment="1">
      <alignment horizontal="left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15" fillId="18" borderId="94" xfId="2" applyFont="1" applyAlignment="1">
      <alignment horizontal="center" wrapText="1"/>
    </xf>
    <xf numFmtId="0" fontId="1" fillId="11" borderId="53" xfId="0" applyFont="1" applyFill="1" applyBorder="1" applyAlignment="1">
      <alignment horizontal="center"/>
    </xf>
    <xf numFmtId="0" fontId="1" fillId="11" borderId="73" xfId="0" applyFont="1" applyFill="1" applyBorder="1" applyAlignment="1">
      <alignment horizontal="center"/>
    </xf>
    <xf numFmtId="0" fontId="1" fillId="11" borderId="145" xfId="0" applyFont="1" applyFill="1" applyBorder="1" applyAlignment="1">
      <alignment horizontal="center"/>
    </xf>
    <xf numFmtId="0" fontId="1" fillId="13" borderId="53" xfId="0" applyFont="1" applyFill="1" applyBorder="1" applyAlignment="1">
      <alignment horizontal="center"/>
    </xf>
    <xf numFmtId="0" fontId="1" fillId="13" borderId="73" xfId="0" applyFont="1" applyFill="1" applyBorder="1" applyAlignment="1">
      <alignment horizontal="center"/>
    </xf>
    <xf numFmtId="0" fontId="1" fillId="13" borderId="145" xfId="0" applyFont="1" applyFill="1" applyBorder="1" applyAlignment="1">
      <alignment horizontal="center"/>
    </xf>
    <xf numFmtId="0" fontId="0" fillId="21" borderId="45" xfId="0" applyFill="1" applyBorder="1" applyAlignment="1">
      <alignment horizontal="center"/>
    </xf>
    <xf numFmtId="0" fontId="0" fillId="21" borderId="47" xfId="0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0" fillId="12" borderId="161" xfId="0" applyFont="1" applyFill="1" applyBorder="1" applyAlignment="1">
      <alignment horizontal="center"/>
    </xf>
    <xf numFmtId="0" fontId="10" fillId="12" borderId="162" xfId="0" applyFont="1" applyFill="1" applyBorder="1" applyAlignment="1">
      <alignment horizontal="center"/>
    </xf>
    <xf numFmtId="0" fontId="10" fillId="12" borderId="163" xfId="0" applyFont="1" applyFill="1" applyBorder="1" applyAlignment="1">
      <alignment horizontal="center"/>
    </xf>
    <xf numFmtId="0" fontId="15" fillId="18" borderId="94" xfId="2" applyFont="1" applyAlignment="1">
      <alignment horizontal="left" vertical="top" wrapText="1"/>
    </xf>
    <xf numFmtId="0" fontId="1" fillId="20" borderId="34" xfId="0" applyFont="1" applyFill="1" applyBorder="1" applyAlignment="1">
      <alignment horizontal="left"/>
    </xf>
    <xf numFmtId="0" fontId="1" fillId="20" borderId="151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41" xfId="0" applyFont="1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1" fillId="8" borderId="64" xfId="0" applyFont="1" applyFill="1" applyBorder="1" applyAlignment="1">
      <alignment horizontal="center"/>
    </xf>
    <xf numFmtId="0" fontId="1" fillId="8" borderId="65" xfId="0" applyFont="1" applyFill="1" applyBorder="1" applyAlignment="1">
      <alignment horizontal="center"/>
    </xf>
    <xf numFmtId="0" fontId="4" fillId="3" borderId="84" xfId="0" applyFont="1" applyFill="1" applyBorder="1" applyAlignment="1">
      <alignment horizontal="center" vertical="center" wrapText="1"/>
    </xf>
    <xf numFmtId="0" fontId="4" fillId="3" borderId="85" xfId="0" applyFont="1" applyFill="1" applyBorder="1" applyAlignment="1">
      <alignment horizontal="center" vertical="center" wrapText="1"/>
    </xf>
    <xf numFmtId="0" fontId="4" fillId="3" borderId="86" xfId="0" applyFont="1" applyFill="1" applyBorder="1" applyAlignment="1">
      <alignment horizontal="center" vertical="center" wrapText="1"/>
    </xf>
    <xf numFmtId="0" fontId="1" fillId="8" borderId="58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0" fillId="5" borderId="61" xfId="0" applyFill="1" applyBorder="1" applyAlignment="1">
      <alignment horizontal="left"/>
    </xf>
    <xf numFmtId="0" fontId="0" fillId="5" borderId="62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1" xfId="0" applyFill="1" applyBorder="1" applyAlignment="1">
      <alignment horizontal="left"/>
    </xf>
    <xf numFmtId="0" fontId="1" fillId="8" borderId="34" xfId="0" applyFont="1" applyFill="1" applyBorder="1" applyAlignment="1">
      <alignment horizontal="left"/>
    </xf>
    <xf numFmtId="0" fontId="1" fillId="8" borderId="55" xfId="0" applyFont="1" applyFill="1" applyBorder="1" applyAlignment="1">
      <alignment horizontal="left"/>
    </xf>
    <xf numFmtId="0" fontId="1" fillId="8" borderId="36" xfId="0" applyFont="1" applyFill="1" applyBorder="1" applyAlignment="1">
      <alignment horizontal="left"/>
    </xf>
    <xf numFmtId="0" fontId="1" fillId="8" borderId="79" xfId="0" applyFont="1" applyFill="1" applyBorder="1" applyAlignment="1">
      <alignment horizontal="left"/>
    </xf>
    <xf numFmtId="0" fontId="1" fillId="8" borderId="57" xfId="0" applyFont="1" applyFill="1" applyBorder="1" applyAlignment="1">
      <alignment horizontal="left" vertical="center"/>
    </xf>
    <xf numFmtId="0" fontId="0" fillId="22" borderId="42" xfId="0" applyFill="1" applyBorder="1" applyAlignment="1">
      <alignment horizontal="center"/>
    </xf>
    <xf numFmtId="0" fontId="0" fillId="22" borderId="44" xfId="0" applyFill="1" applyBorder="1" applyAlignment="1">
      <alignment horizontal="center"/>
    </xf>
  </cellXfs>
  <cellStyles count="3">
    <cellStyle name="Ausgabe" xfId="1" builtinId="21"/>
    <cellStyle name="Notiz" xfId="2" builtinId="10"/>
    <cellStyle name="Standard" xfId="0" builtinId="0"/>
  </cellStyles>
  <dxfs count="4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3BE7B"/>
      <color rgb="FFF8696B"/>
      <color rgb="FFFFE1FF"/>
      <color rgb="FFFFB9FF"/>
      <color rgb="FF807AEB"/>
      <color rgb="FFF78181"/>
      <color rgb="FF9117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E112"/>
  <sheetViews>
    <sheetView tabSelected="1" topLeftCell="A3" zoomScaleNormal="100" workbookViewId="0">
      <selection activeCell="G35" sqref="G35"/>
    </sheetView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4" t="s">
        <v>0</v>
      </c>
      <c r="C1" s="385"/>
      <c r="D1" s="260" t="s">
        <v>79</v>
      </c>
      <c r="E1" s="261"/>
      <c r="F1" s="261"/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09" t="s">
        <v>3</v>
      </c>
      <c r="C2" s="410"/>
      <c r="D2" s="258">
        <v>429</v>
      </c>
      <c r="E2" s="412" t="s">
        <v>4</v>
      </c>
      <c r="F2" s="412"/>
      <c r="G2" s="258">
        <v>9.1</v>
      </c>
      <c r="H2" s="412" t="s">
        <v>5</v>
      </c>
      <c r="I2" s="412"/>
      <c r="J2" s="258">
        <v>0.5</v>
      </c>
      <c r="K2" s="337" t="s">
        <v>6</v>
      </c>
      <c r="L2" s="337"/>
      <c r="M2" s="259">
        <v>1.76</v>
      </c>
      <c r="O2" s="59" t="s">
        <v>7</v>
      </c>
      <c r="P2" s="60" t="s">
        <v>8</v>
      </c>
      <c r="Q2" s="61" t="s">
        <v>9</v>
      </c>
      <c r="S2" s="400" t="s">
        <v>10</v>
      </c>
      <c r="T2" s="401"/>
      <c r="U2" s="401"/>
      <c r="V2" s="401"/>
      <c r="W2" s="401"/>
      <c r="X2" s="401"/>
      <c r="Y2" s="401"/>
      <c r="Z2" s="401"/>
      <c r="AA2" s="402"/>
    </row>
    <row r="3" spans="1:57" ht="19.899999999999999" customHeight="1" thickTop="1" thickBot="1" x14ac:dyDescent="0.35">
      <c r="B3" s="411" t="s">
        <v>11</v>
      </c>
      <c r="C3" s="366"/>
      <c r="D3" s="57">
        <v>515</v>
      </c>
      <c r="E3" s="366" t="s">
        <v>12</v>
      </c>
      <c r="F3" s="366"/>
      <c r="G3" s="57">
        <v>7.94</v>
      </c>
      <c r="H3" s="413" t="s">
        <v>13</v>
      </c>
      <c r="I3" s="413"/>
      <c r="J3" s="57">
        <v>4.5</v>
      </c>
      <c r="K3" s="395"/>
      <c r="L3" s="396"/>
      <c r="M3" s="58"/>
      <c r="O3" s="42"/>
      <c r="P3" s="62"/>
      <c r="Q3" s="63"/>
      <c r="S3" s="403"/>
      <c r="T3" s="404"/>
      <c r="U3" s="404"/>
      <c r="V3" s="404"/>
      <c r="W3" s="404"/>
      <c r="X3" s="404"/>
      <c r="Y3" s="404"/>
      <c r="Z3" s="404"/>
      <c r="AA3" s="405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6"/>
      <c r="T4" s="407"/>
      <c r="U4" s="407"/>
      <c r="V4" s="407"/>
      <c r="W4" s="407"/>
      <c r="X4" s="407"/>
      <c r="Y4" s="407"/>
      <c r="Z4" s="407"/>
      <c r="AA4" s="408"/>
    </row>
    <row r="5" spans="1:57" ht="17.149999999999999" customHeight="1" outlineLevel="1" x14ac:dyDescent="0.3">
      <c r="B5" s="309" t="s">
        <v>23</v>
      </c>
      <c r="C5" s="223">
        <v>80</v>
      </c>
      <c r="D5" s="224">
        <v>90</v>
      </c>
      <c r="E5" s="224">
        <v>100</v>
      </c>
      <c r="F5" s="326">
        <v>100</v>
      </c>
      <c r="G5" s="321">
        <v>100</v>
      </c>
      <c r="H5" s="327">
        <v>100</v>
      </c>
      <c r="I5" s="327">
        <v>100</v>
      </c>
      <c r="J5" s="328">
        <v>100</v>
      </c>
      <c r="L5" s="376" t="s">
        <v>24</v>
      </c>
      <c r="M5" s="377"/>
      <c r="O5" s="42"/>
      <c r="P5" s="62"/>
      <c r="Q5" s="64"/>
      <c r="S5" s="406"/>
      <c r="T5" s="407"/>
      <c r="U5" s="407"/>
      <c r="V5" s="407"/>
      <c r="W5" s="407"/>
      <c r="X5" s="407"/>
      <c r="Y5" s="407"/>
      <c r="Z5" s="407"/>
      <c r="AA5" s="408"/>
    </row>
    <row r="6" spans="1:57" ht="17.149999999999999" customHeight="1" outlineLevel="1" x14ac:dyDescent="0.3">
      <c r="B6" s="309" t="s">
        <v>25</v>
      </c>
      <c r="C6" s="306">
        <v>80</v>
      </c>
      <c r="D6" s="307">
        <v>90</v>
      </c>
      <c r="E6" s="307">
        <v>100</v>
      </c>
      <c r="F6" s="307">
        <v>100</v>
      </c>
      <c r="G6" s="307">
        <v>110</v>
      </c>
      <c r="H6" s="307">
        <v>110</v>
      </c>
      <c r="I6" s="307">
        <v>120</v>
      </c>
      <c r="J6" s="308">
        <v>120</v>
      </c>
      <c r="L6" s="367"/>
      <c r="M6" s="368"/>
      <c r="O6" s="42"/>
      <c r="P6" s="62"/>
      <c r="Q6" s="64"/>
      <c r="S6" s="389"/>
      <c r="T6" s="390"/>
      <c r="U6" s="390"/>
      <c r="V6" s="390"/>
      <c r="W6" s="390"/>
      <c r="X6" s="390"/>
      <c r="Y6" s="390"/>
      <c r="Z6" s="390"/>
      <c r="AA6" s="391"/>
    </row>
    <row r="7" spans="1:57" ht="17.149999999999999" customHeight="1" outlineLevel="1" x14ac:dyDescent="0.3">
      <c r="B7" s="222">
        <v>8</v>
      </c>
      <c r="C7" s="321">
        <v>500</v>
      </c>
      <c r="D7" s="328">
        <v>500</v>
      </c>
      <c r="E7" s="321">
        <v>100</v>
      </c>
      <c r="F7" s="327">
        <v>100</v>
      </c>
      <c r="G7" s="327">
        <v>100</v>
      </c>
      <c r="H7" s="327">
        <v>100</v>
      </c>
      <c r="I7" s="327">
        <v>100</v>
      </c>
      <c r="J7" s="328">
        <v>100</v>
      </c>
      <c r="L7" s="329" t="s">
        <v>26</v>
      </c>
      <c r="M7" s="330"/>
      <c r="O7" s="378" t="s">
        <v>27</v>
      </c>
      <c r="P7" s="379"/>
      <c r="Q7" s="289"/>
      <c r="S7" s="392"/>
      <c r="T7" s="393"/>
      <c r="U7" s="393"/>
      <c r="V7" s="393"/>
      <c r="W7" s="393"/>
      <c r="X7" s="393"/>
      <c r="Y7" s="393"/>
      <c r="Z7" s="393"/>
      <c r="AA7" s="394"/>
    </row>
    <row r="8" spans="1:57" ht="17.149999999999999" customHeight="1" outlineLevel="1" x14ac:dyDescent="0.3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4" t="s">
        <v>28</v>
      </c>
      <c r="C9" s="335"/>
      <c r="D9" s="335"/>
      <c r="E9" s="335"/>
      <c r="F9" s="336"/>
      <c r="G9" s="214"/>
      <c r="H9" s="40"/>
      <c r="I9" s="40"/>
      <c r="J9" s="41"/>
      <c r="M9" s="345" t="s">
        <v>29</v>
      </c>
      <c r="N9" s="346"/>
      <c r="O9" s="346"/>
      <c r="P9" s="346"/>
      <c r="Q9" s="347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7" t="s">
        <v>31</v>
      </c>
      <c r="AH9" s="398"/>
      <c r="AI9" s="398"/>
      <c r="AJ9" s="398"/>
      <c r="AK9" s="398"/>
      <c r="AL9" s="398"/>
      <c r="AM9" s="398"/>
      <c r="AN9" s="398"/>
      <c r="AO9" s="399"/>
      <c r="AR9" s="386" t="s">
        <v>32</v>
      </c>
      <c r="AS9" s="387"/>
      <c r="AT9" s="387"/>
      <c r="AU9" s="387"/>
      <c r="AV9" s="387"/>
      <c r="AW9" s="387"/>
      <c r="AX9" s="387"/>
      <c r="AY9" s="387"/>
      <c r="AZ9" s="388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>
        <v>4.2140000000000004</v>
      </c>
      <c r="D11" s="7">
        <v>3.194</v>
      </c>
      <c r="E11" s="7">
        <v>2.6259999999999999</v>
      </c>
      <c r="F11" s="184">
        <v>2.5640000000000001</v>
      </c>
      <c r="G11" s="290">
        <v>0.16300000000000001</v>
      </c>
      <c r="H11" s="291">
        <v>0.16600000000000001</v>
      </c>
      <c r="I11" s="291">
        <v>0.16600000000000001</v>
      </c>
      <c r="J11" s="175">
        <v>0.17499999999999999</v>
      </c>
      <c r="M11" s="26">
        <v>1</v>
      </c>
      <c r="N11" s="165">
        <f>IF(AND(ISNUMBER(C11),X11&lt;&gt;0),C11/X11,"")</f>
        <v>1.097595618438111</v>
      </c>
      <c r="O11" s="163">
        <f t="shared" ref="O11:U11" si="0">IF(AND(ISNUMBER(D11),Y11&lt;&gt;0),D11/Y11,"")</f>
        <v>1.0654878371719974</v>
      </c>
      <c r="P11" s="163">
        <f t="shared" si="0"/>
        <v>1.047445064267849</v>
      </c>
      <c r="Q11" s="164">
        <f t="shared" si="0"/>
        <v>1.0227148304580216</v>
      </c>
      <c r="R11" s="292">
        <f t="shared" si="0"/>
        <v>0.75990675990675993</v>
      </c>
      <c r="S11" s="293">
        <f t="shared" si="0"/>
        <v>0.773892773892774</v>
      </c>
      <c r="T11" s="293">
        <f t="shared" si="0"/>
        <v>0.773892773892774</v>
      </c>
      <c r="U11" s="181">
        <f t="shared" si="0"/>
        <v>0.81585081585081576</v>
      </c>
      <c r="W11" s="26">
        <v>1</v>
      </c>
      <c r="X11" s="263">
        <f t="shared" ref="X11:AE18" si="1">AH11*$D$2/1000000</f>
        <v>3.8393010405749997</v>
      </c>
      <c r="Y11" s="264">
        <f t="shared" si="1"/>
        <v>2.9976879027333334</v>
      </c>
      <c r="Z11" s="264">
        <f t="shared" si="1"/>
        <v>2.5070527224599997</v>
      </c>
      <c r="AA11" s="265">
        <f t="shared" si="1"/>
        <v>2.5070527224599997</v>
      </c>
      <c r="AB11" s="294">
        <f t="shared" si="1"/>
        <v>0.2145</v>
      </c>
      <c r="AC11" s="296">
        <f t="shared" si="1"/>
        <v>0.2145</v>
      </c>
      <c r="AD11" s="296">
        <f t="shared" si="1"/>
        <v>0.2145</v>
      </c>
      <c r="AE11" s="295">
        <f t="shared" si="1"/>
        <v>0.2145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>
        <v>4.2140000000000004</v>
      </c>
      <c r="D12" s="9">
        <v>4.2770000000000001</v>
      </c>
      <c r="E12" s="10">
        <v>2.5179999999999998</v>
      </c>
      <c r="F12" s="22">
        <v>2.5880000000000001</v>
      </c>
      <c r="G12" s="6">
        <v>2.1</v>
      </c>
      <c r="H12" s="7">
        <v>2.0990000000000002</v>
      </c>
      <c r="I12" s="7">
        <v>1.673</v>
      </c>
      <c r="J12" s="21">
        <v>1.74</v>
      </c>
      <c r="M12" s="27">
        <v>2</v>
      </c>
      <c r="N12" s="160">
        <f t="shared" ref="N12:N18" si="2">IF(AND(ISNUMBER(C12),X12&lt;&gt;0),C12/X12,"")</f>
        <v>1.097595618438111</v>
      </c>
      <c r="O12" s="158">
        <f t="shared" ref="O12:O18" si="3">IF(AND(ISNUMBER(D12),Y12&lt;&gt;0),D12/Y12,"")</f>
        <v>1.4267662741341993</v>
      </c>
      <c r="P12" s="158">
        <f t="shared" ref="P12:P18" si="4">IF(AND(ISNUMBER(E12),Z12&lt;&gt;0),E12/Z12,"")</f>
        <v>1.0043665924700851</v>
      </c>
      <c r="Q12" s="159">
        <f t="shared" ref="Q12:Q18" si="5">IF(AND(ISNUMBER(F12),AA12&lt;&gt;0),F12/AA12,"")</f>
        <v>1.032287824190858</v>
      </c>
      <c r="R12" s="165">
        <f t="shared" ref="R12:R18" si="6">IF(AND(ISNUMBER(G12),AB12&lt;&gt;0),G12/AB12,"")</f>
        <v>1.0318061677257861</v>
      </c>
      <c r="S12" s="163">
        <f t="shared" ref="S12:S18" si="7">IF(AND(ISNUMBER(H12),AC12&lt;&gt;0),H12/AC12,"")</f>
        <v>1.0313148314554406</v>
      </c>
      <c r="T12" s="163">
        <f t="shared" ref="T12:T18" si="8">IF(AND(ISNUMBER(I12),AD12&lt;&gt;0),I12/AD12,"")</f>
        <v>0.98115967310793029</v>
      </c>
      <c r="U12" s="164">
        <f t="shared" ref="U12:U18" si="9">IF(AND(ISNUMBER(J12),AE12&lt;&gt;0),J12/AE12,"")</f>
        <v>1.0204529774105191</v>
      </c>
      <c r="W12" s="27">
        <v>2</v>
      </c>
      <c r="X12" s="267">
        <f>AH12*$D$2/1000000</f>
        <v>3.8393010405749997</v>
      </c>
      <c r="Y12" s="268">
        <f t="shared" si="1"/>
        <v>2.9976879027333334</v>
      </c>
      <c r="Z12" s="268">
        <f t="shared" si="1"/>
        <v>2.5070527224599997</v>
      </c>
      <c r="AA12" s="269">
        <f t="shared" si="1"/>
        <v>2.5070527224599997</v>
      </c>
      <c r="AB12" s="267">
        <f t="shared" si="1"/>
        <v>2.0352659886000004</v>
      </c>
      <c r="AC12" s="268">
        <f t="shared" si="1"/>
        <v>2.0352659886000004</v>
      </c>
      <c r="AD12" s="268">
        <f t="shared" si="1"/>
        <v>1.7051251145499999</v>
      </c>
      <c r="AE12" s="270">
        <f t="shared" si="1"/>
        <v>1.7051251145499999</v>
      </c>
      <c r="AG12" s="107">
        <v>2</v>
      </c>
      <c r="AH12" s="86">
        <f t="shared" ref="AH12:AH15" si="10">AS12/C$6*1000</f>
        <v>8949.4196749999992</v>
      </c>
      <c r="AI12" s="103">
        <f t="shared" ref="AI12:AI15" si="11">AT12/D$6*1000</f>
        <v>6987.6174888888891</v>
      </c>
      <c r="AJ12" s="103">
        <f t="shared" ref="AJ12:AJ15" si="12">AU12/E$6*1000</f>
        <v>5843.9457400000001</v>
      </c>
      <c r="AK12" s="87">
        <f t="shared" ref="AK12:AK15" si="13">AV12/F$6*1000</f>
        <v>5843.9457400000001</v>
      </c>
      <c r="AL12" s="103">
        <f t="shared" ref="AL12:AL15" si="14">AW12/G$6*1000</f>
        <v>4744.2097636363642</v>
      </c>
      <c r="AM12" s="103">
        <f t="shared" ref="AM12:AM15" si="15">AX12/H$6*1000</f>
        <v>4744.2097636363642</v>
      </c>
      <c r="AN12" s="103">
        <f t="shared" ref="AN12:AN15" si="16">AY12/I$6*1000</f>
        <v>3974.6506166666663</v>
      </c>
      <c r="AO12" s="87">
        <f t="shared" ref="AO12:AO15" si="17">AZ12/J$6*1000</f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>
        <v>4.18</v>
      </c>
      <c r="D13" s="38">
        <v>3.242</v>
      </c>
      <c r="E13" s="9">
        <v>2.2589999999999999</v>
      </c>
      <c r="F13" s="22">
        <v>2.5110000000000001</v>
      </c>
      <c r="G13" s="8">
        <v>2.0870000000000002</v>
      </c>
      <c r="H13" s="9">
        <v>2.1040000000000001</v>
      </c>
      <c r="I13" s="9">
        <v>1.7470000000000001</v>
      </c>
      <c r="J13" s="22">
        <v>1.754</v>
      </c>
      <c r="M13" s="27">
        <v>3</v>
      </c>
      <c r="N13" s="160">
        <f t="shared" si="2"/>
        <v>1.0887398398365695</v>
      </c>
      <c r="O13" s="158">
        <f t="shared" si="3"/>
        <v>1.081500177868383</v>
      </c>
      <c r="P13" s="158">
        <f t="shared" si="4"/>
        <v>0.90105803510322569</v>
      </c>
      <c r="Q13" s="159">
        <f t="shared" si="5"/>
        <v>1.001574469298008</v>
      </c>
      <c r="R13" s="160">
        <f t="shared" si="6"/>
        <v>1.0254187962112933</v>
      </c>
      <c r="S13" s="158">
        <f t="shared" si="7"/>
        <v>1.0337715128071687</v>
      </c>
      <c r="T13" s="158">
        <f t="shared" si="8"/>
        <v>1.0245582480092972</v>
      </c>
      <c r="U13" s="159">
        <f t="shared" si="9"/>
        <v>1.028663518608075</v>
      </c>
      <c r="W13" s="27">
        <v>3</v>
      </c>
      <c r="X13" s="267">
        <f t="shared" si="1"/>
        <v>3.8393010405749997</v>
      </c>
      <c r="Y13" s="268">
        <f t="shared" si="1"/>
        <v>2.9976879027333334</v>
      </c>
      <c r="Z13" s="268">
        <f t="shared" si="1"/>
        <v>2.5070527224599997</v>
      </c>
      <c r="AA13" s="269">
        <f t="shared" si="1"/>
        <v>2.5070527224599997</v>
      </c>
      <c r="AB13" s="267">
        <f t="shared" si="1"/>
        <v>2.0352659886000004</v>
      </c>
      <c r="AC13" s="268">
        <f t="shared" si="1"/>
        <v>2.0352659886000004</v>
      </c>
      <c r="AD13" s="268">
        <f t="shared" si="1"/>
        <v>1.7051251145499999</v>
      </c>
      <c r="AE13" s="270">
        <f t="shared" si="1"/>
        <v>1.7051251145499999</v>
      </c>
      <c r="AG13" s="107">
        <v>3</v>
      </c>
      <c r="AH13" s="86">
        <f t="shared" si="10"/>
        <v>8949.4196749999992</v>
      </c>
      <c r="AI13" s="103">
        <f t="shared" si="11"/>
        <v>6987.6174888888891</v>
      </c>
      <c r="AJ13" s="103">
        <f t="shared" si="12"/>
        <v>5843.9457400000001</v>
      </c>
      <c r="AK13" s="87">
        <f t="shared" si="13"/>
        <v>5843.9457400000001</v>
      </c>
      <c r="AL13" s="103">
        <f t="shared" si="14"/>
        <v>4744.2097636363642</v>
      </c>
      <c r="AM13" s="103">
        <f t="shared" si="15"/>
        <v>4744.2097636363642</v>
      </c>
      <c r="AN13" s="103">
        <f t="shared" si="16"/>
        <v>3974.6506166666663</v>
      </c>
      <c r="AO13" s="87">
        <f t="shared" si="17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>
        <v>4.2080000000000002</v>
      </c>
      <c r="D14" s="23">
        <v>3.1819999999999999</v>
      </c>
      <c r="E14" s="23">
        <v>2.6309999999999998</v>
      </c>
      <c r="F14" s="24">
        <v>2.5779999999999998</v>
      </c>
      <c r="G14" s="25">
        <v>2.0750000000000002</v>
      </c>
      <c r="H14" s="23">
        <v>2.1019999999999999</v>
      </c>
      <c r="I14" s="23">
        <v>1.7370000000000001</v>
      </c>
      <c r="J14" s="24">
        <v>1.7430000000000001</v>
      </c>
      <c r="M14" s="28">
        <v>4</v>
      </c>
      <c r="N14" s="178">
        <f t="shared" si="2"/>
        <v>1.0960328339790155</v>
      </c>
      <c r="O14" s="161">
        <f t="shared" si="3"/>
        <v>1.0614847519979009</v>
      </c>
      <c r="P14" s="161">
        <f t="shared" si="4"/>
        <v>1.0494394379621899</v>
      </c>
      <c r="Q14" s="162">
        <f t="shared" si="5"/>
        <v>1.028299076802176</v>
      </c>
      <c r="R14" s="178">
        <f t="shared" si="6"/>
        <v>1.019522760967146</v>
      </c>
      <c r="S14" s="161">
        <f t="shared" si="7"/>
        <v>1.0327888402664773</v>
      </c>
      <c r="T14" s="161">
        <f t="shared" si="8"/>
        <v>1.0186935757253286</v>
      </c>
      <c r="U14" s="162">
        <f t="shared" si="9"/>
        <v>1.0222123790957098</v>
      </c>
      <c r="W14" s="28">
        <v>4</v>
      </c>
      <c r="X14" s="271">
        <f t="shared" si="1"/>
        <v>3.8393010405749997</v>
      </c>
      <c r="Y14" s="272">
        <f t="shared" si="1"/>
        <v>2.9976879027333334</v>
      </c>
      <c r="Z14" s="272">
        <f t="shared" si="1"/>
        <v>2.5070527224599997</v>
      </c>
      <c r="AA14" s="273">
        <f t="shared" si="1"/>
        <v>2.5070527224599997</v>
      </c>
      <c r="AB14" s="274">
        <f t="shared" si="1"/>
        <v>2.0352659886000004</v>
      </c>
      <c r="AC14" s="275">
        <f t="shared" si="1"/>
        <v>2.0352659886000004</v>
      </c>
      <c r="AD14" s="275">
        <f t="shared" si="1"/>
        <v>1.7051251145499999</v>
      </c>
      <c r="AE14" s="276">
        <f t="shared" si="1"/>
        <v>1.7051251145499999</v>
      </c>
      <c r="AG14" s="108">
        <v>4</v>
      </c>
      <c r="AH14" s="91">
        <f t="shared" si="10"/>
        <v>8949.4196749999992</v>
      </c>
      <c r="AI14" s="92">
        <f t="shared" si="11"/>
        <v>6987.6174888888891</v>
      </c>
      <c r="AJ14" s="92">
        <f t="shared" si="12"/>
        <v>5843.9457400000001</v>
      </c>
      <c r="AK14" s="93">
        <f t="shared" si="13"/>
        <v>5843.9457400000001</v>
      </c>
      <c r="AL14" s="103">
        <f t="shared" si="14"/>
        <v>4744.2097636363642</v>
      </c>
      <c r="AM14" s="103">
        <f t="shared" si="15"/>
        <v>4744.2097636363642</v>
      </c>
      <c r="AN14" s="103">
        <f t="shared" si="16"/>
        <v>3974.6506166666663</v>
      </c>
      <c r="AO14" s="87">
        <f t="shared" si="17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>
        <v>4.3029999999999999</v>
      </c>
      <c r="D15" s="7">
        <v>3.2360000000000002</v>
      </c>
      <c r="E15" s="7">
        <v>2.5259999999999998</v>
      </c>
      <c r="F15" s="21">
        <v>2.593</v>
      </c>
      <c r="G15" s="6">
        <v>2.0920000000000001</v>
      </c>
      <c r="H15" s="7">
        <v>2.093</v>
      </c>
      <c r="I15" s="7">
        <v>1.7290000000000001</v>
      </c>
      <c r="J15" s="21">
        <v>1.7310000000000001</v>
      </c>
      <c r="M15" s="26">
        <v>5</v>
      </c>
      <c r="N15" s="165">
        <f t="shared" si="2"/>
        <v>1.1207769212480285</v>
      </c>
      <c r="O15" s="163">
        <f t="shared" si="3"/>
        <v>1.0794986352813349</v>
      </c>
      <c r="P15" s="163">
        <f t="shared" si="4"/>
        <v>1.0075575903810305</v>
      </c>
      <c r="Q15" s="164">
        <f t="shared" si="5"/>
        <v>1.0342821978851988</v>
      </c>
      <c r="R15" s="165">
        <f t="shared" si="6"/>
        <v>1.0278754775630212</v>
      </c>
      <c r="S15" s="163">
        <f t="shared" si="7"/>
        <v>1.0283668138333668</v>
      </c>
      <c r="T15" s="163">
        <f t="shared" si="8"/>
        <v>1.0140018378981539</v>
      </c>
      <c r="U15" s="164">
        <f t="shared" si="9"/>
        <v>1.0151747723549476</v>
      </c>
      <c r="W15" s="26">
        <v>5</v>
      </c>
      <c r="X15" s="263">
        <f>AH15*$D$2/1000000</f>
        <v>3.8393010405749997</v>
      </c>
      <c r="Y15" s="264">
        <f t="shared" si="1"/>
        <v>2.9976879027333334</v>
      </c>
      <c r="Z15" s="264">
        <f t="shared" si="1"/>
        <v>2.5070527224599997</v>
      </c>
      <c r="AA15" s="266">
        <f t="shared" si="1"/>
        <v>2.5070527224599997</v>
      </c>
      <c r="AB15" s="268">
        <f t="shared" si="1"/>
        <v>2.0352659886000004</v>
      </c>
      <c r="AC15" s="268">
        <f t="shared" si="1"/>
        <v>2.0352659886000004</v>
      </c>
      <c r="AD15" s="268">
        <f t="shared" si="1"/>
        <v>1.7051251145499999</v>
      </c>
      <c r="AE15" s="270">
        <f t="shared" si="1"/>
        <v>1.7051251145499999</v>
      </c>
      <c r="AG15" s="106">
        <v>5</v>
      </c>
      <c r="AH15" s="86">
        <f t="shared" si="10"/>
        <v>8949.4196749999992</v>
      </c>
      <c r="AI15" s="103">
        <f t="shared" si="11"/>
        <v>6987.6174888888891</v>
      </c>
      <c r="AJ15" s="103">
        <f t="shared" si="12"/>
        <v>5843.9457400000001</v>
      </c>
      <c r="AK15" s="103">
        <f t="shared" si="13"/>
        <v>5843.9457400000001</v>
      </c>
      <c r="AL15" s="83">
        <f t="shared" si="14"/>
        <v>4744.2097636363642</v>
      </c>
      <c r="AM15" s="84">
        <f t="shared" si="15"/>
        <v>4744.2097636363642</v>
      </c>
      <c r="AN15" s="84">
        <f t="shared" si="16"/>
        <v>3974.6506166666663</v>
      </c>
      <c r="AO15" s="85">
        <f t="shared" si="17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>
        <v>4.2930000000000001</v>
      </c>
      <c r="D16" s="9">
        <v>3.24</v>
      </c>
      <c r="E16" s="9">
        <v>2.5710000000000002</v>
      </c>
      <c r="F16" s="22">
        <v>2.5990000000000002</v>
      </c>
      <c r="G16" s="8">
        <v>2.0880000000000001</v>
      </c>
      <c r="H16" s="9">
        <v>2.0230000000000001</v>
      </c>
      <c r="I16" s="9">
        <v>1.72</v>
      </c>
      <c r="J16" s="22">
        <v>1.718</v>
      </c>
      <c r="M16" s="27">
        <v>6</v>
      </c>
      <c r="N16" s="160">
        <f t="shared" si="2"/>
        <v>1.1181722804828693</v>
      </c>
      <c r="O16" s="158">
        <f t="shared" si="3"/>
        <v>1.0808329970060337</v>
      </c>
      <c r="P16" s="158">
        <f t="shared" si="4"/>
        <v>1.0255069536300989</v>
      </c>
      <c r="Q16" s="159">
        <f t="shared" si="5"/>
        <v>1.036675446318408</v>
      </c>
      <c r="R16" s="160">
        <f t="shared" si="6"/>
        <v>1.0259101324816389</v>
      </c>
      <c r="S16" s="158">
        <f t="shared" si="7"/>
        <v>0.99397327490917409</v>
      </c>
      <c r="T16" s="158">
        <f t="shared" si="8"/>
        <v>1.0087236328425822</v>
      </c>
      <c r="U16" s="159">
        <f t="shared" si="9"/>
        <v>1.0075506983857885</v>
      </c>
      <c r="W16" s="27">
        <v>6</v>
      </c>
      <c r="X16" s="267">
        <f t="shared" si="1"/>
        <v>3.8393010405749997</v>
      </c>
      <c r="Y16" s="268">
        <f t="shared" si="1"/>
        <v>2.9976879027333334</v>
      </c>
      <c r="Z16" s="268">
        <f t="shared" si="1"/>
        <v>2.5070527224599997</v>
      </c>
      <c r="AA16" s="270">
        <f t="shared" si="1"/>
        <v>2.5070527224599997</v>
      </c>
      <c r="AB16" s="268">
        <f t="shared" si="1"/>
        <v>2.0352659886000004</v>
      </c>
      <c r="AC16" s="268">
        <f t="shared" si="1"/>
        <v>2.0352659886000004</v>
      </c>
      <c r="AD16" s="268">
        <f t="shared" si="1"/>
        <v>1.7051251145499999</v>
      </c>
      <c r="AE16" s="270">
        <f t="shared" si="1"/>
        <v>1.7051251145499999</v>
      </c>
      <c r="AG16" s="107">
        <v>6</v>
      </c>
      <c r="AH16" s="86">
        <f t="shared" ref="AH16:AH17" si="18">AS16/C$6*1000</f>
        <v>8949.4196749999992</v>
      </c>
      <c r="AI16" s="103">
        <f t="shared" ref="AI16:AI17" si="19">AT16/D$6*1000</f>
        <v>6987.6174888888891</v>
      </c>
      <c r="AJ16" s="103">
        <f t="shared" ref="AJ16:AJ17" si="20">AU16/E$6*1000</f>
        <v>5843.9457400000001</v>
      </c>
      <c r="AK16" s="103">
        <f t="shared" ref="AK16:AK17" si="21">AV16/F$6*1000</f>
        <v>5843.9457400000001</v>
      </c>
      <c r="AL16" s="86">
        <f t="shared" ref="AL16:AL17" si="22">AW16/G$6*1000</f>
        <v>4744.2097636363642</v>
      </c>
      <c r="AM16" s="103">
        <f t="shared" ref="AM16:AM17" si="23">AX16/H$6*1000</f>
        <v>4744.2097636363642</v>
      </c>
      <c r="AN16" s="103">
        <f t="shared" ref="AN16:AN17" si="24">AY16/I$6*1000</f>
        <v>3974.6506166666663</v>
      </c>
      <c r="AO16" s="87">
        <f t="shared" ref="AO16:AO17" si="25">AZ16/J$6*1000</f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>
        <v>4.3049999999999997</v>
      </c>
      <c r="D17" s="23">
        <v>3.2389999999999999</v>
      </c>
      <c r="E17" s="9">
        <v>2.5819999999999999</v>
      </c>
      <c r="F17" s="22">
        <v>2.6150000000000002</v>
      </c>
      <c r="G17" s="8">
        <v>1.978</v>
      </c>
      <c r="H17" s="9">
        <v>2.0939999999999999</v>
      </c>
      <c r="I17" s="9">
        <v>1.7390000000000001</v>
      </c>
      <c r="J17" s="22">
        <v>1.738</v>
      </c>
      <c r="M17" s="27">
        <v>7</v>
      </c>
      <c r="N17" s="179">
        <f t="shared" si="2"/>
        <v>1.1212978494010601</v>
      </c>
      <c r="O17" s="161">
        <f t="shared" si="3"/>
        <v>1.0804994065748588</v>
      </c>
      <c r="P17" s="158">
        <f t="shared" si="4"/>
        <v>1.0298945757576488</v>
      </c>
      <c r="Q17" s="159">
        <f t="shared" si="5"/>
        <v>1.0430574421402989</v>
      </c>
      <c r="R17" s="160">
        <f t="shared" si="6"/>
        <v>0.9718631427436214</v>
      </c>
      <c r="S17" s="158">
        <f t="shared" si="7"/>
        <v>1.0288581501037124</v>
      </c>
      <c r="T17" s="158">
        <f t="shared" si="8"/>
        <v>1.0198665101821225</v>
      </c>
      <c r="U17" s="159">
        <f t="shared" si="9"/>
        <v>1.0192800429537254</v>
      </c>
      <c r="W17" s="27">
        <v>7</v>
      </c>
      <c r="X17" s="271">
        <f t="shared" si="1"/>
        <v>3.8393010405749997</v>
      </c>
      <c r="Y17" s="272">
        <f t="shared" si="1"/>
        <v>2.9976879027333334</v>
      </c>
      <c r="Z17" s="268">
        <f t="shared" si="1"/>
        <v>2.5070527224599997</v>
      </c>
      <c r="AA17" s="270">
        <f t="shared" si="1"/>
        <v>2.5070527224599997</v>
      </c>
      <c r="AB17" s="268">
        <f t="shared" si="1"/>
        <v>2.0352659886000004</v>
      </c>
      <c r="AC17" s="268">
        <f t="shared" si="1"/>
        <v>2.0352659886000004</v>
      </c>
      <c r="AD17" s="268">
        <f t="shared" si="1"/>
        <v>1.7051251145499999</v>
      </c>
      <c r="AE17" s="270">
        <f t="shared" si="1"/>
        <v>1.7051251145499999</v>
      </c>
      <c r="AG17" s="107">
        <v>7</v>
      </c>
      <c r="AH17" s="86">
        <f t="shared" si="18"/>
        <v>8949.4196749999992</v>
      </c>
      <c r="AI17" s="103">
        <f t="shared" si="19"/>
        <v>6987.6174888888891</v>
      </c>
      <c r="AJ17" s="103">
        <f t="shared" si="20"/>
        <v>5843.9457400000001</v>
      </c>
      <c r="AK17" s="103">
        <f t="shared" si="21"/>
        <v>5843.9457400000001</v>
      </c>
      <c r="AL17" s="86">
        <f t="shared" si="22"/>
        <v>4744.2097636363642</v>
      </c>
      <c r="AM17" s="103">
        <f t="shared" si="23"/>
        <v>4744.2097636363642</v>
      </c>
      <c r="AN17" s="103">
        <f t="shared" si="24"/>
        <v>3974.6506166666663</v>
      </c>
      <c r="AO17" s="87">
        <f t="shared" si="25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 t="s">
        <v>80</v>
      </c>
      <c r="D18" s="175" t="s">
        <v>80</v>
      </c>
      <c r="E18" s="174" t="s">
        <v>80</v>
      </c>
      <c r="F18" s="24" t="s">
        <v>80</v>
      </c>
      <c r="G18" s="25" t="s">
        <v>81</v>
      </c>
      <c r="H18" s="23" t="s">
        <v>81</v>
      </c>
      <c r="I18" s="23" t="s">
        <v>81</v>
      </c>
      <c r="J18" s="24" t="s">
        <v>81</v>
      </c>
      <c r="M18" s="28">
        <v>8</v>
      </c>
      <c r="N18" s="180" t="str">
        <f t="shared" si="2"/>
        <v/>
      </c>
      <c r="O18" s="181" t="str">
        <f t="shared" si="3"/>
        <v/>
      </c>
      <c r="P18" s="178" t="str">
        <f t="shared" si="4"/>
        <v/>
      </c>
      <c r="Q18" s="162" t="str">
        <f t="shared" si="5"/>
        <v/>
      </c>
      <c r="R18" s="178" t="str">
        <f t="shared" si="6"/>
        <v/>
      </c>
      <c r="S18" s="161" t="str">
        <f t="shared" si="7"/>
        <v/>
      </c>
      <c r="T18" s="161" t="str">
        <f t="shared" si="8"/>
        <v/>
      </c>
      <c r="U18" s="162" t="str">
        <f t="shared" si="9"/>
        <v/>
      </c>
      <c r="W18" s="28">
        <v>8</v>
      </c>
      <c r="X18" s="294">
        <f t="shared" si="1"/>
        <v>4.2900000000000001E-2</v>
      </c>
      <c r="Y18" s="295">
        <f t="shared" si="1"/>
        <v>4.2900000000000001E-2</v>
      </c>
      <c r="Z18" s="275">
        <f t="shared" si="1"/>
        <v>1.6648481850000001</v>
      </c>
      <c r="AA18" s="276">
        <f t="shared" si="1"/>
        <v>1.6648481850000001</v>
      </c>
      <c r="AB18" s="275">
        <f t="shared" si="1"/>
        <v>1.6648481850000001</v>
      </c>
      <c r="AC18" s="275">
        <f t="shared" si="1"/>
        <v>1.6648481850000001</v>
      </c>
      <c r="AD18" s="275">
        <f t="shared" si="1"/>
        <v>1.6648481850000001</v>
      </c>
      <c r="AE18" s="276">
        <f t="shared" si="1"/>
        <v>1.6648481850000001</v>
      </c>
      <c r="AG18" s="109">
        <v>8</v>
      </c>
      <c r="AH18" s="297">
        <f t="shared" ref="AH18" si="26">AS18/C$7*1000</f>
        <v>100</v>
      </c>
      <c r="AI18" s="298">
        <f t="shared" ref="AI18:AO18" si="27">AT18/D$7*1000</f>
        <v>100</v>
      </c>
      <c r="AJ18" s="92">
        <f t="shared" si="27"/>
        <v>3880.7650000000003</v>
      </c>
      <c r="AK18" s="92">
        <f t="shared" si="27"/>
        <v>3880.7650000000003</v>
      </c>
      <c r="AL18" s="91">
        <f t="shared" si="27"/>
        <v>3880.7650000000003</v>
      </c>
      <c r="AM18" s="92">
        <f t="shared" si="27"/>
        <v>3880.7650000000003</v>
      </c>
      <c r="AN18" s="92">
        <f t="shared" si="27"/>
        <v>3880.7650000000003</v>
      </c>
      <c r="AO18" s="93">
        <f t="shared" si="27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>
        <f>IF(_xlfn.AGGREGATE(9,6,C11:C17)=0," - ",_xlfn.AGGREGATE(1,6,C11:C17))</f>
        <v>4.245285714285715</v>
      </c>
      <c r="D19" s="154">
        <f>IF(_xlfn.AGGREGATE(9,6,D11:D17)=0," - ",_xlfn.AGGREGATE(1,6,D11:D17))</f>
        <v>3.3728571428571432</v>
      </c>
      <c r="E19" s="154">
        <f>IF(_xlfn.AGGREGATE(9,6,E11:E17)=0," - ",_xlfn.AGGREGATE(1,6,E11:E17))</f>
        <v>2.5304285714285717</v>
      </c>
      <c r="F19" s="154">
        <f>IF(_xlfn.AGGREGATE(9,6,F11:F17)=0," - ",_xlfn.AGGREGATE(1,6,F11:F17))</f>
        <v>2.5782857142857147</v>
      </c>
      <c r="G19" s="154">
        <f>IF(_xlfn.AGGREGATE(9,6,G12:G17)=0," - ",_xlfn.AGGREGATE(1,6,G12:G17))</f>
        <v>2.0699999999999998</v>
      </c>
      <c r="H19" s="154">
        <f>IF(_xlfn.AGGREGATE(9,6,H12:H17)=0," - ",_xlfn.AGGREGATE(1,6,H12:H17))</f>
        <v>2.085833333333333</v>
      </c>
      <c r="I19" s="154">
        <f>IF(_xlfn.AGGREGATE(9,6,I12:I17)=0," - ",_xlfn.AGGREGATE(1,6,I12:I17))</f>
        <v>1.7241666666666668</v>
      </c>
      <c r="J19" s="155">
        <f>IF(_xlfn.AGGREGATE(9,6,J12:J17)=0," - ",_xlfn.AGGREGATE(1,6,J12:J17))</f>
        <v>1.7373333333333332</v>
      </c>
      <c r="M19" s="66" t="s">
        <v>34</v>
      </c>
      <c r="N19" s="150">
        <f>IF(_xlfn.AGGREGATE(9,6,N11:N17)=0," - ",_xlfn.AGGREGATE(1,6,N11:N17))</f>
        <v>1.1057444231176807</v>
      </c>
      <c r="O19" s="151">
        <f t="shared" ref="O19:Q19" si="28">IF(_xlfn.AGGREGATE(9,6,O11:O17)=0," - ",_xlfn.AGGREGATE(1,6,O11:O17))</f>
        <v>1.125152868576387</v>
      </c>
      <c r="P19" s="151">
        <f t="shared" si="28"/>
        <v>1.0093240356531612</v>
      </c>
      <c r="Q19" s="151">
        <f t="shared" si="28"/>
        <v>1.0284130410132812</v>
      </c>
      <c r="R19" s="151">
        <f>IF(_xlfn.AGGREGATE(9,6,R12:R17)=0," - ",_xlfn.AGGREGATE(1,6,R12:R17))</f>
        <v>1.0170660796154178</v>
      </c>
      <c r="S19" s="151">
        <f>IF(_xlfn.AGGREGATE(9,6,S12:S17)=0," - ",_xlfn.AGGREGATE(1,6,S12:S17))</f>
        <v>1.0248455705625565</v>
      </c>
      <c r="T19" s="151">
        <f>IF(_xlfn.AGGREGATE(9,6,T12:T17)=0," - ",_xlfn.AGGREGATE(1,6,T12:T17))</f>
        <v>1.0111672462942358</v>
      </c>
      <c r="U19" s="152">
        <f>IF(_xlfn.AGGREGATE(9,6,U12:U17)=0," - ",_xlfn.AGGREGATE(1,6,U12:U17))</f>
        <v>1.018889064801461</v>
      </c>
    </row>
    <row r="20" spans="2:52" ht="17.149999999999999" customHeight="1" outlineLevel="1" thickBot="1" x14ac:dyDescent="0.35">
      <c r="B20" s="66" t="s">
        <v>35</v>
      </c>
      <c r="C20" s="147">
        <f>IF(_xlfn.AGGREGATE(9,6,C11:C17)=0," - ",_xlfn.AGGREGATE(4,6,C11:C17))</f>
        <v>4.3049999999999997</v>
      </c>
      <c r="D20" s="148">
        <f>IF(_xlfn.AGGREGATE(9,6,D11:D17)=0," - ",_xlfn.AGGREGATE(4,6,D11:D17))</f>
        <v>4.2770000000000001</v>
      </c>
      <c r="E20" s="148">
        <f>IF(_xlfn.AGGREGATE(9,6,E11:E17)=0," - ",_xlfn.AGGREGATE(4,6,E11:E17))</f>
        <v>2.6309999999999998</v>
      </c>
      <c r="F20" s="148">
        <f>IF(_xlfn.AGGREGATE(9,6,F11:F17)=0," - ",_xlfn.AGGREGATE(4,6,F11:F17))</f>
        <v>2.6150000000000002</v>
      </c>
      <c r="G20" s="148">
        <f>IF(_xlfn.AGGREGATE(9,6,G12:G17)=0," - ",_xlfn.AGGREGATE(4,6,G12:G17))</f>
        <v>2.1</v>
      </c>
      <c r="H20" s="148">
        <f>IF(_xlfn.AGGREGATE(9,6,H12:H17)=0," - ",_xlfn.AGGREGATE(4,6,H12:H17))</f>
        <v>2.1040000000000001</v>
      </c>
      <c r="I20" s="148">
        <f>IF(_xlfn.AGGREGATE(9,6,I12:I17)=0," - ",_xlfn.AGGREGATE(4,6,I12:I17))</f>
        <v>1.7470000000000001</v>
      </c>
      <c r="J20" s="149">
        <f>IF(_xlfn.AGGREGATE(9,6,J12:J17)=0," - ",_xlfn.AGGREGATE(4,6,J12:J17))</f>
        <v>1.754</v>
      </c>
      <c r="M20" s="66" t="s">
        <v>35</v>
      </c>
      <c r="N20" s="144">
        <f>IF(_xlfn.AGGREGATE(9,6,N11:N17)=0," - ",_xlfn.AGGREGATE(4,6,N11:N17))</f>
        <v>1.1212978494010601</v>
      </c>
      <c r="O20" s="145">
        <f>IF(_xlfn.AGGREGATE(9,6,O11:O17)=0," - ",_xlfn.AGGREGATE(4,6,O11:O17))</f>
        <v>1.4267662741341993</v>
      </c>
      <c r="P20" s="145">
        <f>IF(_xlfn.AGGREGATE(9,6,P11:P17)=0," - ",_xlfn.AGGREGATE(4,6,P11:P17))</f>
        <v>1.0494394379621899</v>
      </c>
      <c r="Q20" s="145">
        <f>IF(_xlfn.AGGREGATE(9,6,Q11:Q17)=0," - ",_xlfn.AGGREGATE(4,6,Q11:Q17))</f>
        <v>1.0430574421402989</v>
      </c>
      <c r="R20" s="145">
        <f>IF(_xlfn.AGGREGATE(9,6,R12:R17)=0," - ",_xlfn.AGGREGATE(4,6,R12:R17))</f>
        <v>1.0318061677257861</v>
      </c>
      <c r="S20" s="145">
        <f>IF(_xlfn.AGGREGATE(9,6,S12:S17)=0," - ",_xlfn.AGGREGATE(4,6,S12:S17))</f>
        <v>1.0337715128071687</v>
      </c>
      <c r="T20" s="145">
        <f>IF(_xlfn.AGGREGATE(9,6,T12:T17)=0," - ",_xlfn.AGGREGATE(4,6,T12:T17))</f>
        <v>1.0245582480092972</v>
      </c>
      <c r="U20" s="146">
        <f>IF(_xlfn.AGGREGATE(9,6,U12:U17)=0," - ",_xlfn.AGGREGATE(4,6,U12:U17))</f>
        <v>1.028663518608075</v>
      </c>
      <c r="AR20" s="383" t="s">
        <v>36</v>
      </c>
      <c r="AS20" s="383"/>
      <c r="AT20" s="383"/>
      <c r="AU20" s="383"/>
      <c r="AV20" s="383"/>
      <c r="AW20" s="383"/>
      <c r="AX20" s="383"/>
      <c r="AY20" s="383"/>
      <c r="AZ20" s="383"/>
    </row>
    <row r="21" spans="2:52" ht="17.149999999999999" customHeight="1" outlineLevel="1" x14ac:dyDescent="0.3">
      <c r="B21" s="66"/>
      <c r="M21" s="66" t="s">
        <v>37</v>
      </c>
      <c r="N21" s="156">
        <f>IF(_xlfn.AGGREGATE(9,6,N19:U19)=0,"",_xlfn.AGGREGATE(1,6,N19:U19))</f>
        <v>1.0425752912042727</v>
      </c>
      <c r="O21" s="53"/>
      <c r="Q21" s="66" t="s">
        <v>38</v>
      </c>
      <c r="R21" s="157">
        <f>IF(_xlfn.AGGREGATE(9,6,N20:U20)=0,"",_xlfn.AGGREGATE(4,6,N20:U20))</f>
        <v>1.4267662741341993</v>
      </c>
      <c r="AR21" s="383"/>
      <c r="AS21" s="383"/>
      <c r="AT21" s="383"/>
      <c r="AU21" s="383"/>
      <c r="AV21" s="383"/>
      <c r="AW21" s="383"/>
      <c r="AX21" s="383"/>
      <c r="AY21" s="383"/>
      <c r="AZ21" s="383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2" t="s">
        <v>39</v>
      </c>
      <c r="C23" s="353"/>
      <c r="D23" s="353"/>
      <c r="E23" s="353"/>
      <c r="F23" s="354"/>
      <c r="G23" s="213"/>
      <c r="H23" s="20"/>
      <c r="I23" s="20"/>
      <c r="J23" s="19"/>
      <c r="K23" s="13"/>
      <c r="L23" s="13"/>
      <c r="M23" s="342" t="s">
        <v>40</v>
      </c>
      <c r="N23" s="343"/>
      <c r="O23" s="343"/>
      <c r="P23" s="343"/>
      <c r="Q23" s="344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>
        <v>5.69</v>
      </c>
      <c r="D25" s="5">
        <v>10.07</v>
      </c>
      <c r="E25" s="4">
        <v>9.49</v>
      </c>
      <c r="F25" s="12">
        <v>3.15</v>
      </c>
      <c r="G25" s="190">
        <v>6.88</v>
      </c>
      <c r="H25" s="303">
        <v>9.1999999999999993</v>
      </c>
      <c r="I25" s="304">
        <v>9.1999999999999993</v>
      </c>
      <c r="J25" s="305">
        <v>9.1999999999999993</v>
      </c>
      <c r="K25" s="3"/>
      <c r="L25" s="3"/>
      <c r="M25" s="188">
        <v>1</v>
      </c>
      <c r="N25" s="6">
        <f>IF(AND(ISNUMBER(C25),X25&lt;&gt;0),C25/X25,"")</f>
        <v>0.26690220235412349</v>
      </c>
      <c r="O25" s="7">
        <f t="shared" ref="O25:U25" si="29">IF(AND(ISNUMBER(D25),Y25&lt;&gt;0),D25/Y25,"")</f>
        <v>0.41987192778067162</v>
      </c>
      <c r="P25" s="7">
        <f t="shared" si="29"/>
        <v>0.35611977509182891</v>
      </c>
      <c r="Q25" s="21">
        <f t="shared" si="29"/>
        <v>0.11820624779128144</v>
      </c>
      <c r="R25" s="6">
        <f t="shared" si="29"/>
        <v>0.25817745549333854</v>
      </c>
      <c r="S25" s="7">
        <f t="shared" si="29"/>
        <v>0.34523729513644102</v>
      </c>
      <c r="T25" s="7">
        <f t="shared" si="29"/>
        <v>0.34523729513644102</v>
      </c>
      <c r="U25" s="21">
        <f t="shared" si="29"/>
        <v>0.34523729513644102</v>
      </c>
      <c r="W25" s="50">
        <v>1</v>
      </c>
      <c r="X25" s="190">
        <f>C$5*$G$3*(1-($J$3/$G$2)^2)^1.5*0.74*($C$112*$M$2*$G$2)^1.5/($C$111*$D$3*$G$3*SQRT($C$110*$J$2))*0.1</f>
        <v>21.31867009643689</v>
      </c>
      <c r="Y25" s="303">
        <f>D$5*$G$3*(1-($J$3/$G$2)^2)^1.5*0.74*($C$112*$M$2*$G$2)^1.5/($C$111*$D$3*$G$3*SQRT($C$110*$J$2))*0.1</f>
        <v>23.983503858491495</v>
      </c>
      <c r="Z25" s="303">
        <f>E$5*$G$3*(1-($J$3/$G$2)^2)^1.5*0.74*($C$112*$M$2*$G$2)^1.5/($C$111*$D$3*$G$3*SQRT($C$110*$J$2))*0.1</f>
        <v>26.648337620546101</v>
      </c>
      <c r="AA25" s="191">
        <f>F$5*$G$3*(1-($J$3/$G$2)^2)^1.5*0.74*($C$112*$M$2*$G$2)^1.5/($C$111*$D$3*$G$3*SQRT($C$110*$J$2))*0.1</f>
        <v>26.648337620546101</v>
      </c>
      <c r="AB25" s="303">
        <f>$G$5*$G$3*(1-($J$3/$G$2)^2)^1.5*0.74*($C$112*$M$2*$G$2)^1.5/($C$111*$D$3*$G$3*SQRT($C$110*$J$2))*0.1</f>
        <v>26.648337620546101</v>
      </c>
      <c r="AC25" s="303">
        <f>$H$5*$G$3*(1-($J$3/$G$2)^2)^1.5*0.74*($C$112*$M$2*$G$2)^1.5/($C$111*$D$3*$G$3*SQRT($C$110*$J$2))*0.1</f>
        <v>26.648337620546101</v>
      </c>
      <c r="AD25" s="303">
        <f>$I$5*$G$3*(1-($J$3/$G$2)^2)^1.5*0.74*($C$112*$M$2*$G$2)^1.5/($C$111*$D$3*$G$3*SQRT($C$110*$J$2))*0.1</f>
        <v>26.648337620546101</v>
      </c>
      <c r="AE25" s="191">
        <f>$J$5*$G$3*(1-($J$3/$G$2)^2)^1.5*0.74*($C$112*$M$2*$G$2)^1.5/($C$111*$D$3*$G$3*SQRT($C$110*$J$2))*0.1</f>
        <v>26.648337620546101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>
        <v>8.4600000000000009</v>
      </c>
      <c r="D27" s="5">
        <v>2.88</v>
      </c>
      <c r="E27" s="4">
        <v>6.07</v>
      </c>
      <c r="F27" s="12">
        <v>7.12</v>
      </c>
      <c r="G27" s="5">
        <v>4.5999999999999996</v>
      </c>
      <c r="H27" s="5">
        <v>3.59</v>
      </c>
      <c r="I27" s="4">
        <v>0.1</v>
      </c>
      <c r="J27" s="12">
        <v>12.72</v>
      </c>
      <c r="L27" s="56"/>
      <c r="M27" s="186">
        <v>2</v>
      </c>
      <c r="N27" s="183">
        <f>IF(AND(ISNUMBER(C27),X27&lt;&gt;0),C27/X27,"")</f>
        <v>0.39683526044215905</v>
      </c>
      <c r="O27" s="119">
        <f t="shared" ref="O27" si="30">IF(AND(ISNUMBER(D27),Y27&lt;&gt;0),D27/Y27,"")</f>
        <v>0.12008253743876209</v>
      </c>
      <c r="P27" s="119">
        <f t="shared" ref="P27" si="31">IF(AND(ISNUMBER(E27),Z27&lt;&gt;0),E27/Z27,"")</f>
        <v>0.22778156320415188</v>
      </c>
      <c r="Q27" s="182">
        <f t="shared" ref="Q27" si="32">IF(AND(ISNUMBER(F27),AA27&lt;&gt;0),F27/AA27,"")</f>
        <v>0.26718364580124571</v>
      </c>
      <c r="R27" s="183">
        <f t="shared" ref="R27" si="33">IF(AND(ISNUMBER(G27),AB27&lt;&gt;0),G27/AB27,"")</f>
        <v>0.1569260432438368</v>
      </c>
      <c r="S27" s="119">
        <f t="shared" ref="S27" si="34">IF(AND(ISNUMBER(H27),AC27&lt;&gt;0),H27/AC27,"")</f>
        <v>0.12247054244464656</v>
      </c>
      <c r="T27" s="119">
        <f t="shared" ref="T27" si="35">IF(AND(ISNUMBER(I27),AD27&lt;&gt;0),I27/AD27,"")</f>
        <v>3.1271494124677627E-3</v>
      </c>
      <c r="U27" s="182">
        <f t="shared" ref="U27" si="36">IF(AND(ISNUMBER(J27),AE27&lt;&gt;0),J27/AE27,"")</f>
        <v>0.39777340526589944</v>
      </c>
      <c r="W27" s="48">
        <v>2</v>
      </c>
      <c r="X27" s="196">
        <f t="shared" ref="X27:AE27" si="37">C$6*$G$3*(1-($J$3/$G$2)^2)^1.5*0.74*($C$112*$M$2*$G$2)^1.5/($C$111*$D$3*$G$3*SQRT($C$110*$J$2))*0.1</f>
        <v>21.31867009643689</v>
      </c>
      <c r="Y27" s="54">
        <f t="shared" si="37"/>
        <v>23.983503858491495</v>
      </c>
      <c r="Z27" s="54">
        <f t="shared" si="37"/>
        <v>26.648337620546101</v>
      </c>
      <c r="AA27" s="197">
        <f t="shared" si="37"/>
        <v>26.648337620546101</v>
      </c>
      <c r="AB27" s="54">
        <f t="shared" si="37"/>
        <v>29.313171382600718</v>
      </c>
      <c r="AC27" s="54">
        <f t="shared" si="37"/>
        <v>29.313171382600718</v>
      </c>
      <c r="AD27" s="54">
        <f t="shared" si="37"/>
        <v>31.978005144655327</v>
      </c>
      <c r="AE27" s="197">
        <f t="shared" si="37"/>
        <v>31.978005144655327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>
        <v>5.05</v>
      </c>
      <c r="D29" s="1">
        <v>11.22</v>
      </c>
      <c r="E29" s="2">
        <v>13.78</v>
      </c>
      <c r="F29" s="11">
        <v>14.26</v>
      </c>
      <c r="G29" s="1">
        <v>9.18</v>
      </c>
      <c r="H29" s="1">
        <v>9.19</v>
      </c>
      <c r="I29" s="2">
        <v>9.19</v>
      </c>
      <c r="J29" s="12">
        <v>14.56</v>
      </c>
      <c r="M29" s="186">
        <v>3</v>
      </c>
      <c r="N29" s="6">
        <f>IF(AND(ISNUMBER(C29),X29&lt;&gt;0),C29/X29,"")</f>
        <v>0.23688156799443297</v>
      </c>
      <c r="O29" s="7">
        <f t="shared" ref="O29" si="38">IF(AND(ISNUMBER(D29),Y29&lt;&gt;0),D29/Y29,"")</f>
        <v>0.46782155210517734</v>
      </c>
      <c r="P29" s="7">
        <f t="shared" ref="P29" si="39">IF(AND(ISNUMBER(E29),Z29&lt;&gt;0),E29/Z29,"")</f>
        <v>0.51710542684566929</v>
      </c>
      <c r="Q29" s="21">
        <f t="shared" ref="Q29" si="40">IF(AND(ISNUMBER(F29),AA29&lt;&gt;0),F29/AA29,"")</f>
        <v>0.53511780746148363</v>
      </c>
      <c r="R29" s="6">
        <f t="shared" ref="R29" si="41">IF(AND(ISNUMBER(G29),AB29&lt;&gt;0),G29/AB29,"")</f>
        <v>0.31316979934313521</v>
      </c>
      <c r="S29" s="7">
        <f t="shared" ref="S29" si="42">IF(AND(ISNUMBER(H29),AC29&lt;&gt;0),H29/AC29,"")</f>
        <v>0.31351094291540438</v>
      </c>
      <c r="T29" s="7">
        <f t="shared" ref="T29" si="43">IF(AND(ISNUMBER(I29),AD29&lt;&gt;0),I29/AD29,"")</f>
        <v>0.28738503100578738</v>
      </c>
      <c r="U29" s="21">
        <f t="shared" ref="U29" si="44">IF(AND(ISNUMBER(J29),AE29&lt;&gt;0),J29/AE29,"")</f>
        <v>0.45531295445530628</v>
      </c>
      <c r="W29" s="48">
        <v>3</v>
      </c>
      <c r="X29" s="196">
        <f t="shared" ref="X29:AE29" si="45">C$6*$G$3*(1-($J$3/$G$2)^2)^1.5*0.74*($C$112*$M$2*$G$2)^1.5/($C$111*$D$3*$G$3*SQRT($C$110*$J$2))*0.1</f>
        <v>21.31867009643689</v>
      </c>
      <c r="Y29" s="54">
        <f t="shared" si="45"/>
        <v>23.983503858491495</v>
      </c>
      <c r="Z29" s="54">
        <f t="shared" si="45"/>
        <v>26.648337620546101</v>
      </c>
      <c r="AA29" s="197">
        <f t="shared" si="45"/>
        <v>26.648337620546101</v>
      </c>
      <c r="AB29" s="54">
        <f t="shared" si="45"/>
        <v>29.313171382600718</v>
      </c>
      <c r="AC29" s="54">
        <f t="shared" si="45"/>
        <v>29.313171382600718</v>
      </c>
      <c r="AD29" s="54">
        <f t="shared" si="45"/>
        <v>31.978005144655327</v>
      </c>
      <c r="AE29" s="197">
        <f t="shared" si="45"/>
        <v>31.978005144655327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>
        <v>3.88</v>
      </c>
      <c r="D31" s="1">
        <v>11.22</v>
      </c>
      <c r="E31" s="2">
        <v>13.78</v>
      </c>
      <c r="F31" s="11">
        <v>11.39</v>
      </c>
      <c r="G31" s="1">
        <v>9.1999999999999993</v>
      </c>
      <c r="H31" s="1">
        <v>15.18</v>
      </c>
      <c r="I31" s="2">
        <v>0.1</v>
      </c>
      <c r="J31" s="12">
        <v>9.18</v>
      </c>
      <c r="K31" s="3"/>
      <c r="L31" s="3"/>
      <c r="M31" s="186">
        <v>4</v>
      </c>
      <c r="N31" s="183">
        <f>IF(AND(ISNUMBER(C31),X31&lt;&gt;0),C31/X31,"")</f>
        <v>0.18200009580562374</v>
      </c>
      <c r="O31" s="119">
        <f t="shared" ref="O31" si="46">IF(AND(ISNUMBER(D31),Y31&lt;&gt;0),D31/Y31,"")</f>
        <v>0.46782155210517734</v>
      </c>
      <c r="P31" s="119">
        <f t="shared" ref="P31" si="47">IF(AND(ISNUMBER(E31),Z31&lt;&gt;0),E31/Z31,"")</f>
        <v>0.51710542684566929</v>
      </c>
      <c r="Q31" s="182">
        <f t="shared" ref="Q31" si="48">IF(AND(ISNUMBER(F31),AA31&lt;&gt;0),F31/AA31,"")</f>
        <v>0.42741878169609393</v>
      </c>
      <c r="R31" s="183">
        <f t="shared" ref="R31" si="49">IF(AND(ISNUMBER(G31),AB31&lt;&gt;0),G31/AB31,"")</f>
        <v>0.3138520864876736</v>
      </c>
      <c r="S31" s="119">
        <f t="shared" ref="S31" si="50">IF(AND(ISNUMBER(H31),AC31&lt;&gt;0),H31/AC31,"")</f>
        <v>0.51785594270466151</v>
      </c>
      <c r="T31" s="119">
        <f t="shared" ref="T31" si="51">IF(AND(ISNUMBER(I31),AD31&lt;&gt;0),I31/AD31,"")</f>
        <v>3.1271494124677627E-3</v>
      </c>
      <c r="U31" s="182">
        <f t="shared" ref="U31" si="52">IF(AND(ISNUMBER(J31),AE31&lt;&gt;0),J31/AE31,"")</f>
        <v>0.28707231606454059</v>
      </c>
      <c r="W31" s="48">
        <v>4</v>
      </c>
      <c r="X31" s="196">
        <f t="shared" ref="X31:AE31" si="53">C$6*$G$3*(1-($J$3/$G$2)^2)^1.5*0.74*($C$112*$M$2*$G$2)^1.5/($C$111*$D$3*$G$3*SQRT($C$110*$J$2))*0.1</f>
        <v>21.31867009643689</v>
      </c>
      <c r="Y31" s="54">
        <f t="shared" si="53"/>
        <v>23.983503858491495</v>
      </c>
      <c r="Z31" s="54">
        <f t="shared" si="53"/>
        <v>26.648337620546101</v>
      </c>
      <c r="AA31" s="197">
        <f t="shared" si="53"/>
        <v>26.648337620546101</v>
      </c>
      <c r="AB31" s="54">
        <f t="shared" si="53"/>
        <v>29.313171382600718</v>
      </c>
      <c r="AC31" s="54">
        <f t="shared" si="53"/>
        <v>29.313171382600718</v>
      </c>
      <c r="AD31" s="54">
        <f t="shared" si="53"/>
        <v>31.978005144655327</v>
      </c>
      <c r="AE31" s="197">
        <f t="shared" si="53"/>
        <v>31.978005144655327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>
        <v>8.43</v>
      </c>
      <c r="D33" s="5">
        <v>11.52</v>
      </c>
      <c r="E33" s="4">
        <v>11.97</v>
      </c>
      <c r="F33" s="12">
        <v>6.73</v>
      </c>
      <c r="G33" s="110">
        <v>6.91</v>
      </c>
      <c r="H33" s="5">
        <v>16.07</v>
      </c>
      <c r="I33" s="4">
        <v>13.64</v>
      </c>
      <c r="J33" s="12">
        <v>15.49</v>
      </c>
      <c r="K33" s="3"/>
      <c r="L33" s="3"/>
      <c r="M33" s="188">
        <v>5</v>
      </c>
      <c r="N33" s="6">
        <f>IF(AND(ISNUMBER(C33),X33&lt;&gt;0),C33/X33,"")</f>
        <v>0.39542804320654851</v>
      </c>
      <c r="O33" s="7">
        <f t="shared" ref="O33" si="54">IF(AND(ISNUMBER(D33),Y33&lt;&gt;0),D33/Y33,"")</f>
        <v>0.48033014975504834</v>
      </c>
      <c r="P33" s="7">
        <f t="shared" ref="P33" si="55">IF(AND(ISNUMBER(E33),Z33&lt;&gt;0),E33/Z33,"")</f>
        <v>0.44918374160686952</v>
      </c>
      <c r="Q33" s="21">
        <f t="shared" ref="Q33" si="56">IF(AND(ISNUMBER(F33),AA33&lt;&gt;0),F33/AA33,"")</f>
        <v>0.25254858655089657</v>
      </c>
      <c r="R33" s="6">
        <f t="shared" ref="R33" si="57">IF(AND(ISNUMBER(G33),AB33&lt;&gt;0),G33/AB33,"")</f>
        <v>0.23573020843802445</v>
      </c>
      <c r="S33" s="7">
        <f t="shared" ref="S33" si="58">IF(AND(ISNUMBER(H33),AC33&lt;&gt;0),H33/AC33,"")</f>
        <v>0.54821772063662122</v>
      </c>
      <c r="T33" s="7">
        <f t="shared" ref="T33" si="59">IF(AND(ISNUMBER(I33),AD33&lt;&gt;0),I33/AD33,"")</f>
        <v>0.42654317986060286</v>
      </c>
      <c r="U33" s="21">
        <f t="shared" ref="U33" si="60">IF(AND(ISNUMBER(J33),AE33&lt;&gt;0),J33/AE33,"")</f>
        <v>0.48439544399125645</v>
      </c>
      <c r="W33" s="50">
        <v>5</v>
      </c>
      <c r="X33" s="201">
        <f t="shared" ref="X33:AE33" si="61">C$6*$G$3*(1-($J$3/$G$2)^2)^1.5*0.74*($C$112*$M$2*$G$2)^1.5/($C$111*$D$3*$G$3*SQRT($C$110*$J$2))*0.1</f>
        <v>21.31867009643689</v>
      </c>
      <c r="Y33" s="202">
        <f t="shared" si="61"/>
        <v>23.983503858491495</v>
      </c>
      <c r="Z33" s="202">
        <f t="shared" si="61"/>
        <v>26.648337620546101</v>
      </c>
      <c r="AA33" s="203">
        <f t="shared" si="61"/>
        <v>26.648337620546101</v>
      </c>
      <c r="AB33" s="193">
        <f t="shared" si="61"/>
        <v>29.313171382600718</v>
      </c>
      <c r="AC33" s="194">
        <f t="shared" si="61"/>
        <v>29.313171382600718</v>
      </c>
      <c r="AD33" s="194">
        <f t="shared" si="61"/>
        <v>31.978005144655327</v>
      </c>
      <c r="AE33" s="195">
        <f t="shared" si="61"/>
        <v>31.978005144655327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>
        <v>8.8000000000000007</v>
      </c>
      <c r="D35" s="5">
        <v>12.19</v>
      </c>
      <c r="E35" s="4">
        <v>7.91</v>
      </c>
      <c r="F35" s="12">
        <v>13.92</v>
      </c>
      <c r="G35" s="5">
        <v>14.72</v>
      </c>
      <c r="H35" s="5">
        <v>11.87</v>
      </c>
      <c r="I35" s="4">
        <v>17.03</v>
      </c>
      <c r="J35" s="12">
        <v>17.02</v>
      </c>
      <c r="K35" s="3"/>
      <c r="L35" s="3"/>
      <c r="M35" s="188">
        <v>6</v>
      </c>
      <c r="N35" s="183">
        <f>IF(AND(ISNUMBER(C35),X35&lt;&gt;0),C35/X35,"")</f>
        <v>0.41278372244574463</v>
      </c>
      <c r="O35" s="119">
        <f t="shared" ref="O35" si="62">IF(AND(ISNUMBER(D35),Y35&lt;&gt;0),D35/Y35,"")</f>
        <v>0.50826601783976033</v>
      </c>
      <c r="P35" s="119">
        <f t="shared" ref="P35" si="63">IF(AND(ISNUMBER(E35),Z35&lt;&gt;0),E35/Z35,"")</f>
        <v>0.29682902223144009</v>
      </c>
      <c r="Q35" s="182">
        <f t="shared" ref="Q35" si="64">IF(AND(ISNUMBER(F35),AA35&lt;&gt;0),F35/AA35,"")</f>
        <v>0.52235903785861515</v>
      </c>
      <c r="R35" s="183">
        <f t="shared" ref="R35" si="65">IF(AND(ISNUMBER(G35),AB35&lt;&gt;0),G35/AB35,"")</f>
        <v>0.50216333838027782</v>
      </c>
      <c r="S35" s="119">
        <f t="shared" ref="S35" si="66">IF(AND(ISNUMBER(H35),AC35&lt;&gt;0),H35/AC35,"")</f>
        <v>0.40493742028355278</v>
      </c>
      <c r="T35" s="119">
        <f t="shared" ref="T35" si="67">IF(AND(ISNUMBER(I35),AD35&lt;&gt;0),I35/AD35,"")</f>
        <v>0.53255354494326002</v>
      </c>
      <c r="U35" s="182">
        <f t="shared" ref="U35" si="68">IF(AND(ISNUMBER(J35),AE35&lt;&gt;0),J35/AE35,"")</f>
        <v>0.53224083000201317</v>
      </c>
      <c r="W35" s="50">
        <v>6</v>
      </c>
      <c r="X35" s="196">
        <f t="shared" ref="X35:AE35" si="69">C$6*$G$3*(1-($J$3/$G$2)^2)^1.5*0.74*($C$112*$M$2*$G$2)^1.5/($C$111*$D$3*$G$3*SQRT($C$110*$J$2))*0.1</f>
        <v>21.31867009643689</v>
      </c>
      <c r="Y35" s="54">
        <f t="shared" si="69"/>
        <v>23.983503858491495</v>
      </c>
      <c r="Z35" s="54">
        <f t="shared" si="69"/>
        <v>26.648337620546101</v>
      </c>
      <c r="AA35" s="204">
        <f t="shared" si="69"/>
        <v>26.648337620546101</v>
      </c>
      <c r="AB35" s="196">
        <f t="shared" si="69"/>
        <v>29.313171382600718</v>
      </c>
      <c r="AC35" s="54">
        <f t="shared" si="69"/>
        <v>29.313171382600718</v>
      </c>
      <c r="AD35" s="54">
        <f t="shared" si="69"/>
        <v>31.978005144655327</v>
      </c>
      <c r="AE35" s="197">
        <f t="shared" si="69"/>
        <v>31.978005144655327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>
        <v>9.81</v>
      </c>
      <c r="D37" s="1">
        <v>6.79</v>
      </c>
      <c r="E37" s="2">
        <v>12.91</v>
      </c>
      <c r="F37" s="11">
        <v>13.93</v>
      </c>
      <c r="G37" s="1">
        <v>14.72</v>
      </c>
      <c r="H37" s="1">
        <v>14.57</v>
      </c>
      <c r="I37" s="2">
        <v>12.73</v>
      </c>
      <c r="J37" s="11">
        <v>14.87</v>
      </c>
      <c r="K37" s="3"/>
      <c r="L37" s="3"/>
      <c r="M37" s="186">
        <v>7</v>
      </c>
      <c r="N37" s="183">
        <f>IF(AND(ISNUMBER(C37),X37&lt;&gt;0),C37/X37,"")</f>
        <v>0.46016003604463118</v>
      </c>
      <c r="O37" s="119">
        <f t="shared" ref="O37" si="70">IF(AND(ISNUMBER(D37),Y37&lt;&gt;0),D37/Y37,"")</f>
        <v>0.28311126014208143</v>
      </c>
      <c r="P37" s="119">
        <f t="shared" ref="P37" si="71">IF(AND(ISNUMBER(E37),Z37&lt;&gt;0),E37/Z37,"")</f>
        <v>0.48445798697950587</v>
      </c>
      <c r="Q37" s="182">
        <f t="shared" ref="Q37" si="72">IF(AND(ISNUMBER(F37),AA37&lt;&gt;0),F37/AA37,"")</f>
        <v>0.52273429578811126</v>
      </c>
      <c r="R37" s="183">
        <f t="shared" ref="R37" si="73">IF(AND(ISNUMBER(G37),AB37&lt;&gt;0),G37/AB37,"")</f>
        <v>0.50216333838027782</v>
      </c>
      <c r="S37" s="119">
        <f t="shared" ref="S37" si="74">IF(AND(ISNUMBER(H37),AC37&lt;&gt;0),H37/AC37,"")</f>
        <v>0.49704618479623963</v>
      </c>
      <c r="T37" s="119">
        <f t="shared" ref="T37" si="75">IF(AND(ISNUMBER(I37),AD37&lt;&gt;0),I37/AD37,"")</f>
        <v>0.39808612020714623</v>
      </c>
      <c r="U37" s="182">
        <f t="shared" ref="U37" si="76">IF(AND(ISNUMBER(J37),AE37&lt;&gt;0),J37/AE37,"")</f>
        <v>0.4650071176339563</v>
      </c>
      <c r="W37" s="48">
        <v>7</v>
      </c>
      <c r="X37" s="196">
        <f t="shared" ref="X37:AE37" si="77">C$6*$G$3*(1-($J$3/$G$2)^2)^1.5*0.74*($C$112*$M$2*$G$2)^1.5/($C$111*$D$3*$G$3*SQRT($C$110*$J$2))*0.1</f>
        <v>21.31867009643689</v>
      </c>
      <c r="Y37" s="54">
        <f t="shared" si="77"/>
        <v>23.983503858491495</v>
      </c>
      <c r="Z37" s="54">
        <f t="shared" si="77"/>
        <v>26.648337620546101</v>
      </c>
      <c r="AA37" s="204">
        <f t="shared" si="77"/>
        <v>26.648337620546101</v>
      </c>
      <c r="AB37" s="196">
        <f t="shared" si="77"/>
        <v>29.313171382600718</v>
      </c>
      <c r="AC37" s="54">
        <f t="shared" si="77"/>
        <v>29.313171382600718</v>
      </c>
      <c r="AD37" s="54">
        <f t="shared" si="77"/>
        <v>31.978005144655327</v>
      </c>
      <c r="AE37" s="197">
        <f t="shared" si="77"/>
        <v>31.978005144655327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0">
        <v>64.3</v>
      </c>
      <c r="D39" s="191">
        <v>62.07</v>
      </c>
      <c r="E39" s="1">
        <v>13.93</v>
      </c>
      <c r="F39" s="11">
        <v>6.65</v>
      </c>
      <c r="G39" s="1">
        <v>6.42</v>
      </c>
      <c r="H39" s="1">
        <v>9.01</v>
      </c>
      <c r="I39" s="2">
        <v>0.1</v>
      </c>
      <c r="J39" s="11">
        <v>3.7</v>
      </c>
      <c r="K39" s="3"/>
      <c r="L39" s="3"/>
      <c r="M39" s="186">
        <v>8</v>
      </c>
      <c r="N39" s="6">
        <f>IF(AND(ISNUMBER(C39),X39&lt;&gt;0),C39/X39,"")</f>
        <v>0.48258169733202511</v>
      </c>
      <c r="O39" s="184">
        <f t="shared" ref="O39" si="78">IF(AND(ISNUMBER(D39),Y39&lt;&gt;0),D39/Y39,"")</f>
        <v>0.46584519367649768</v>
      </c>
      <c r="P39" s="183">
        <f t="shared" ref="P39" si="79">IF(AND(ISNUMBER(E39),Z39&lt;&gt;0),E39/Z39,"")</f>
        <v>0.52273429578811126</v>
      </c>
      <c r="Q39" s="182">
        <f t="shared" ref="Q39" si="80">IF(AND(ISNUMBER(F39),AA39&lt;&gt;0),F39/AA39,"")</f>
        <v>0.24954652311492753</v>
      </c>
      <c r="R39" s="183">
        <f t="shared" ref="R39" si="81">IF(AND(ISNUMBER(G39),AB39&lt;&gt;0),G39/AB39,"")</f>
        <v>0.24091559073651647</v>
      </c>
      <c r="S39" s="119">
        <f t="shared" ref="S39" si="82">IF(AND(ISNUMBER(H39),AC39&lt;&gt;0),H39/AC39,"")</f>
        <v>0.33810739447601457</v>
      </c>
      <c r="T39" s="119">
        <f t="shared" ref="T39" si="83">IF(AND(ISNUMBER(I39),AD39&lt;&gt;0),I39/AD39,"")</f>
        <v>3.752579294961316E-3</v>
      </c>
      <c r="U39" s="182">
        <f t="shared" ref="U39" si="84">IF(AND(ISNUMBER(J39),AE39&lt;&gt;0),J39/AE39,"")</f>
        <v>0.13884543391356868</v>
      </c>
      <c r="W39" s="48">
        <v>8</v>
      </c>
      <c r="X39" s="196">
        <f t="shared" ref="X39:AE39" si="85">C$7*$G$3*(1-($J$3/$G$2)^2)^1.5*0.74*($C$112*$M$2*$G$2)^1.5/($C$111*$D$3*$G$3*SQRT($C$110*$J$2))*0.1</f>
        <v>133.24168810273054</v>
      </c>
      <c r="Y39" s="54">
        <f t="shared" si="85"/>
        <v>133.24168810273054</v>
      </c>
      <c r="Z39" s="54">
        <f t="shared" si="85"/>
        <v>26.648337620546101</v>
      </c>
      <c r="AA39" s="204">
        <f t="shared" si="85"/>
        <v>26.648337620546101</v>
      </c>
      <c r="AB39" s="196">
        <f t="shared" si="85"/>
        <v>26.648337620546101</v>
      </c>
      <c r="AC39" s="54">
        <f t="shared" si="85"/>
        <v>26.648337620546101</v>
      </c>
      <c r="AD39" s="54">
        <f t="shared" si="85"/>
        <v>26.648337620546101</v>
      </c>
      <c r="AE39" s="197">
        <f t="shared" si="85"/>
        <v>26.648337620546101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>
        <f>IF(_xlfn.AGGREGATE(9,6,C25:C38)=0," - ",_xlfn.AGGREGATE(1,6,C25:C38))</f>
        <v>7.160000000000001</v>
      </c>
      <c r="D41" s="154">
        <f>IF(_xlfn.AGGREGATE(9,6,D25:D38)=0," - ",_xlfn.AGGREGATE(1,6,D25:D38))</f>
        <v>9.4128571428571437</v>
      </c>
      <c r="E41" s="154">
        <f>IF(_xlfn.AGGREGATE(9,6,E25:E38)=0," - ",_xlfn.AGGREGATE(1,6,E25:E38))</f>
        <v>10.844285714285714</v>
      </c>
      <c r="F41" s="154">
        <f>IF(_xlfn.AGGREGATE(9,6,F25:F38)=0," - ",_xlfn.AGGREGATE(1,6,F25:F38))</f>
        <v>10.071428571428571</v>
      </c>
      <c r="G41" s="154">
        <f>IF(_xlfn.AGGREGATE(9,6,G27:G38)=0," - ",_xlfn.AGGREGATE(1,6,G27:G38))</f>
        <v>9.8883333333333336</v>
      </c>
      <c r="H41" s="154">
        <f>IF(_xlfn.AGGREGATE(9,6,H27:H38)=0," - ",_xlfn.AGGREGATE(1,6,H27:H38))</f>
        <v>11.744999999999999</v>
      </c>
      <c r="I41" s="154">
        <f>IF(_xlfn.AGGREGATE(9,6,I27:I38)=0," - ",_xlfn.AGGREGATE(1,6,I27:I38))</f>
        <v>8.7983333333333338</v>
      </c>
      <c r="J41" s="155">
        <f>IF(_xlfn.AGGREGATE(9,6,J27:J38)=0," - ",_xlfn.AGGREGATE(1,6,J27:J38))</f>
        <v>13.973333333333334</v>
      </c>
      <c r="M41" s="66" t="s">
        <v>34</v>
      </c>
      <c r="N41" s="153">
        <f>IF(_xlfn.AGGREGATE(9,6,N25:N38)=0," - ",_xlfn.AGGREGATE(1,6,N25:N38))</f>
        <v>0.33585584689903764</v>
      </c>
      <c r="O41" s="154">
        <f>IF(_xlfn.AGGREGATE(9,6,O25:O38)=0," - ",_xlfn.AGGREGATE(1,6,O25:O38))</f>
        <v>0.39247214245238266</v>
      </c>
      <c r="P41" s="154">
        <f>IF(_xlfn.AGGREGATE(9,6,P25:P38)=0," - ",_xlfn.AGGREGATE(1,6,P25:P38))</f>
        <v>0.40694042040073353</v>
      </c>
      <c r="Q41" s="154">
        <f>IF(_xlfn.AGGREGATE(9,6,Q25:Q38)=0," - ",_xlfn.AGGREGATE(1,6,Q25:Q38))</f>
        <v>0.37793834327824677</v>
      </c>
      <c r="R41" s="154">
        <f>IF(_xlfn.AGGREGATE(9,6,R27:R38)=0," - ",_xlfn.AGGREGATE(1,6,R27:R38))</f>
        <v>0.33733413571220433</v>
      </c>
      <c r="S41" s="154">
        <f>IF(_xlfn.AGGREGATE(9,6,S27:S38)=0," - ",_xlfn.AGGREGATE(1,6,S27:S38))</f>
        <v>0.40067312563018764</v>
      </c>
      <c r="T41" s="154">
        <f>IF(_xlfn.AGGREGATE(9,6,T27:T38)=0," - ",_xlfn.AGGREGATE(1,6,T27:T38))</f>
        <v>0.27513702914028865</v>
      </c>
      <c r="U41" s="155">
        <f>IF(_xlfn.AGGREGATE(9,6,U27:U38)=0," - ",_xlfn.AGGREGATE(1,6,U27:U38))</f>
        <v>0.43696701123549536</v>
      </c>
    </row>
    <row r="42" spans="2:31" ht="15" thickBot="1" x14ac:dyDescent="0.35">
      <c r="B42" s="66" t="s">
        <v>35</v>
      </c>
      <c r="C42" s="147">
        <f>IF(_xlfn.AGGREGATE(9,6,C25:C38)=0," - ",_xlfn.AGGREGATE(4,6,C25:C38))</f>
        <v>9.81</v>
      </c>
      <c r="D42" s="148">
        <f>IF(_xlfn.AGGREGATE(9,6,D25:D38)=0," - ",_xlfn.AGGREGATE(4,6,D25:D38))</f>
        <v>12.19</v>
      </c>
      <c r="E42" s="148">
        <f>IF(_xlfn.AGGREGATE(9,6,E25:E38)=0," - ",_xlfn.AGGREGATE(4,6,E25:E38))</f>
        <v>13.78</v>
      </c>
      <c r="F42" s="148">
        <f>IF(_xlfn.AGGREGATE(9,6,F25:F38)=0," - ",_xlfn.AGGREGATE(4,6,F25:F38))</f>
        <v>14.26</v>
      </c>
      <c r="G42" s="148">
        <f>IF(_xlfn.AGGREGATE(9,6,G27:G38)=0," - ",_xlfn.AGGREGATE(4,6,G27:G38))</f>
        <v>14.72</v>
      </c>
      <c r="H42" s="148">
        <f>IF(_xlfn.AGGREGATE(9,6,H27:H38)=0," - ",_xlfn.AGGREGATE(4,6,H27:H38))</f>
        <v>16.07</v>
      </c>
      <c r="I42" s="148">
        <f>IF(_xlfn.AGGREGATE(9,6,I27:I38)=0," - ",_xlfn.AGGREGATE(4,6,I27:I38))</f>
        <v>17.03</v>
      </c>
      <c r="J42" s="149">
        <f>IF(_xlfn.AGGREGATE(9,6,J27:J38)=0," - ",_xlfn.AGGREGATE(4,6,J27:J38))</f>
        <v>17.02</v>
      </c>
      <c r="K42" s="14"/>
      <c r="L42" s="14"/>
      <c r="M42" s="66" t="s">
        <v>35</v>
      </c>
      <c r="N42" s="147">
        <f>IF(_xlfn.AGGREGATE(9,6,N25:N38)=0," - ",_xlfn.AGGREGATE(4,6,N25:N38))</f>
        <v>0.46016003604463118</v>
      </c>
      <c r="O42" s="148">
        <f>IF(_xlfn.AGGREGATE(9,6,O25:O38)=0," - ",_xlfn.AGGREGATE(4,6,O25:O38))</f>
        <v>0.50826601783976033</v>
      </c>
      <c r="P42" s="148">
        <f>IF(_xlfn.AGGREGATE(9,6,P25:P38)=0," - ",_xlfn.AGGREGATE(4,6,P25:P38))</f>
        <v>0.51710542684566929</v>
      </c>
      <c r="Q42" s="148">
        <f>IF(_xlfn.AGGREGATE(9,6,Q25:Q38)=0," - ",_xlfn.AGGREGATE(4,6,Q25:Q38))</f>
        <v>0.53511780746148363</v>
      </c>
      <c r="R42" s="148">
        <f>IF(_xlfn.AGGREGATE(9,6,R27:R38)=0," - ",_xlfn.AGGREGATE(4,6,R27:R38))</f>
        <v>0.50216333838027782</v>
      </c>
      <c r="S42" s="148">
        <f>IF(_xlfn.AGGREGATE(9,6,S27:S38)=0," - ",_xlfn.AGGREGATE(4,6,S27:S38))</f>
        <v>0.54821772063662122</v>
      </c>
      <c r="T42" s="148">
        <f>IF(_xlfn.AGGREGATE(9,6,T27:T38)=0," - ",_xlfn.AGGREGATE(4,6,T27:T38))</f>
        <v>0.53255354494326002</v>
      </c>
      <c r="U42" s="149">
        <f>IF(_xlfn.AGGREGATE(9,6,U27:U38)=0," - ",_xlfn.AGGREGATE(4,6,U27:U38))</f>
        <v>0.53224083000201317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>
        <f>IF(_xlfn.AGGREGATE(9,6,N41:U41)=0,"",_xlfn.AGGREGATE(1,6,N41:U41))</f>
        <v>0.37041475684357211</v>
      </c>
      <c r="Q43" s="66" t="s">
        <v>38</v>
      </c>
      <c r="R43" s="157">
        <f>IF(_xlfn.AGGREGATE(9,6,N42:U42)=0,"",_xlfn.AGGREGATE(4,6,N42:U42))</f>
        <v>0.54821772063662122</v>
      </c>
      <c r="T43" s="66" t="s">
        <v>43</v>
      </c>
      <c r="U43" s="254">
        <f>_xlfn.AGGREGATE(2,6,(N27:U38,N25:Q26))</f>
        <v>52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8" t="s">
        <v>44</v>
      </c>
      <c r="C45" s="349"/>
      <c r="D45" s="94"/>
      <c r="K45" t="s">
        <v>45</v>
      </c>
    </row>
    <row r="46" spans="2:31" x14ac:dyDescent="0.3">
      <c r="B46" s="350" t="s">
        <v>46</v>
      </c>
      <c r="C46" s="351"/>
      <c r="D46" s="95"/>
      <c r="R46" s="101" t="s">
        <v>47</v>
      </c>
      <c r="S46" s="101" t="s">
        <v>48</v>
      </c>
    </row>
    <row r="47" spans="2:31" ht="15" thickBot="1" x14ac:dyDescent="0.35">
      <c r="B47" s="364" t="s">
        <v>49</v>
      </c>
      <c r="C47" s="365"/>
      <c r="D47" s="96"/>
      <c r="P47" s="101" t="s">
        <v>50</v>
      </c>
      <c r="R47">
        <f>COUNTIF(N25:U38, "&gt;"&amp;(R43*0.9))</f>
        <v>13</v>
      </c>
      <c r="S47" s="166">
        <f>R47/$U$43*100</f>
        <v>25</v>
      </c>
      <c r="T47" s="369" t="s">
        <v>51</v>
      </c>
      <c r="U47" s="369"/>
    </row>
    <row r="48" spans="2:31" x14ac:dyDescent="0.3">
      <c r="P48" s="101" t="s">
        <v>52</v>
      </c>
      <c r="R48">
        <f>COUNTIF(N25:U38, "&gt;"&amp;(R43*0.8))</f>
        <v>22</v>
      </c>
      <c r="S48" s="166">
        <f>R48/$U$43*100</f>
        <v>42.307692307692307</v>
      </c>
      <c r="T48" s="369"/>
      <c r="U48" s="369"/>
      <c r="AB48" s="52"/>
    </row>
    <row r="49" spans="2:21" ht="15" thickBot="1" x14ac:dyDescent="0.35">
      <c r="P49" s="101" t="s">
        <v>53</v>
      </c>
      <c r="R49">
        <f>COUNTIF(N25:U38, "&gt;"&amp;(R43*0.7))</f>
        <v>31</v>
      </c>
      <c r="S49" s="166">
        <f>R49/$U$43*100</f>
        <v>59.615384615384613</v>
      </c>
      <c r="T49" s="369"/>
      <c r="U49" s="369"/>
    </row>
    <row r="50" spans="2:21" ht="15.55" thickTop="1" thickBot="1" x14ac:dyDescent="0.35">
      <c r="B50" s="380" t="s">
        <v>54</v>
      </c>
      <c r="C50" s="381"/>
      <c r="D50" s="381"/>
      <c r="E50" s="381"/>
      <c r="F50" s="381"/>
      <c r="G50" s="381"/>
      <c r="H50" s="381"/>
      <c r="I50" s="381"/>
      <c r="J50" s="382"/>
      <c r="P50" s="101" t="s">
        <v>55</v>
      </c>
      <c r="R50">
        <f>COUNTIF(N25:U38, "&gt;"&amp;(R43*0.6))</f>
        <v>35</v>
      </c>
      <c r="S50" s="166">
        <f>R50/$U$43*100</f>
        <v>67.307692307692307</v>
      </c>
      <c r="T50" s="369"/>
      <c r="U50" s="369"/>
    </row>
    <row r="51" spans="2:21" ht="15" thickBot="1" x14ac:dyDescent="0.35">
      <c r="B51" s="358" t="s">
        <v>56</v>
      </c>
      <c r="C51" s="359"/>
      <c r="D51" s="359"/>
      <c r="E51" s="359"/>
      <c r="F51" s="359"/>
      <c r="G51" s="359"/>
      <c r="H51" s="359"/>
      <c r="I51" s="359"/>
      <c r="J51" s="360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86">C5</f>
        <v>80</v>
      </c>
      <c r="D53" s="118">
        <f t="shared" si="86"/>
        <v>90</v>
      </c>
      <c r="E53" s="118">
        <f t="shared" si="86"/>
        <v>100</v>
      </c>
      <c r="F53" s="315">
        <f t="shared" si="86"/>
        <v>100</v>
      </c>
      <c r="G53" s="313">
        <f t="shared" si="86"/>
        <v>100</v>
      </c>
      <c r="H53" s="316">
        <f t="shared" si="86"/>
        <v>100</v>
      </c>
      <c r="I53" s="316">
        <f t="shared" si="86"/>
        <v>100</v>
      </c>
      <c r="J53" s="314">
        <f t="shared" si="86"/>
        <v>100</v>
      </c>
      <c r="M53" s="167" t="s">
        <v>58</v>
      </c>
      <c r="N53" s="216">
        <f t="shared" ref="N53:U53" si="87">IF(ISNUMBER(N41),(1-($R$43-N41)/$R$43)," - ")</f>
        <v>0.61263223397635325</v>
      </c>
      <c r="O53" s="217">
        <f t="shared" si="87"/>
        <v>0.71590561136298536</v>
      </c>
      <c r="P53" s="217">
        <f t="shared" si="87"/>
        <v>0.74229709307494007</v>
      </c>
      <c r="Q53" s="218">
        <f t="shared" si="87"/>
        <v>0.68939461285447601</v>
      </c>
      <c r="R53" s="219">
        <f t="shared" si="87"/>
        <v>0.61532876996473762</v>
      </c>
      <c r="S53" s="217">
        <f t="shared" si="87"/>
        <v>0.73086496577473548</v>
      </c>
      <c r="T53" s="217">
        <f t="shared" si="87"/>
        <v>0.50187547535089538</v>
      </c>
      <c r="U53" s="218">
        <f t="shared" si="87"/>
        <v>0.79706838138698743</v>
      </c>
    </row>
    <row r="54" spans="2:21" ht="15" thickBot="1" x14ac:dyDescent="0.35">
      <c r="B54" s="310" t="s">
        <v>25</v>
      </c>
      <c r="C54" s="311">
        <f t="shared" si="86"/>
        <v>80</v>
      </c>
      <c r="D54" s="312">
        <f t="shared" si="86"/>
        <v>90</v>
      </c>
      <c r="E54" s="312">
        <f t="shared" si="86"/>
        <v>100</v>
      </c>
      <c r="F54" s="312">
        <f t="shared" si="86"/>
        <v>100</v>
      </c>
      <c r="G54" s="312">
        <f t="shared" si="86"/>
        <v>110</v>
      </c>
      <c r="H54" s="312">
        <f t="shared" si="86"/>
        <v>110</v>
      </c>
      <c r="I54" s="312">
        <f t="shared" si="86"/>
        <v>120</v>
      </c>
      <c r="J54" s="317">
        <f t="shared" si="86"/>
        <v>120</v>
      </c>
      <c r="M54" s="167" t="s">
        <v>59</v>
      </c>
      <c r="N54" s="208">
        <f>IF(ISNUMBER(N41),(1-(N42-N41)/N42)," - ")</f>
        <v>0.72986748216106012</v>
      </c>
      <c r="O54" s="209">
        <f>IF(ISNUMBER(O41),(1-(O42-O41)/O42)," - ")</f>
        <v>0.77217860072659095</v>
      </c>
      <c r="P54" s="209">
        <f>IF(ISNUMBER(P41),(1-(P42-P41)/P42)," - ")</f>
        <v>0.78695832469417382</v>
      </c>
      <c r="Q54" s="210">
        <f t="shared" ref="Q54:U54" si="88">IF(ISNUMBER(Q41),(1-(Q42-Q41)/Q42)," - ")</f>
        <v>0.70627128831897412</v>
      </c>
      <c r="R54" s="215">
        <f t="shared" si="88"/>
        <v>0.67176177536231885</v>
      </c>
      <c r="S54" s="209">
        <f t="shared" si="88"/>
        <v>0.73086496577473548</v>
      </c>
      <c r="T54" s="209">
        <f t="shared" si="88"/>
        <v>0.5166373067136425</v>
      </c>
      <c r="U54" s="210">
        <f t="shared" si="88"/>
        <v>0.82099490795142971</v>
      </c>
    </row>
    <row r="55" spans="2:21" ht="15.55" thickTop="1" thickBot="1" x14ac:dyDescent="0.35">
      <c r="B55" s="228" t="s">
        <v>60</v>
      </c>
      <c r="C55" s="313">
        <f t="shared" ref="C55:J55" si="89">C7</f>
        <v>500</v>
      </c>
      <c r="D55" s="314">
        <f t="shared" si="89"/>
        <v>500</v>
      </c>
      <c r="E55" s="313">
        <f t="shared" si="89"/>
        <v>100</v>
      </c>
      <c r="F55" s="316">
        <f t="shared" si="89"/>
        <v>100</v>
      </c>
      <c r="G55" s="316">
        <f t="shared" si="89"/>
        <v>100</v>
      </c>
      <c r="H55" s="316">
        <f t="shared" si="89"/>
        <v>100</v>
      </c>
      <c r="I55" s="316">
        <f t="shared" si="89"/>
        <v>100</v>
      </c>
      <c r="J55" s="314">
        <f t="shared" si="89"/>
        <v>100</v>
      </c>
      <c r="M55" s="257" t="s">
        <v>61</v>
      </c>
      <c r="N55" s="256">
        <f>1-(R43-N43)/R43</f>
        <v>0.67567089296826399</v>
      </c>
    </row>
    <row r="56" spans="2:21" ht="15" thickBot="1" x14ac:dyDescent="0.35">
      <c r="B56" s="361" t="s">
        <v>62</v>
      </c>
      <c r="C56" s="362"/>
      <c r="D56" s="362"/>
      <c r="E56" s="362"/>
      <c r="F56" s="362"/>
      <c r="G56" s="362"/>
      <c r="H56" s="362"/>
      <c r="I56" s="362"/>
      <c r="J56" s="363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>
        <f>C19</f>
        <v>4.245285714285715</v>
      </c>
      <c r="D58" s="139">
        <f t="shared" ref="C58:J59" si="90">D19</f>
        <v>3.3728571428571432</v>
      </c>
      <c r="E58" s="139">
        <f t="shared" si="90"/>
        <v>2.5304285714285717</v>
      </c>
      <c r="F58" s="139">
        <f t="shared" si="90"/>
        <v>2.5782857142857147</v>
      </c>
      <c r="G58" s="139">
        <f t="shared" si="90"/>
        <v>2.0699999999999998</v>
      </c>
      <c r="H58" s="139">
        <f t="shared" si="90"/>
        <v>2.085833333333333</v>
      </c>
      <c r="I58" s="139">
        <f t="shared" si="90"/>
        <v>1.7241666666666668</v>
      </c>
      <c r="J58" s="231">
        <f t="shared" si="90"/>
        <v>1.7373333333333332</v>
      </c>
    </row>
    <row r="59" spans="2:21" x14ac:dyDescent="0.3">
      <c r="B59" s="230" t="s">
        <v>64</v>
      </c>
      <c r="C59" s="140">
        <f t="shared" si="90"/>
        <v>4.3049999999999997</v>
      </c>
      <c r="D59" s="141">
        <f t="shared" si="90"/>
        <v>4.2770000000000001</v>
      </c>
      <c r="E59" s="141">
        <f t="shared" si="90"/>
        <v>2.6309999999999998</v>
      </c>
      <c r="F59" s="141">
        <f t="shared" si="90"/>
        <v>2.6150000000000002</v>
      </c>
      <c r="G59" s="141">
        <f t="shared" si="90"/>
        <v>2.1</v>
      </c>
      <c r="H59" s="141">
        <f t="shared" si="90"/>
        <v>2.1040000000000001</v>
      </c>
      <c r="I59" s="141">
        <f t="shared" si="90"/>
        <v>1.7470000000000001</v>
      </c>
      <c r="J59" s="232">
        <f t="shared" si="90"/>
        <v>1.754</v>
      </c>
    </row>
    <row r="60" spans="2:21" ht="15" thickBot="1" x14ac:dyDescent="0.35">
      <c r="B60" s="233" t="s">
        <v>65</v>
      </c>
      <c r="C60" s="142">
        <f>IF(COUNTIF(C11:C17,"&gt;0")&gt;=2,_xlfn.STDEV.P(C11:C17)," - ")</f>
        <v>4.8965627260979888E-2</v>
      </c>
      <c r="D60" s="143">
        <f t="shared" ref="D60:J60" si="91">IF(COUNTIF(D11:D17,"&gt;0")&gt;=2,_xlfn.STDEV.P(D11:D17)," - ")</f>
        <v>0.36980938277961073</v>
      </c>
      <c r="E60" s="143">
        <f t="shared" si="91"/>
        <v>0.1179598686513549</v>
      </c>
      <c r="F60" s="143">
        <f t="shared" si="91"/>
        <v>3.1212242496056801E-2</v>
      </c>
      <c r="G60" s="143">
        <f t="shared" si="91"/>
        <v>0.66843246419041713</v>
      </c>
      <c r="H60" s="143">
        <f t="shared" si="91"/>
        <v>0.67231515933332087</v>
      </c>
      <c r="I60" s="143">
        <f t="shared" si="91"/>
        <v>0.54571155571493624</v>
      </c>
      <c r="J60" s="234">
        <f t="shared" si="91"/>
        <v>0.54679832494555569</v>
      </c>
    </row>
    <row r="61" spans="2:21" ht="15" thickBot="1" x14ac:dyDescent="0.35">
      <c r="B61" s="370" t="s">
        <v>66</v>
      </c>
      <c r="C61" s="371"/>
      <c r="D61" s="371"/>
      <c r="E61" s="371"/>
      <c r="F61" s="371"/>
      <c r="G61" s="371"/>
      <c r="H61" s="371"/>
      <c r="I61" s="371"/>
      <c r="J61" s="372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>
        <f t="shared" ref="C63:J64" si="92">C41</f>
        <v>7.160000000000001</v>
      </c>
      <c r="D63" s="133">
        <f t="shared" si="92"/>
        <v>9.4128571428571437</v>
      </c>
      <c r="E63" s="133">
        <f t="shared" si="92"/>
        <v>10.844285714285714</v>
      </c>
      <c r="F63" s="133">
        <f t="shared" si="92"/>
        <v>10.071428571428571</v>
      </c>
      <c r="G63" s="133">
        <f t="shared" si="92"/>
        <v>9.8883333333333336</v>
      </c>
      <c r="H63" s="133">
        <f t="shared" si="92"/>
        <v>11.744999999999999</v>
      </c>
      <c r="I63" s="133">
        <f t="shared" si="92"/>
        <v>8.7983333333333338</v>
      </c>
      <c r="J63" s="236">
        <f t="shared" si="92"/>
        <v>13.973333333333334</v>
      </c>
    </row>
    <row r="64" spans="2:21" x14ac:dyDescent="0.3">
      <c r="B64" s="230" t="s">
        <v>64</v>
      </c>
      <c r="C64" s="134">
        <f t="shared" si="92"/>
        <v>9.81</v>
      </c>
      <c r="D64" s="135">
        <f t="shared" si="92"/>
        <v>12.19</v>
      </c>
      <c r="E64" s="135">
        <f t="shared" si="92"/>
        <v>13.78</v>
      </c>
      <c r="F64" s="135">
        <f t="shared" si="92"/>
        <v>14.26</v>
      </c>
      <c r="G64" s="135">
        <f t="shared" si="92"/>
        <v>14.72</v>
      </c>
      <c r="H64" s="135">
        <f t="shared" si="92"/>
        <v>16.07</v>
      </c>
      <c r="I64" s="135">
        <f t="shared" si="92"/>
        <v>17.03</v>
      </c>
      <c r="J64" s="237">
        <f t="shared" si="92"/>
        <v>17.02</v>
      </c>
    </row>
    <row r="65" spans="2:10" ht="15" thickBot="1" x14ac:dyDescent="0.35">
      <c r="B65" s="233" t="s">
        <v>65</v>
      </c>
      <c r="C65" s="136">
        <f>IF(COUNTIF(C25:C38,"&gt;0")&gt;=2,_xlfn.STDEV.P(C25:C38)," - ")</f>
        <v>2.0834860896378156</v>
      </c>
      <c r="D65" s="137">
        <f t="shared" ref="D65:J65" si="93">IF(COUNTIF(D25:D38,"&gt;0")&gt;=2,_xlfn.STDEV.P(D25:D38)," - ")</f>
        <v>3.1321727478619334</v>
      </c>
      <c r="E65" s="137">
        <f t="shared" si="93"/>
        <v>2.8286587288115244</v>
      </c>
      <c r="F65" s="137">
        <f t="shared" si="93"/>
        <v>4.0842045162567757</v>
      </c>
      <c r="G65" s="137">
        <f t="shared" si="93"/>
        <v>3.6304207885644373</v>
      </c>
      <c r="H65" s="137">
        <f t="shared" si="93"/>
        <v>4.0897936677658917</v>
      </c>
      <c r="I65" s="137">
        <f t="shared" si="93"/>
        <v>6.0742285980381467</v>
      </c>
      <c r="J65" s="238">
        <f t="shared" si="93"/>
        <v>2.8487412186108103</v>
      </c>
    </row>
    <row r="66" spans="2:10" ht="15" thickBot="1" x14ac:dyDescent="0.35">
      <c r="B66" s="373" t="s">
        <v>67</v>
      </c>
      <c r="C66" s="374"/>
      <c r="D66" s="374"/>
      <c r="E66" s="374"/>
      <c r="F66" s="374"/>
      <c r="G66" s="374"/>
      <c r="H66" s="374"/>
      <c r="I66" s="374"/>
      <c r="J66" s="375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>
        <f t="shared" ref="C68:J69" si="94">N19</f>
        <v>1.1057444231176807</v>
      </c>
      <c r="D68" s="127">
        <f t="shared" si="94"/>
        <v>1.125152868576387</v>
      </c>
      <c r="E68" s="127">
        <f t="shared" si="94"/>
        <v>1.0093240356531612</v>
      </c>
      <c r="F68" s="127">
        <f t="shared" si="94"/>
        <v>1.0284130410132812</v>
      </c>
      <c r="G68" s="127">
        <f t="shared" si="94"/>
        <v>1.0170660796154178</v>
      </c>
      <c r="H68" s="127">
        <f t="shared" si="94"/>
        <v>1.0248455705625565</v>
      </c>
      <c r="I68" s="127">
        <f t="shared" si="94"/>
        <v>1.0111672462942358</v>
      </c>
      <c r="J68" s="239">
        <f t="shared" si="94"/>
        <v>1.018889064801461</v>
      </c>
    </row>
    <row r="69" spans="2:10" x14ac:dyDescent="0.3">
      <c r="B69" s="230" t="s">
        <v>64</v>
      </c>
      <c r="C69" s="128">
        <f t="shared" si="94"/>
        <v>1.1212978494010601</v>
      </c>
      <c r="D69" s="129">
        <f t="shared" si="94"/>
        <v>1.4267662741341993</v>
      </c>
      <c r="E69" s="129">
        <f t="shared" si="94"/>
        <v>1.0494394379621899</v>
      </c>
      <c r="F69" s="129">
        <f t="shared" si="94"/>
        <v>1.0430574421402989</v>
      </c>
      <c r="G69" s="129">
        <f t="shared" si="94"/>
        <v>1.0318061677257861</v>
      </c>
      <c r="H69" s="129">
        <f t="shared" si="94"/>
        <v>1.0337715128071687</v>
      </c>
      <c r="I69" s="129">
        <f t="shared" si="94"/>
        <v>1.0245582480092972</v>
      </c>
      <c r="J69" s="240">
        <f t="shared" si="94"/>
        <v>1.028663518608075</v>
      </c>
    </row>
    <row r="70" spans="2:10" ht="15" thickBot="1" x14ac:dyDescent="0.35">
      <c r="B70" s="233" t="s">
        <v>65</v>
      </c>
      <c r="C70" s="130">
        <f>IF(COUNTIF(N11:N17,"&gt;0")&gt;=2,_xlfn.STDEV.P(N11:N17)," - ")</f>
        <v>1.2753786885554201E-2</v>
      </c>
      <c r="D70" s="131">
        <f t="shared" ref="D70:J70" si="95">IF(COUNTIF(O11:O17,"&gt;0")&gt;=2,_xlfn.STDEV.P(O11:O17)," - ")</f>
        <v>0.123364871453901</v>
      </c>
      <c r="E70" s="131">
        <f t="shared" si="95"/>
        <v>4.7051211805234382E-2</v>
      </c>
      <c r="F70" s="131">
        <f t="shared" si="95"/>
        <v>1.2449775075105028E-2</v>
      </c>
      <c r="G70" s="131">
        <f t="shared" si="95"/>
        <v>9.1974438414744439E-2</v>
      </c>
      <c r="H70" s="131">
        <f t="shared" si="95"/>
        <v>8.8758714692252119E-2</v>
      </c>
      <c r="I70" s="131">
        <f t="shared" si="95"/>
        <v>8.40769530932413E-2</v>
      </c>
      <c r="J70" s="241">
        <f t="shared" si="95"/>
        <v>7.1301021292869748E-2</v>
      </c>
    </row>
    <row r="71" spans="2:10" ht="15" thickBot="1" x14ac:dyDescent="0.35">
      <c r="B71" s="331" t="s">
        <v>68</v>
      </c>
      <c r="C71" s="332"/>
      <c r="D71" s="332"/>
      <c r="E71" s="332"/>
      <c r="F71" s="332"/>
      <c r="G71" s="332"/>
      <c r="H71" s="332"/>
      <c r="I71" s="332"/>
      <c r="J71" s="333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>
        <f t="shared" ref="C73:J74" si="96">N41</f>
        <v>0.33585584689903764</v>
      </c>
      <c r="D73" s="121">
        <f t="shared" si="96"/>
        <v>0.39247214245238266</v>
      </c>
      <c r="E73" s="121">
        <f t="shared" si="96"/>
        <v>0.40694042040073353</v>
      </c>
      <c r="F73" s="121">
        <f t="shared" si="96"/>
        <v>0.37793834327824677</v>
      </c>
      <c r="G73" s="121">
        <f t="shared" si="96"/>
        <v>0.33733413571220433</v>
      </c>
      <c r="H73" s="121">
        <f t="shared" si="96"/>
        <v>0.40067312563018764</v>
      </c>
      <c r="I73" s="121">
        <f t="shared" si="96"/>
        <v>0.27513702914028865</v>
      </c>
      <c r="J73" s="242">
        <f t="shared" si="96"/>
        <v>0.43696701123549536</v>
      </c>
    </row>
    <row r="74" spans="2:10" x14ac:dyDescent="0.3">
      <c r="B74" s="230" t="s">
        <v>64</v>
      </c>
      <c r="C74" s="122">
        <f t="shared" si="96"/>
        <v>0.46016003604463118</v>
      </c>
      <c r="D74" s="123">
        <f t="shared" si="96"/>
        <v>0.50826601783976033</v>
      </c>
      <c r="E74" s="123">
        <f t="shared" si="96"/>
        <v>0.51710542684566929</v>
      </c>
      <c r="F74" s="123">
        <f t="shared" si="96"/>
        <v>0.53511780746148363</v>
      </c>
      <c r="G74" s="123">
        <f t="shared" si="96"/>
        <v>0.50216333838027782</v>
      </c>
      <c r="H74" s="123">
        <f t="shared" si="96"/>
        <v>0.54821772063662122</v>
      </c>
      <c r="I74" s="123">
        <f t="shared" si="96"/>
        <v>0.53255354494326002</v>
      </c>
      <c r="J74" s="243">
        <f t="shared" si="96"/>
        <v>0.53224083000201317</v>
      </c>
    </row>
    <row r="75" spans="2:10" ht="15" thickBot="1" x14ac:dyDescent="0.35">
      <c r="B75" s="233" t="s">
        <v>65</v>
      </c>
      <c r="C75" s="124">
        <f>IF(COUNTIF(N25:N38,"&gt;0")&gt;=2,_xlfn.STDEV.P(N25:N38)," - ")</f>
        <v>9.7730584516434876E-2</v>
      </c>
      <c r="D75" s="125">
        <f t="shared" ref="D75:J75" si="97">IF(COUNTIF(O25:O38,"&gt;0")&gt;=2,_xlfn.STDEV.P(O25:O38)," - ")</f>
        <v>0.13059696224298631</v>
      </c>
      <c r="E75" s="125">
        <f t="shared" si="97"/>
        <v>0.10614766178249757</v>
      </c>
      <c r="F75" s="125">
        <f>IF(COUNTIF(Q25:Q38,"&gt;0")&gt;=2,_xlfn.STDEV.P(Q25:Q38)," - ")</f>
        <v>0.15326301304092685</v>
      </c>
      <c r="G75" s="125">
        <f t="shared" si="97"/>
        <v>0.12172202544516514</v>
      </c>
      <c r="H75" s="125">
        <f t="shared" si="97"/>
        <v>0.13754750182431841</v>
      </c>
      <c r="I75" s="125">
        <f t="shared" si="97"/>
        <v>0.1914771032576785</v>
      </c>
      <c r="J75" s="244">
        <f t="shared" si="97"/>
        <v>7.8981217018845709E-2</v>
      </c>
    </row>
    <row r="76" spans="2:10" ht="15" thickBot="1" x14ac:dyDescent="0.35">
      <c r="B76" s="355" t="s">
        <v>69</v>
      </c>
      <c r="C76" s="356"/>
      <c r="D76" s="356"/>
      <c r="E76" s="356"/>
      <c r="F76" s="356"/>
      <c r="G76" s="356"/>
      <c r="H76" s="356"/>
      <c r="I76" s="356"/>
      <c r="J76" s="357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>
        <f>IF(ISNUMBER(C63),C63/C54," - ")</f>
        <v>8.950000000000001E-2</v>
      </c>
      <c r="D78" s="112">
        <f t="shared" ref="D78:J78" si="98">IF(ISNUMBER(D63),D63/D54," - ")</f>
        <v>0.10458730158730159</v>
      </c>
      <c r="E78" s="112">
        <f t="shared" si="98"/>
        <v>0.10844285714285715</v>
      </c>
      <c r="F78" s="112">
        <f t="shared" si="98"/>
        <v>0.10071428571428571</v>
      </c>
      <c r="G78" s="112">
        <f>IF(ISNUMBER(G63),G63/G54," - ")</f>
        <v>8.9893939393939401E-2</v>
      </c>
      <c r="H78" s="112">
        <f t="shared" si="98"/>
        <v>0.10677272727272727</v>
      </c>
      <c r="I78" s="112">
        <f t="shared" si="98"/>
        <v>7.3319444444444451E-2</v>
      </c>
      <c r="J78" s="246">
        <f t="shared" si="98"/>
        <v>0.11644444444444445</v>
      </c>
    </row>
    <row r="79" spans="2:10" ht="15" thickBot="1" x14ac:dyDescent="0.35">
      <c r="B79" s="233" t="s">
        <v>64</v>
      </c>
      <c r="C79" s="113">
        <f>IF(ISNUMBER(C64),C64/C54," - ")</f>
        <v>0.12262500000000001</v>
      </c>
      <c r="D79" s="114">
        <f t="shared" ref="D79:J79" si="99">IF(ISNUMBER(D64),D64/D54," - ")</f>
        <v>0.13544444444444445</v>
      </c>
      <c r="E79" s="114">
        <f t="shared" si="99"/>
        <v>0.13780000000000001</v>
      </c>
      <c r="F79" s="114">
        <f t="shared" si="99"/>
        <v>0.1426</v>
      </c>
      <c r="G79" s="114">
        <f t="shared" si="99"/>
        <v>0.13381818181818184</v>
      </c>
      <c r="H79" s="114">
        <f t="shared" si="99"/>
        <v>0.1460909090909091</v>
      </c>
      <c r="I79" s="114">
        <f t="shared" si="99"/>
        <v>0.14191666666666666</v>
      </c>
      <c r="J79" s="247">
        <f t="shared" si="99"/>
        <v>0.14183333333333334</v>
      </c>
    </row>
    <row r="80" spans="2:10" ht="15" thickBot="1" x14ac:dyDescent="0.35">
      <c r="B80" s="338" t="s">
        <v>70</v>
      </c>
      <c r="C80" s="339"/>
      <c r="D80" s="339"/>
      <c r="E80" s="339"/>
      <c r="F80" s="339"/>
      <c r="G80" s="339"/>
      <c r="H80" s="340"/>
      <c r="I80" s="340"/>
      <c r="J80" s="341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>
        <f>IF(_xlfn.AGGREGATE(9,6,E39:J39)=0," - ",_xlfn.AGGREGATE(1,6,E39:J39))</f>
        <v>6.6350000000000007</v>
      </c>
      <c r="D82" s="170" t="str">
        <f>IF(_xlfn.AGGREGATE(9,6,P18:U18)=0," - ",_xlfn.AGGREGATE(1,6,P18:U18))</f>
        <v xml:space="preserve"> - </v>
      </c>
      <c r="E82" s="170">
        <f>IF(_xlfn.AGGREGATE(9,6,E39:J39)=0," - ",_xlfn.AGGREGATE(1,6,E39:J39))</f>
        <v>6.6350000000000007</v>
      </c>
      <c r="F82" s="170">
        <f>IF(_xlfn.AGGREGATE(9,6,P39:U39)=0," - ",_xlfn.AGGREGATE(1,6,P39:U39))</f>
        <v>0.24898363622068331</v>
      </c>
      <c r="G82" s="170">
        <f>IF(ISNUMBER(E82),E82/E55," - ")</f>
        <v>6.6350000000000006E-2</v>
      </c>
      <c r="H82" s="169"/>
      <c r="I82" s="170"/>
      <c r="J82" s="249"/>
    </row>
    <row r="83" spans="2:10" ht="15" thickBot="1" x14ac:dyDescent="0.35">
      <c r="B83" s="250" t="s">
        <v>64</v>
      </c>
      <c r="C83" s="251">
        <f>IF(_xlfn.AGGREGATE(9,6,E39:J39)=0," - ",_xlfn.AGGREGATE(4,6,E39:J39))</f>
        <v>13.93</v>
      </c>
      <c r="D83" s="252" t="str">
        <f>IF(_xlfn.AGGREGATE(9,6,P18:U18)=0," - ",_xlfn.AGGREGATE(4,6,P18:U18))</f>
        <v xml:space="preserve"> - </v>
      </c>
      <c r="E83" s="252">
        <f>IF(_xlfn.AGGREGATE(9,6,E39:J39)=0," - ",_xlfn.AGGREGATE(4,6,E39:J39))</f>
        <v>13.93</v>
      </c>
      <c r="F83" s="252">
        <f>IF(_xlfn.AGGREGATE(9,6,P39:U39)=0," - ",_xlfn.AGGREGATE(4,6,P39:U39))</f>
        <v>0.52273429578811126</v>
      </c>
      <c r="G83" s="252">
        <f>IF(ISNUMBER(E83),E83/E55," - ")</f>
        <v>0.13930000000000001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AR20:AZ21"/>
    <mergeCell ref="B1:C1"/>
    <mergeCell ref="AR9:AZ9"/>
    <mergeCell ref="S6:AA6"/>
    <mergeCell ref="S7:AA7"/>
    <mergeCell ref="K3:L3"/>
    <mergeCell ref="AG9:AO9"/>
    <mergeCell ref="S2:AA2"/>
    <mergeCell ref="S3:AA3"/>
    <mergeCell ref="S4:AA4"/>
    <mergeCell ref="S5:AA5"/>
    <mergeCell ref="B2:C2"/>
    <mergeCell ref="B3:C3"/>
    <mergeCell ref="E2:F2"/>
    <mergeCell ref="H3:I3"/>
    <mergeCell ref="H2:I2"/>
    <mergeCell ref="T47:U50"/>
    <mergeCell ref="B61:J61"/>
    <mergeCell ref="B66:J66"/>
    <mergeCell ref="L5:M5"/>
    <mergeCell ref="O7:P7"/>
    <mergeCell ref="B50:J50"/>
    <mergeCell ref="B71:J71"/>
    <mergeCell ref="B9:F9"/>
    <mergeCell ref="K2:L2"/>
    <mergeCell ref="B80:J80"/>
    <mergeCell ref="M23:Q23"/>
    <mergeCell ref="M9:Q9"/>
    <mergeCell ref="B45:C45"/>
    <mergeCell ref="B46:C46"/>
    <mergeCell ref="B23:F23"/>
    <mergeCell ref="B76:J76"/>
    <mergeCell ref="B51:J51"/>
    <mergeCell ref="B56:J56"/>
    <mergeCell ref="B47:C47"/>
    <mergeCell ref="E3:F3"/>
    <mergeCell ref="L6:M6"/>
  </mergeCells>
  <conditionalFormatting sqref="C11:I11 C16:I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44" priority="44">
      <formula>LEN(TRIM(C11))=0</formula>
    </cfRule>
  </conditionalFormatting>
  <conditionalFormatting sqref="C12:J15">
    <cfRule type="containsBlanks" dxfId="0" priority="35">
      <formula>LEN(TRIM(C12))=0</formula>
    </cfRule>
  </conditionalFormatting>
  <conditionalFormatting sqref="C25:J40">
    <cfRule type="containsBlanks" dxfId="43" priority="18">
      <formula>LEN(TRIM(C25))=0</formula>
    </cfRule>
  </conditionalFormatting>
  <conditionalFormatting sqref="N11:U1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42" priority="176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1" priority="58">
      <formula>LEN(TRIM(N25))=0</formula>
    </cfRule>
  </conditionalFormatting>
  <conditionalFormatting sqref="N26:U26 N28:U28 N30:U30 N32:U32 N34:U34 N36:U36 N38:U38 N40:U40">
    <cfRule type="cellIs" dxfId="40" priority="59" stopIfTrue="1" operator="equal">
      <formula>0</formula>
    </cfRule>
    <cfRule type="containsBlanks" dxfId="39" priority="77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8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7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6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5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4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3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2" priority="3">
      <formula>LEN(TRIM(N39))=0</formula>
    </cfRule>
  </conditionalFormatting>
  <conditionalFormatting sqref="X25:AE40">
    <cfRule type="containsBlanks" dxfId="31" priority="76">
      <formula>LEN(TRIM(X25))=0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D92-E54D-47FE-A30E-64D1DD856930}">
  <sheetPr>
    <tabColor rgb="FFFF0000"/>
  </sheetPr>
  <dimension ref="A1:BE112"/>
  <sheetViews>
    <sheetView zoomScaleNormal="100" workbookViewId="0">
      <selection activeCell="C5" sqref="C5:J7"/>
    </sheetView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4" t="s">
        <v>0</v>
      </c>
      <c r="C1" s="385"/>
      <c r="D1" s="260" t="str">
        <f>'Cooldown 1'!D1</f>
        <v>250703 U1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09" t="s">
        <v>3</v>
      </c>
      <c r="C2" s="410"/>
      <c r="D2" s="258">
        <f>'Cooldown 1'!D2</f>
        <v>429</v>
      </c>
      <c r="E2" s="412" t="s">
        <v>4</v>
      </c>
      <c r="F2" s="412"/>
      <c r="G2" s="258">
        <f>'Cooldown 1'!G2</f>
        <v>9.1</v>
      </c>
      <c r="H2" s="412" t="s">
        <v>5</v>
      </c>
      <c r="I2" s="412"/>
      <c r="J2" s="258">
        <f>'Cooldown 1'!J2</f>
        <v>0.5</v>
      </c>
      <c r="K2" s="337" t="s">
        <v>6</v>
      </c>
      <c r="L2" s="337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400" t="s">
        <v>10</v>
      </c>
      <c r="T2" s="401"/>
      <c r="U2" s="401"/>
      <c r="V2" s="401"/>
      <c r="W2" s="401"/>
      <c r="X2" s="401"/>
      <c r="Y2" s="401"/>
      <c r="Z2" s="401"/>
      <c r="AA2" s="402"/>
    </row>
    <row r="3" spans="1:57" ht="19.899999999999999" customHeight="1" thickTop="1" thickBot="1" x14ac:dyDescent="0.35">
      <c r="B3" s="411" t="s">
        <v>11</v>
      </c>
      <c r="C3" s="366"/>
      <c r="D3" s="57">
        <f>'Cooldown 1'!D3</f>
        <v>515</v>
      </c>
      <c r="E3" s="366" t="s">
        <v>12</v>
      </c>
      <c r="F3" s="366"/>
      <c r="G3" s="57">
        <f>'Cooldown 1'!G3</f>
        <v>7.94</v>
      </c>
      <c r="H3" s="413" t="s">
        <v>13</v>
      </c>
      <c r="I3" s="413"/>
      <c r="J3" s="57">
        <f>'Cooldown 1'!J3</f>
        <v>4.5</v>
      </c>
      <c r="K3" s="395"/>
      <c r="L3" s="396"/>
      <c r="M3" s="58"/>
      <c r="O3" s="42"/>
      <c r="P3" s="62"/>
      <c r="Q3" s="63"/>
      <c r="S3" s="403"/>
      <c r="T3" s="404"/>
      <c r="U3" s="404"/>
      <c r="V3" s="404"/>
      <c r="W3" s="404"/>
      <c r="X3" s="404"/>
      <c r="Y3" s="404"/>
      <c r="Z3" s="404"/>
      <c r="AA3" s="405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6"/>
      <c r="T4" s="407"/>
      <c r="U4" s="407"/>
      <c r="V4" s="407"/>
      <c r="W4" s="407"/>
      <c r="X4" s="407"/>
      <c r="Y4" s="407"/>
      <c r="Z4" s="407"/>
      <c r="AA4" s="408"/>
    </row>
    <row r="5" spans="1:57" ht="17.149999999999999" customHeight="1" outlineLevel="1" thickTop="1" thickBot="1" x14ac:dyDescent="0.35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6" t="s">
        <v>24</v>
      </c>
      <c r="M5" s="377"/>
      <c r="O5" s="42"/>
      <c r="P5" s="62"/>
      <c r="Q5" s="64"/>
      <c r="S5" s="406"/>
      <c r="T5" s="407"/>
      <c r="U5" s="407"/>
      <c r="V5" s="407"/>
      <c r="W5" s="407"/>
      <c r="X5" s="407"/>
      <c r="Y5" s="407"/>
      <c r="Z5" s="407"/>
      <c r="AA5" s="408"/>
    </row>
    <row r="6" spans="1:57" ht="17.149999999999999" customHeight="1" outlineLevel="1" thickTop="1" thickBot="1" x14ac:dyDescent="0.35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4"/>
      <c r="M6" s="415"/>
      <c r="O6" s="42"/>
      <c r="P6" s="62"/>
      <c r="Q6" s="64"/>
      <c r="S6" s="389"/>
      <c r="T6" s="390"/>
      <c r="U6" s="390"/>
      <c r="V6" s="390"/>
      <c r="W6" s="390"/>
      <c r="X6" s="390"/>
      <c r="Y6" s="390"/>
      <c r="Z6" s="390"/>
      <c r="AA6" s="391"/>
    </row>
    <row r="7" spans="1:57" ht="17.149999999999999" customHeight="1" outlineLevel="1" thickTop="1" thickBot="1" x14ac:dyDescent="0.35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8" t="s">
        <v>27</v>
      </c>
      <c r="P7" s="379"/>
      <c r="Q7" s="289"/>
      <c r="S7" s="392"/>
      <c r="T7" s="393"/>
      <c r="U7" s="393"/>
      <c r="V7" s="393"/>
      <c r="W7" s="393"/>
      <c r="X7" s="393"/>
      <c r="Y7" s="393"/>
      <c r="Z7" s="393"/>
      <c r="AA7" s="394"/>
    </row>
    <row r="8" spans="1:57" ht="17.149999999999999" customHeight="1" outlineLevel="1" thickTop="1" thickBot="1" x14ac:dyDescent="0.35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4" t="s">
        <v>28</v>
      </c>
      <c r="C9" s="335"/>
      <c r="D9" s="335"/>
      <c r="E9" s="335"/>
      <c r="F9" s="336"/>
      <c r="G9" s="214"/>
      <c r="H9" s="40"/>
      <c r="I9" s="40"/>
      <c r="J9" s="41"/>
      <c r="M9" s="345" t="s">
        <v>29</v>
      </c>
      <c r="N9" s="346"/>
      <c r="O9" s="346"/>
      <c r="P9" s="346"/>
      <c r="Q9" s="347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7" t="s">
        <v>31</v>
      </c>
      <c r="AH9" s="398"/>
      <c r="AI9" s="398"/>
      <c r="AJ9" s="398"/>
      <c r="AK9" s="398"/>
      <c r="AL9" s="398"/>
      <c r="AM9" s="398"/>
      <c r="AN9" s="398"/>
      <c r="AO9" s="399"/>
      <c r="AR9" s="386" t="s">
        <v>32</v>
      </c>
      <c r="AS9" s="387"/>
      <c r="AT9" s="387"/>
      <c r="AU9" s="387"/>
      <c r="AV9" s="387"/>
      <c r="AW9" s="387"/>
      <c r="AX9" s="387"/>
      <c r="AY9" s="387"/>
      <c r="AZ9" s="388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3.8393010405749997</v>
      </c>
      <c r="Y11" s="264">
        <f t="shared" si="1"/>
        <v>2.9976879027333334</v>
      </c>
      <c r="Z11" s="264">
        <f t="shared" si="1"/>
        <v>2.5070527224599997</v>
      </c>
      <c r="AA11" s="265">
        <f t="shared" si="1"/>
        <v>2.5070527224599997</v>
      </c>
      <c r="AB11" s="294">
        <f t="shared" si="1"/>
        <v>0.2145</v>
      </c>
      <c r="AC11" s="296">
        <f t="shared" si="1"/>
        <v>0.2145</v>
      </c>
      <c r="AD11" s="296">
        <f t="shared" si="1"/>
        <v>0.2145</v>
      </c>
      <c r="AE11" s="295">
        <f t="shared" si="1"/>
        <v>0.2145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3.8393010405749997</v>
      </c>
      <c r="Y12" s="268">
        <f t="shared" si="1"/>
        <v>2.9976879027333334</v>
      </c>
      <c r="Z12" s="268">
        <f t="shared" si="1"/>
        <v>2.5070527224599997</v>
      </c>
      <c r="AA12" s="269">
        <f t="shared" si="1"/>
        <v>2.5070527224599997</v>
      </c>
      <c r="AB12" s="267">
        <f t="shared" si="1"/>
        <v>2.0352659886000004</v>
      </c>
      <c r="AC12" s="268">
        <f t="shared" si="1"/>
        <v>2.0352659886000004</v>
      </c>
      <c r="AD12" s="268">
        <f t="shared" si="1"/>
        <v>1.7051251145499999</v>
      </c>
      <c r="AE12" s="270">
        <f t="shared" si="1"/>
        <v>1.7051251145499999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3.8393010405749997</v>
      </c>
      <c r="Y13" s="268">
        <f t="shared" si="1"/>
        <v>2.9976879027333334</v>
      </c>
      <c r="Z13" s="268">
        <f t="shared" si="1"/>
        <v>2.5070527224599997</v>
      </c>
      <c r="AA13" s="269">
        <f t="shared" si="1"/>
        <v>2.5070527224599997</v>
      </c>
      <c r="AB13" s="267">
        <f t="shared" si="1"/>
        <v>2.0352659886000004</v>
      </c>
      <c r="AC13" s="268">
        <f t="shared" si="1"/>
        <v>2.0352659886000004</v>
      </c>
      <c r="AD13" s="268">
        <f t="shared" si="1"/>
        <v>1.7051251145499999</v>
      </c>
      <c r="AE13" s="270">
        <f t="shared" si="1"/>
        <v>1.7051251145499999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3.8393010405749997</v>
      </c>
      <c r="Y14" s="272">
        <f t="shared" si="1"/>
        <v>2.9976879027333334</v>
      </c>
      <c r="Z14" s="272">
        <f t="shared" si="1"/>
        <v>2.5070527224599997</v>
      </c>
      <c r="AA14" s="273">
        <f t="shared" si="1"/>
        <v>2.5070527224599997</v>
      </c>
      <c r="AB14" s="274">
        <f t="shared" si="1"/>
        <v>2.0352659886000004</v>
      </c>
      <c r="AC14" s="275">
        <f t="shared" si="1"/>
        <v>2.0352659886000004</v>
      </c>
      <c r="AD14" s="275">
        <f t="shared" si="1"/>
        <v>1.7051251145499999</v>
      </c>
      <c r="AE14" s="276">
        <f t="shared" si="1"/>
        <v>1.7051251145499999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3.8393010405749997</v>
      </c>
      <c r="Y15" s="264">
        <f t="shared" si="1"/>
        <v>2.9976879027333334</v>
      </c>
      <c r="Z15" s="264">
        <f t="shared" si="1"/>
        <v>2.5070527224599997</v>
      </c>
      <c r="AA15" s="266">
        <f t="shared" si="1"/>
        <v>2.5070527224599997</v>
      </c>
      <c r="AB15" s="268">
        <f t="shared" si="1"/>
        <v>2.0352659886000004</v>
      </c>
      <c r="AC15" s="268">
        <f t="shared" si="1"/>
        <v>2.0352659886000004</v>
      </c>
      <c r="AD15" s="268">
        <f t="shared" si="1"/>
        <v>1.7051251145499999</v>
      </c>
      <c r="AE15" s="270">
        <f t="shared" si="1"/>
        <v>1.7051251145499999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3.8393010405749997</v>
      </c>
      <c r="Y16" s="268">
        <f t="shared" si="1"/>
        <v>2.9976879027333334</v>
      </c>
      <c r="Z16" s="268">
        <f t="shared" si="1"/>
        <v>2.5070527224599997</v>
      </c>
      <c r="AA16" s="270">
        <f t="shared" si="1"/>
        <v>2.5070527224599997</v>
      </c>
      <c r="AB16" s="268">
        <f t="shared" si="1"/>
        <v>2.0352659886000004</v>
      </c>
      <c r="AC16" s="268">
        <f t="shared" si="1"/>
        <v>2.0352659886000004</v>
      </c>
      <c r="AD16" s="268">
        <f t="shared" si="1"/>
        <v>1.7051251145499999</v>
      </c>
      <c r="AE16" s="270">
        <f t="shared" si="1"/>
        <v>1.7051251145499999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3.8393010405749997</v>
      </c>
      <c r="Y17" s="272">
        <f t="shared" si="1"/>
        <v>2.9976879027333334</v>
      </c>
      <c r="Z17" s="268">
        <f t="shared" si="1"/>
        <v>2.5070527224599997</v>
      </c>
      <c r="AA17" s="270">
        <f t="shared" si="1"/>
        <v>2.5070527224599997</v>
      </c>
      <c r="AB17" s="268">
        <f t="shared" si="1"/>
        <v>2.0352659886000004</v>
      </c>
      <c r="AC17" s="268">
        <f t="shared" si="1"/>
        <v>2.0352659886000004</v>
      </c>
      <c r="AD17" s="268">
        <f t="shared" si="1"/>
        <v>1.7051251145499999</v>
      </c>
      <c r="AE17" s="270">
        <f t="shared" si="1"/>
        <v>1.7051251145499999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4.2900000000000001E-2</v>
      </c>
      <c r="Y18" s="295">
        <f t="shared" si="1"/>
        <v>4.2900000000000001E-2</v>
      </c>
      <c r="Z18" s="275">
        <f t="shared" si="1"/>
        <v>1.6648481850000001</v>
      </c>
      <c r="AA18" s="276">
        <f t="shared" si="1"/>
        <v>1.6648481850000001</v>
      </c>
      <c r="AB18" s="275">
        <f t="shared" si="1"/>
        <v>1.6648481850000001</v>
      </c>
      <c r="AC18" s="275">
        <f t="shared" si="1"/>
        <v>1.6648481850000001</v>
      </c>
      <c r="AD18" s="275">
        <f t="shared" si="1"/>
        <v>1.6648481850000001</v>
      </c>
      <c r="AE18" s="276">
        <f t="shared" si="1"/>
        <v>1.6648481850000001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49999999999999" customHeight="1" outlineLevel="1" thickBot="1" x14ac:dyDescent="0.35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83" t="s">
        <v>36</v>
      </c>
      <c r="AS20" s="383"/>
      <c r="AT20" s="383"/>
      <c r="AU20" s="383"/>
      <c r="AV20" s="383"/>
      <c r="AW20" s="383"/>
      <c r="AX20" s="383"/>
      <c r="AY20" s="383"/>
      <c r="AZ20" s="383"/>
    </row>
    <row r="21" spans="2:52" ht="17.149999999999999" customHeight="1" outlineLevel="1" x14ac:dyDescent="0.3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83"/>
      <c r="AS21" s="383"/>
      <c r="AT21" s="383"/>
      <c r="AU21" s="383"/>
      <c r="AV21" s="383"/>
      <c r="AW21" s="383"/>
      <c r="AX21" s="383"/>
      <c r="AY21" s="383"/>
      <c r="AZ21" s="383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2" t="s">
        <v>39</v>
      </c>
      <c r="C23" s="353"/>
      <c r="D23" s="353"/>
      <c r="E23" s="353"/>
      <c r="F23" s="354"/>
      <c r="G23" s="213"/>
      <c r="H23" s="20"/>
      <c r="I23" s="20"/>
      <c r="J23" s="19"/>
      <c r="K23" s="13"/>
      <c r="L23" s="13"/>
      <c r="M23" s="342" t="s">
        <v>40</v>
      </c>
      <c r="N23" s="343"/>
      <c r="O23" s="343"/>
      <c r="P23" s="343"/>
      <c r="Q23" s="344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21.31867009643689</v>
      </c>
      <c r="Y25" s="303">
        <f>D$5*$G$3*(1-($J$3/$G$2)^2)^1.5*0.74*($C$112*$M$2*$G$2)^1.5/($C$111*$D$3*$G$3*SQRT($C$110*$J$2))*0.1</f>
        <v>23.983503858491495</v>
      </c>
      <c r="Z25" s="303">
        <f>E$5*$G$3*(1-($J$3/$G$2)^2)^1.5*0.74*($C$112*$M$2*$G$2)^1.5/($C$111*$D$3*$G$3*SQRT($C$110*$J$2))*0.1</f>
        <v>26.648337620546101</v>
      </c>
      <c r="AA25" s="191">
        <f>F$5*$G$3*(1-($J$3/$G$2)^2)^1.5*0.74*($C$112*$M$2*$G$2)^1.5/($C$111*$D$3*$G$3*SQRT($C$110*$J$2))*0.1</f>
        <v>26.648337620546101</v>
      </c>
      <c r="AB25" s="303">
        <f>$G$5*$G$3*(1-($J$3/$G$2)^2)^1.5*0.74*($C$112*$M$2*$G$2)^1.5/($C$111*$D$3*$G$3*SQRT($C$110*$J$2))*0.1</f>
        <v>26.648337620546101</v>
      </c>
      <c r="AC25" s="303">
        <f>$H$5*$G$3*(1-($J$3/$G$2)^2)^1.5*0.74*($C$112*$M$2*$G$2)^1.5/($C$111*$D$3*$G$3*SQRT($C$110*$J$2))*0.1</f>
        <v>26.648337620546101</v>
      </c>
      <c r="AD25" s="303">
        <f>$I$5*$G$3*(1-($J$3/$G$2)^2)^1.5*0.74*($C$112*$M$2*$G$2)^1.5/($C$111*$D$3*$G$3*SQRT($C$110*$J$2))*0.1</f>
        <v>26.648337620546101</v>
      </c>
      <c r="AE25" s="191">
        <f>$J$5*$G$3*(1-($J$3/$G$2)^2)^1.5*0.74*($C$112*$M$2*$G$2)^1.5/($C$111*$D$3*$G$3*SQRT($C$110*$J$2))*0.1</f>
        <v>26.648337620546101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21.31867009643689</v>
      </c>
      <c r="Y27" s="54">
        <f t="shared" si="8"/>
        <v>23.983503858491495</v>
      </c>
      <c r="Z27" s="54">
        <f t="shared" si="8"/>
        <v>26.648337620546101</v>
      </c>
      <c r="AA27" s="197">
        <f t="shared" si="8"/>
        <v>26.648337620546101</v>
      </c>
      <c r="AB27" s="54">
        <f t="shared" si="8"/>
        <v>29.313171382600718</v>
      </c>
      <c r="AC27" s="54">
        <f t="shared" si="8"/>
        <v>29.313171382600718</v>
      </c>
      <c r="AD27" s="54">
        <f t="shared" si="8"/>
        <v>31.978005144655327</v>
      </c>
      <c r="AE27" s="197">
        <f t="shared" si="8"/>
        <v>31.978005144655327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21.31867009643689</v>
      </c>
      <c r="Y29" s="54">
        <f t="shared" si="10"/>
        <v>23.983503858491495</v>
      </c>
      <c r="Z29" s="54">
        <f t="shared" si="10"/>
        <v>26.648337620546101</v>
      </c>
      <c r="AA29" s="197">
        <f t="shared" si="10"/>
        <v>26.648337620546101</v>
      </c>
      <c r="AB29" s="54">
        <f t="shared" si="10"/>
        <v>29.313171382600718</v>
      </c>
      <c r="AC29" s="54">
        <f t="shared" si="10"/>
        <v>29.313171382600718</v>
      </c>
      <c r="AD29" s="54">
        <f t="shared" si="10"/>
        <v>31.978005144655327</v>
      </c>
      <c r="AE29" s="197">
        <f t="shared" si="10"/>
        <v>31.978005144655327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21.31867009643689</v>
      </c>
      <c r="Y31" s="54">
        <f t="shared" si="12"/>
        <v>23.983503858491495</v>
      </c>
      <c r="Z31" s="54">
        <f t="shared" si="12"/>
        <v>26.648337620546101</v>
      </c>
      <c r="AA31" s="197">
        <f t="shared" si="12"/>
        <v>26.648337620546101</v>
      </c>
      <c r="AB31" s="54">
        <f t="shared" si="12"/>
        <v>29.313171382600718</v>
      </c>
      <c r="AC31" s="54">
        <f t="shared" si="12"/>
        <v>29.313171382600718</v>
      </c>
      <c r="AD31" s="54">
        <f t="shared" si="12"/>
        <v>31.978005144655327</v>
      </c>
      <c r="AE31" s="197">
        <f t="shared" si="12"/>
        <v>31.978005144655327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21.31867009643689</v>
      </c>
      <c r="Y33" s="202">
        <f t="shared" si="14"/>
        <v>23.983503858491495</v>
      </c>
      <c r="Z33" s="202">
        <f t="shared" si="14"/>
        <v>26.648337620546101</v>
      </c>
      <c r="AA33" s="203">
        <f t="shared" si="14"/>
        <v>26.648337620546101</v>
      </c>
      <c r="AB33" s="193">
        <f t="shared" si="14"/>
        <v>29.313171382600718</v>
      </c>
      <c r="AC33" s="194">
        <f t="shared" si="14"/>
        <v>29.313171382600718</v>
      </c>
      <c r="AD33" s="194">
        <f t="shared" si="14"/>
        <v>31.978005144655327</v>
      </c>
      <c r="AE33" s="195">
        <f t="shared" si="14"/>
        <v>31.978005144655327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21.31867009643689</v>
      </c>
      <c r="Y35" s="54">
        <f t="shared" si="16"/>
        <v>23.983503858491495</v>
      </c>
      <c r="Z35" s="54">
        <f t="shared" si="16"/>
        <v>26.648337620546101</v>
      </c>
      <c r="AA35" s="204">
        <f t="shared" si="16"/>
        <v>26.648337620546101</v>
      </c>
      <c r="AB35" s="196">
        <f t="shared" si="16"/>
        <v>29.313171382600718</v>
      </c>
      <c r="AC35" s="54">
        <f t="shared" si="16"/>
        <v>29.313171382600718</v>
      </c>
      <c r="AD35" s="54">
        <f t="shared" si="16"/>
        <v>31.978005144655327</v>
      </c>
      <c r="AE35" s="197">
        <f t="shared" si="16"/>
        <v>31.978005144655327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21.31867009643689</v>
      </c>
      <c r="Y37" s="54">
        <f t="shared" si="18"/>
        <v>23.983503858491495</v>
      </c>
      <c r="Z37" s="54">
        <f t="shared" si="18"/>
        <v>26.648337620546101</v>
      </c>
      <c r="AA37" s="204">
        <f t="shared" si="18"/>
        <v>26.648337620546101</v>
      </c>
      <c r="AB37" s="196">
        <f t="shared" si="18"/>
        <v>29.313171382600718</v>
      </c>
      <c r="AC37" s="54">
        <f t="shared" si="18"/>
        <v>29.313171382600718</v>
      </c>
      <c r="AD37" s="54">
        <f t="shared" si="18"/>
        <v>31.978005144655327</v>
      </c>
      <c r="AE37" s="197">
        <f t="shared" si="18"/>
        <v>31.978005144655327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133.24168810273054</v>
      </c>
      <c r="Y39" s="54">
        <f t="shared" si="20"/>
        <v>133.24168810273054</v>
      </c>
      <c r="Z39" s="54">
        <f t="shared" si="20"/>
        <v>26.648337620546101</v>
      </c>
      <c r="AA39" s="204">
        <f t="shared" si="20"/>
        <v>26.648337620546101</v>
      </c>
      <c r="AB39" s="196">
        <f t="shared" si="20"/>
        <v>26.648337620546101</v>
      </c>
      <c r="AC39" s="54">
        <f t="shared" si="20"/>
        <v>26.648337620546101</v>
      </c>
      <c r="AD39" s="54">
        <f t="shared" si="20"/>
        <v>26.648337620546101</v>
      </c>
      <c r="AE39" s="197">
        <f t="shared" si="20"/>
        <v>26.648337620546101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" thickBot="1" x14ac:dyDescent="0.35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8" t="s">
        <v>44</v>
      </c>
      <c r="C45" s="349"/>
      <c r="D45" s="94"/>
      <c r="K45" t="s">
        <v>45</v>
      </c>
    </row>
    <row r="46" spans="2:31" x14ac:dyDescent="0.3">
      <c r="B46" s="350" t="s">
        <v>46</v>
      </c>
      <c r="C46" s="351"/>
      <c r="D46" s="95"/>
      <c r="R46" s="101" t="s">
        <v>47</v>
      </c>
      <c r="S46" s="101" t="s">
        <v>48</v>
      </c>
    </row>
    <row r="47" spans="2:31" ht="15" customHeight="1" thickBot="1" x14ac:dyDescent="0.35">
      <c r="B47" s="364" t="s">
        <v>49</v>
      </c>
      <c r="C47" s="365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69" t="s">
        <v>51</v>
      </c>
      <c r="U47" s="369"/>
    </row>
    <row r="48" spans="2:31" x14ac:dyDescent="0.3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69"/>
      <c r="U48" s="369"/>
      <c r="AB48" s="52"/>
    </row>
    <row r="49" spans="2:21" ht="15" thickBot="1" x14ac:dyDescent="0.35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69"/>
      <c r="U49" s="369"/>
    </row>
    <row r="50" spans="2:21" ht="15.55" thickTop="1" thickBot="1" x14ac:dyDescent="0.35">
      <c r="B50" s="380" t="s">
        <v>54</v>
      </c>
      <c r="C50" s="381"/>
      <c r="D50" s="381"/>
      <c r="E50" s="381"/>
      <c r="F50" s="381"/>
      <c r="G50" s="381"/>
      <c r="H50" s="381"/>
      <c r="I50" s="381"/>
      <c r="J50" s="382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69"/>
      <c r="U50" s="369"/>
    </row>
    <row r="51" spans="2:21" ht="15" thickBot="1" x14ac:dyDescent="0.35">
      <c r="B51" s="358" t="s">
        <v>56</v>
      </c>
      <c r="C51" s="359"/>
      <c r="D51" s="359"/>
      <c r="E51" s="359"/>
      <c r="F51" s="359"/>
      <c r="G51" s="359"/>
      <c r="H51" s="359"/>
      <c r="I51" s="359"/>
      <c r="J51" s="360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" thickBot="1" x14ac:dyDescent="0.35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5.55" thickTop="1" thickBot="1" x14ac:dyDescent="0.35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" thickBot="1" x14ac:dyDescent="0.35">
      <c r="B56" s="361" t="s">
        <v>62</v>
      </c>
      <c r="C56" s="362"/>
      <c r="D56" s="362"/>
      <c r="E56" s="362"/>
      <c r="F56" s="362"/>
      <c r="G56" s="362"/>
      <c r="H56" s="362"/>
      <c r="I56" s="362"/>
      <c r="J56" s="363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3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" thickBot="1" x14ac:dyDescent="0.35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" thickBot="1" x14ac:dyDescent="0.35">
      <c r="B61" s="370" t="s">
        <v>66</v>
      </c>
      <c r="C61" s="371"/>
      <c r="D61" s="371"/>
      <c r="E61" s="371"/>
      <c r="F61" s="371"/>
      <c r="G61" s="371"/>
      <c r="H61" s="371"/>
      <c r="I61" s="371"/>
      <c r="J61" s="372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3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" thickBot="1" x14ac:dyDescent="0.35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" thickBot="1" x14ac:dyDescent="0.35">
      <c r="B66" s="373" t="s">
        <v>67</v>
      </c>
      <c r="C66" s="374"/>
      <c r="D66" s="374"/>
      <c r="E66" s="374"/>
      <c r="F66" s="374"/>
      <c r="G66" s="374"/>
      <c r="H66" s="374"/>
      <c r="I66" s="374"/>
      <c r="J66" s="375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3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" thickBot="1" x14ac:dyDescent="0.35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" thickBot="1" x14ac:dyDescent="0.35">
      <c r="B71" s="331" t="s">
        <v>68</v>
      </c>
      <c r="C71" s="332"/>
      <c r="D71" s="332"/>
      <c r="E71" s="332"/>
      <c r="F71" s="332"/>
      <c r="G71" s="332"/>
      <c r="H71" s="332"/>
      <c r="I71" s="332"/>
      <c r="J71" s="333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3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" thickBot="1" x14ac:dyDescent="0.35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" thickBot="1" x14ac:dyDescent="0.35">
      <c r="B76" s="355" t="s">
        <v>69</v>
      </c>
      <c r="C76" s="356"/>
      <c r="D76" s="356"/>
      <c r="E76" s="356"/>
      <c r="F76" s="356"/>
      <c r="G76" s="356"/>
      <c r="H76" s="356"/>
      <c r="I76" s="356"/>
      <c r="J76" s="357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" thickBot="1" x14ac:dyDescent="0.35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" thickBot="1" x14ac:dyDescent="0.35">
      <c r="B80" s="338" t="s">
        <v>70</v>
      </c>
      <c r="C80" s="339"/>
      <c r="D80" s="339"/>
      <c r="E80" s="339"/>
      <c r="F80" s="339"/>
      <c r="G80" s="339"/>
      <c r="H80" s="340"/>
      <c r="I80" s="340"/>
      <c r="J80" s="341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" thickBot="1" x14ac:dyDescent="0.35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AR9:AZ9"/>
    <mergeCell ref="B23:F23"/>
    <mergeCell ref="M23:Q23"/>
    <mergeCell ref="B45:C45"/>
    <mergeCell ref="B46:C46"/>
    <mergeCell ref="AG9:AO9"/>
    <mergeCell ref="AR20:AZ21"/>
    <mergeCell ref="B76:J76"/>
    <mergeCell ref="B80:J80"/>
    <mergeCell ref="B51:J51"/>
    <mergeCell ref="B56:J56"/>
    <mergeCell ref="B61:J61"/>
    <mergeCell ref="B66:J66"/>
    <mergeCell ref="B71:J71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30" priority="22">
      <formula>LEN(TRIM(C11))=0</formula>
    </cfRule>
  </conditionalFormatting>
  <conditionalFormatting sqref="C12:J15">
    <cfRule type="containsBlanks" dxfId="29" priority="20">
      <formula>LEN(TRIM(C12))=0</formula>
    </cfRule>
  </conditionalFormatting>
  <conditionalFormatting sqref="C25:J40">
    <cfRule type="containsBlanks" dxfId="28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27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6" priority="23">
      <formula>LEN(TRIM(N25))=0</formula>
    </cfRule>
  </conditionalFormatting>
  <conditionalFormatting sqref="N26:U26 N28:U28 N30:U30 N32:U32 N34:U34 N36:U36 N38:U38 N40:U40">
    <cfRule type="cellIs" dxfId="25" priority="24" stopIfTrue="1" operator="equal">
      <formula>0</formula>
    </cfRule>
    <cfRule type="containsBlanks" dxfId="24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3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2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1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0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9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8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7" priority="3">
      <formula>LEN(TRIM(N39))=0</formula>
    </cfRule>
  </conditionalFormatting>
  <conditionalFormatting sqref="X25:AE40">
    <cfRule type="containsBlanks" dxfId="16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0B2E-85D7-4ABC-B1DA-270EE02338AF}">
  <sheetPr>
    <tabColor rgb="FFFFFF00"/>
  </sheetPr>
  <dimension ref="A1:BE112"/>
  <sheetViews>
    <sheetView zoomScaleNormal="100" workbookViewId="0"/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4" t="s">
        <v>0</v>
      </c>
      <c r="C1" s="385"/>
      <c r="D1" s="260" t="str">
        <f>'Cooldown 1'!D1</f>
        <v>250703 U1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09" t="s">
        <v>3</v>
      </c>
      <c r="C2" s="410"/>
      <c r="D2" s="258">
        <f>'Cooldown 1'!D2</f>
        <v>429</v>
      </c>
      <c r="E2" s="412" t="s">
        <v>4</v>
      </c>
      <c r="F2" s="412"/>
      <c r="G2" s="258">
        <f>'Cooldown 1'!G2</f>
        <v>9.1</v>
      </c>
      <c r="H2" s="412" t="s">
        <v>5</v>
      </c>
      <c r="I2" s="412"/>
      <c r="J2" s="258">
        <f>'Cooldown 1'!J2</f>
        <v>0.5</v>
      </c>
      <c r="K2" s="337" t="s">
        <v>6</v>
      </c>
      <c r="L2" s="337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400" t="s">
        <v>10</v>
      </c>
      <c r="T2" s="401"/>
      <c r="U2" s="401"/>
      <c r="V2" s="401"/>
      <c r="W2" s="401"/>
      <c r="X2" s="401"/>
      <c r="Y2" s="401"/>
      <c r="Z2" s="401"/>
      <c r="AA2" s="402"/>
    </row>
    <row r="3" spans="1:57" ht="19.899999999999999" customHeight="1" thickTop="1" thickBot="1" x14ac:dyDescent="0.35">
      <c r="B3" s="411" t="s">
        <v>11</v>
      </c>
      <c r="C3" s="366"/>
      <c r="D3" s="57">
        <f>'Cooldown 1'!D3</f>
        <v>515</v>
      </c>
      <c r="E3" s="366" t="s">
        <v>12</v>
      </c>
      <c r="F3" s="366"/>
      <c r="G3" s="57">
        <f>'Cooldown 1'!G3</f>
        <v>7.94</v>
      </c>
      <c r="H3" s="413" t="s">
        <v>13</v>
      </c>
      <c r="I3" s="413"/>
      <c r="J3" s="57">
        <f>'Cooldown 1'!J3</f>
        <v>4.5</v>
      </c>
      <c r="K3" s="395"/>
      <c r="L3" s="396"/>
      <c r="M3" s="58"/>
      <c r="O3" s="42"/>
      <c r="P3" s="62"/>
      <c r="Q3" s="63"/>
      <c r="S3" s="403"/>
      <c r="T3" s="404"/>
      <c r="U3" s="404"/>
      <c r="V3" s="404"/>
      <c r="W3" s="404"/>
      <c r="X3" s="404"/>
      <c r="Y3" s="404"/>
      <c r="Z3" s="404"/>
      <c r="AA3" s="405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6"/>
      <c r="T4" s="407"/>
      <c r="U4" s="407"/>
      <c r="V4" s="407"/>
      <c r="W4" s="407"/>
      <c r="X4" s="407"/>
      <c r="Y4" s="407"/>
      <c r="Z4" s="407"/>
      <c r="AA4" s="408"/>
    </row>
    <row r="5" spans="1:57" ht="17.149999999999999" customHeight="1" outlineLevel="1" thickTop="1" thickBot="1" x14ac:dyDescent="0.35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6" t="s">
        <v>24</v>
      </c>
      <c r="M5" s="377"/>
      <c r="O5" s="42"/>
      <c r="P5" s="62"/>
      <c r="Q5" s="64"/>
      <c r="S5" s="406"/>
      <c r="T5" s="407"/>
      <c r="U5" s="407"/>
      <c r="V5" s="407"/>
      <c r="W5" s="407"/>
      <c r="X5" s="407"/>
      <c r="Y5" s="407"/>
      <c r="Z5" s="407"/>
      <c r="AA5" s="408"/>
    </row>
    <row r="6" spans="1:57" ht="17.149999999999999" customHeight="1" outlineLevel="1" thickTop="1" thickBot="1" x14ac:dyDescent="0.35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4"/>
      <c r="M6" s="415"/>
      <c r="O6" s="42"/>
      <c r="P6" s="62"/>
      <c r="Q6" s="64"/>
      <c r="S6" s="389"/>
      <c r="T6" s="390"/>
      <c r="U6" s="390"/>
      <c r="V6" s="390"/>
      <c r="W6" s="390"/>
      <c r="X6" s="390"/>
      <c r="Y6" s="390"/>
      <c r="Z6" s="390"/>
      <c r="AA6" s="391"/>
    </row>
    <row r="7" spans="1:57" ht="17.149999999999999" customHeight="1" outlineLevel="1" thickTop="1" thickBot="1" x14ac:dyDescent="0.35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8" t="s">
        <v>27</v>
      </c>
      <c r="P7" s="379"/>
      <c r="Q7" s="289"/>
      <c r="S7" s="392"/>
      <c r="T7" s="393"/>
      <c r="U7" s="393"/>
      <c r="V7" s="393"/>
      <c r="W7" s="393"/>
      <c r="X7" s="393"/>
      <c r="Y7" s="393"/>
      <c r="Z7" s="393"/>
      <c r="AA7" s="394"/>
    </row>
    <row r="8" spans="1:57" ht="17.149999999999999" customHeight="1" outlineLevel="1" thickTop="1" thickBot="1" x14ac:dyDescent="0.35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4" t="s">
        <v>28</v>
      </c>
      <c r="C9" s="335"/>
      <c r="D9" s="335"/>
      <c r="E9" s="335"/>
      <c r="F9" s="336"/>
      <c r="G9" s="214"/>
      <c r="H9" s="40"/>
      <c r="I9" s="40"/>
      <c r="J9" s="41"/>
      <c r="M9" s="345" t="s">
        <v>29</v>
      </c>
      <c r="N9" s="346"/>
      <c r="O9" s="346"/>
      <c r="P9" s="346"/>
      <c r="Q9" s="347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7" t="s">
        <v>31</v>
      </c>
      <c r="AH9" s="398"/>
      <c r="AI9" s="398"/>
      <c r="AJ9" s="398"/>
      <c r="AK9" s="398"/>
      <c r="AL9" s="398"/>
      <c r="AM9" s="398"/>
      <c r="AN9" s="398"/>
      <c r="AO9" s="399"/>
      <c r="AR9" s="386" t="s">
        <v>32</v>
      </c>
      <c r="AS9" s="387"/>
      <c r="AT9" s="387"/>
      <c r="AU9" s="387"/>
      <c r="AV9" s="387"/>
      <c r="AW9" s="387"/>
      <c r="AX9" s="387"/>
      <c r="AY9" s="387"/>
      <c r="AZ9" s="388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3.8393010405749997</v>
      </c>
      <c r="Y11" s="264">
        <f t="shared" si="1"/>
        <v>2.9976879027333334</v>
      </c>
      <c r="Z11" s="264">
        <f t="shared" si="1"/>
        <v>2.5070527224599997</v>
      </c>
      <c r="AA11" s="265">
        <f t="shared" si="1"/>
        <v>2.5070527224599997</v>
      </c>
      <c r="AB11" s="294">
        <f t="shared" si="1"/>
        <v>0.2145</v>
      </c>
      <c r="AC11" s="296">
        <f t="shared" si="1"/>
        <v>0.2145</v>
      </c>
      <c r="AD11" s="296">
        <f t="shared" si="1"/>
        <v>0.2145</v>
      </c>
      <c r="AE11" s="295">
        <f t="shared" si="1"/>
        <v>0.2145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3.8393010405749997</v>
      </c>
      <c r="Y12" s="268">
        <f t="shared" si="1"/>
        <v>2.9976879027333334</v>
      </c>
      <c r="Z12" s="268">
        <f t="shared" si="1"/>
        <v>2.5070527224599997</v>
      </c>
      <c r="AA12" s="269">
        <f t="shared" si="1"/>
        <v>2.5070527224599997</v>
      </c>
      <c r="AB12" s="267">
        <f t="shared" si="1"/>
        <v>2.0352659886000004</v>
      </c>
      <c r="AC12" s="268">
        <f t="shared" si="1"/>
        <v>2.0352659886000004</v>
      </c>
      <c r="AD12" s="268">
        <f t="shared" si="1"/>
        <v>1.7051251145499999</v>
      </c>
      <c r="AE12" s="270">
        <f t="shared" si="1"/>
        <v>1.7051251145499999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3.8393010405749997</v>
      </c>
      <c r="Y13" s="268">
        <f t="shared" si="1"/>
        <v>2.9976879027333334</v>
      </c>
      <c r="Z13" s="268">
        <f t="shared" si="1"/>
        <v>2.5070527224599997</v>
      </c>
      <c r="AA13" s="269">
        <f t="shared" si="1"/>
        <v>2.5070527224599997</v>
      </c>
      <c r="AB13" s="267">
        <f t="shared" si="1"/>
        <v>2.0352659886000004</v>
      </c>
      <c r="AC13" s="268">
        <f t="shared" si="1"/>
        <v>2.0352659886000004</v>
      </c>
      <c r="AD13" s="268">
        <f t="shared" si="1"/>
        <v>1.7051251145499999</v>
      </c>
      <c r="AE13" s="270">
        <f t="shared" si="1"/>
        <v>1.7051251145499999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3.8393010405749997</v>
      </c>
      <c r="Y14" s="272">
        <f t="shared" si="1"/>
        <v>2.9976879027333334</v>
      </c>
      <c r="Z14" s="272">
        <f t="shared" si="1"/>
        <v>2.5070527224599997</v>
      </c>
      <c r="AA14" s="273">
        <f t="shared" si="1"/>
        <v>2.5070527224599997</v>
      </c>
      <c r="AB14" s="274">
        <f t="shared" si="1"/>
        <v>2.0352659886000004</v>
      </c>
      <c r="AC14" s="275">
        <f t="shared" si="1"/>
        <v>2.0352659886000004</v>
      </c>
      <c r="AD14" s="275">
        <f t="shared" si="1"/>
        <v>1.7051251145499999</v>
      </c>
      <c r="AE14" s="276">
        <f t="shared" si="1"/>
        <v>1.7051251145499999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3.8393010405749997</v>
      </c>
      <c r="Y15" s="264">
        <f t="shared" si="1"/>
        <v>2.9976879027333334</v>
      </c>
      <c r="Z15" s="264">
        <f t="shared" si="1"/>
        <v>2.5070527224599997</v>
      </c>
      <c r="AA15" s="266">
        <f t="shared" si="1"/>
        <v>2.5070527224599997</v>
      </c>
      <c r="AB15" s="268">
        <f t="shared" si="1"/>
        <v>2.0352659886000004</v>
      </c>
      <c r="AC15" s="268">
        <f t="shared" si="1"/>
        <v>2.0352659886000004</v>
      </c>
      <c r="AD15" s="268">
        <f t="shared" si="1"/>
        <v>1.7051251145499999</v>
      </c>
      <c r="AE15" s="270">
        <f t="shared" si="1"/>
        <v>1.7051251145499999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3.8393010405749997</v>
      </c>
      <c r="Y16" s="268">
        <f t="shared" si="1"/>
        <v>2.9976879027333334</v>
      </c>
      <c r="Z16" s="268">
        <f t="shared" si="1"/>
        <v>2.5070527224599997</v>
      </c>
      <c r="AA16" s="270">
        <f t="shared" si="1"/>
        <v>2.5070527224599997</v>
      </c>
      <c r="AB16" s="268">
        <f t="shared" si="1"/>
        <v>2.0352659886000004</v>
      </c>
      <c r="AC16" s="268">
        <f t="shared" si="1"/>
        <v>2.0352659886000004</v>
      </c>
      <c r="AD16" s="268">
        <f t="shared" si="1"/>
        <v>1.7051251145499999</v>
      </c>
      <c r="AE16" s="270">
        <f t="shared" si="1"/>
        <v>1.7051251145499999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3.8393010405749997</v>
      </c>
      <c r="Y17" s="272">
        <f t="shared" si="1"/>
        <v>2.9976879027333334</v>
      </c>
      <c r="Z17" s="268">
        <f t="shared" si="1"/>
        <v>2.5070527224599997</v>
      </c>
      <c r="AA17" s="270">
        <f t="shared" si="1"/>
        <v>2.5070527224599997</v>
      </c>
      <c r="AB17" s="268">
        <f t="shared" si="1"/>
        <v>2.0352659886000004</v>
      </c>
      <c r="AC17" s="268">
        <f t="shared" si="1"/>
        <v>2.0352659886000004</v>
      </c>
      <c r="AD17" s="268">
        <f t="shared" si="1"/>
        <v>1.7051251145499999</v>
      </c>
      <c r="AE17" s="270">
        <f t="shared" si="1"/>
        <v>1.7051251145499999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4.2900000000000001E-2</v>
      </c>
      <c r="Y18" s="295">
        <f t="shared" si="1"/>
        <v>4.2900000000000001E-2</v>
      </c>
      <c r="Z18" s="275">
        <f t="shared" si="1"/>
        <v>1.6648481850000001</v>
      </c>
      <c r="AA18" s="276">
        <f t="shared" si="1"/>
        <v>1.6648481850000001</v>
      </c>
      <c r="AB18" s="275">
        <f t="shared" si="1"/>
        <v>1.6648481850000001</v>
      </c>
      <c r="AC18" s="275">
        <f t="shared" si="1"/>
        <v>1.6648481850000001</v>
      </c>
      <c r="AD18" s="275">
        <f t="shared" si="1"/>
        <v>1.6648481850000001</v>
      </c>
      <c r="AE18" s="276">
        <f t="shared" si="1"/>
        <v>1.6648481850000001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49999999999999" customHeight="1" outlineLevel="1" thickBot="1" x14ac:dyDescent="0.35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83" t="s">
        <v>36</v>
      </c>
      <c r="AS20" s="383"/>
      <c r="AT20" s="383"/>
      <c r="AU20" s="383"/>
      <c r="AV20" s="383"/>
      <c r="AW20" s="383"/>
      <c r="AX20" s="383"/>
      <c r="AY20" s="383"/>
      <c r="AZ20" s="383"/>
    </row>
    <row r="21" spans="2:52" ht="17.149999999999999" customHeight="1" outlineLevel="1" x14ac:dyDescent="0.3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83"/>
      <c r="AS21" s="383"/>
      <c r="AT21" s="383"/>
      <c r="AU21" s="383"/>
      <c r="AV21" s="383"/>
      <c r="AW21" s="383"/>
      <c r="AX21" s="383"/>
      <c r="AY21" s="383"/>
      <c r="AZ21" s="383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2" t="s">
        <v>39</v>
      </c>
      <c r="C23" s="353"/>
      <c r="D23" s="353"/>
      <c r="E23" s="353"/>
      <c r="F23" s="354"/>
      <c r="G23" s="213"/>
      <c r="H23" s="20"/>
      <c r="I23" s="20"/>
      <c r="J23" s="19"/>
      <c r="K23" s="13"/>
      <c r="L23" s="13"/>
      <c r="M23" s="342" t="s">
        <v>40</v>
      </c>
      <c r="N23" s="343"/>
      <c r="O23" s="343"/>
      <c r="P23" s="343"/>
      <c r="Q23" s="344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21.31867009643689</v>
      </c>
      <c r="Y25" s="303">
        <f>D$5*$G$3*(1-($J$3/$G$2)^2)^1.5*0.74*($C$112*$M$2*$G$2)^1.5/($C$111*$D$3*$G$3*SQRT($C$110*$J$2))*0.1</f>
        <v>23.983503858491495</v>
      </c>
      <c r="Z25" s="303">
        <f>E$5*$G$3*(1-($J$3/$G$2)^2)^1.5*0.74*($C$112*$M$2*$G$2)^1.5/($C$111*$D$3*$G$3*SQRT($C$110*$J$2))*0.1</f>
        <v>26.648337620546101</v>
      </c>
      <c r="AA25" s="191">
        <f>F$5*$G$3*(1-($J$3/$G$2)^2)^1.5*0.74*($C$112*$M$2*$G$2)^1.5/($C$111*$D$3*$G$3*SQRT($C$110*$J$2))*0.1</f>
        <v>26.648337620546101</v>
      </c>
      <c r="AB25" s="303">
        <f>$G$5*$G$3*(1-($J$3/$G$2)^2)^1.5*0.74*($C$112*$M$2*$G$2)^1.5/($C$111*$D$3*$G$3*SQRT($C$110*$J$2))*0.1</f>
        <v>26.648337620546101</v>
      </c>
      <c r="AC25" s="303">
        <f>$H$5*$G$3*(1-($J$3/$G$2)^2)^1.5*0.74*($C$112*$M$2*$G$2)^1.5/($C$111*$D$3*$G$3*SQRT($C$110*$J$2))*0.1</f>
        <v>26.648337620546101</v>
      </c>
      <c r="AD25" s="303">
        <f>$I$5*$G$3*(1-($J$3/$G$2)^2)^1.5*0.74*($C$112*$M$2*$G$2)^1.5/($C$111*$D$3*$G$3*SQRT($C$110*$J$2))*0.1</f>
        <v>26.648337620546101</v>
      </c>
      <c r="AE25" s="191">
        <f>$J$5*$G$3*(1-($J$3/$G$2)^2)^1.5*0.74*($C$112*$M$2*$G$2)^1.5/($C$111*$D$3*$G$3*SQRT($C$110*$J$2))*0.1</f>
        <v>26.648337620546101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21.31867009643689</v>
      </c>
      <c r="Y27" s="54">
        <f t="shared" si="8"/>
        <v>23.983503858491495</v>
      </c>
      <c r="Z27" s="54">
        <f t="shared" si="8"/>
        <v>26.648337620546101</v>
      </c>
      <c r="AA27" s="197">
        <f t="shared" si="8"/>
        <v>26.648337620546101</v>
      </c>
      <c r="AB27" s="54">
        <f t="shared" si="8"/>
        <v>29.313171382600718</v>
      </c>
      <c r="AC27" s="54">
        <f t="shared" si="8"/>
        <v>29.313171382600718</v>
      </c>
      <c r="AD27" s="54">
        <f t="shared" si="8"/>
        <v>31.978005144655327</v>
      </c>
      <c r="AE27" s="197">
        <f t="shared" si="8"/>
        <v>31.978005144655327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21.31867009643689</v>
      </c>
      <c r="Y29" s="54">
        <f t="shared" si="10"/>
        <v>23.983503858491495</v>
      </c>
      <c r="Z29" s="54">
        <f t="shared" si="10"/>
        <v>26.648337620546101</v>
      </c>
      <c r="AA29" s="197">
        <f t="shared" si="10"/>
        <v>26.648337620546101</v>
      </c>
      <c r="AB29" s="54">
        <f t="shared" si="10"/>
        <v>29.313171382600718</v>
      </c>
      <c r="AC29" s="54">
        <f t="shared" si="10"/>
        <v>29.313171382600718</v>
      </c>
      <c r="AD29" s="54">
        <f t="shared" si="10"/>
        <v>31.978005144655327</v>
      </c>
      <c r="AE29" s="197">
        <f t="shared" si="10"/>
        <v>31.978005144655327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21.31867009643689</v>
      </c>
      <c r="Y31" s="54">
        <f t="shared" si="12"/>
        <v>23.983503858491495</v>
      </c>
      <c r="Z31" s="54">
        <f t="shared" si="12"/>
        <v>26.648337620546101</v>
      </c>
      <c r="AA31" s="197">
        <f t="shared" si="12"/>
        <v>26.648337620546101</v>
      </c>
      <c r="AB31" s="54">
        <f t="shared" si="12"/>
        <v>29.313171382600718</v>
      </c>
      <c r="AC31" s="54">
        <f t="shared" si="12"/>
        <v>29.313171382600718</v>
      </c>
      <c r="AD31" s="54">
        <f t="shared" si="12"/>
        <v>31.978005144655327</v>
      </c>
      <c r="AE31" s="197">
        <f t="shared" si="12"/>
        <v>31.978005144655327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21.31867009643689</v>
      </c>
      <c r="Y33" s="202">
        <f t="shared" si="14"/>
        <v>23.983503858491495</v>
      </c>
      <c r="Z33" s="202">
        <f t="shared" si="14"/>
        <v>26.648337620546101</v>
      </c>
      <c r="AA33" s="203">
        <f t="shared" si="14"/>
        <v>26.648337620546101</v>
      </c>
      <c r="AB33" s="193">
        <f t="shared" si="14"/>
        <v>29.313171382600718</v>
      </c>
      <c r="AC33" s="194">
        <f t="shared" si="14"/>
        <v>29.313171382600718</v>
      </c>
      <c r="AD33" s="194">
        <f t="shared" si="14"/>
        <v>31.978005144655327</v>
      </c>
      <c r="AE33" s="195">
        <f t="shared" si="14"/>
        <v>31.978005144655327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21.31867009643689</v>
      </c>
      <c r="Y35" s="54">
        <f t="shared" si="16"/>
        <v>23.983503858491495</v>
      </c>
      <c r="Z35" s="54">
        <f t="shared" si="16"/>
        <v>26.648337620546101</v>
      </c>
      <c r="AA35" s="204">
        <f t="shared" si="16"/>
        <v>26.648337620546101</v>
      </c>
      <c r="AB35" s="196">
        <f t="shared" si="16"/>
        <v>29.313171382600718</v>
      </c>
      <c r="AC35" s="54">
        <f t="shared" si="16"/>
        <v>29.313171382600718</v>
      </c>
      <c r="AD35" s="54">
        <f t="shared" si="16"/>
        <v>31.978005144655327</v>
      </c>
      <c r="AE35" s="197">
        <f t="shared" si="16"/>
        <v>31.978005144655327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21.31867009643689</v>
      </c>
      <c r="Y37" s="54">
        <f t="shared" si="18"/>
        <v>23.983503858491495</v>
      </c>
      <c r="Z37" s="54">
        <f t="shared" si="18"/>
        <v>26.648337620546101</v>
      </c>
      <c r="AA37" s="204">
        <f t="shared" si="18"/>
        <v>26.648337620546101</v>
      </c>
      <c r="AB37" s="196">
        <f t="shared" si="18"/>
        <v>29.313171382600718</v>
      </c>
      <c r="AC37" s="54">
        <f t="shared" si="18"/>
        <v>29.313171382600718</v>
      </c>
      <c r="AD37" s="54">
        <f t="shared" si="18"/>
        <v>31.978005144655327</v>
      </c>
      <c r="AE37" s="197">
        <f t="shared" si="18"/>
        <v>31.978005144655327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133.24168810273054</v>
      </c>
      <c r="Y39" s="54">
        <f t="shared" si="20"/>
        <v>133.24168810273054</v>
      </c>
      <c r="Z39" s="54">
        <f t="shared" si="20"/>
        <v>26.648337620546101</v>
      </c>
      <c r="AA39" s="204">
        <f t="shared" si="20"/>
        <v>26.648337620546101</v>
      </c>
      <c r="AB39" s="196">
        <f t="shared" si="20"/>
        <v>26.648337620546101</v>
      </c>
      <c r="AC39" s="54">
        <f t="shared" si="20"/>
        <v>26.648337620546101</v>
      </c>
      <c r="AD39" s="54">
        <f t="shared" si="20"/>
        <v>26.648337620546101</v>
      </c>
      <c r="AE39" s="197">
        <f t="shared" si="20"/>
        <v>26.648337620546101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" thickBot="1" x14ac:dyDescent="0.35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8" t="s">
        <v>44</v>
      </c>
      <c r="C45" s="349"/>
      <c r="D45" s="94"/>
      <c r="K45" t="s">
        <v>45</v>
      </c>
    </row>
    <row r="46" spans="2:31" x14ac:dyDescent="0.3">
      <c r="B46" s="350" t="s">
        <v>46</v>
      </c>
      <c r="C46" s="351"/>
      <c r="D46" s="95"/>
      <c r="R46" s="101" t="s">
        <v>47</v>
      </c>
      <c r="S46" s="101" t="s">
        <v>48</v>
      </c>
    </row>
    <row r="47" spans="2:31" ht="15" customHeight="1" thickBot="1" x14ac:dyDescent="0.35">
      <c r="B47" s="364" t="s">
        <v>49</v>
      </c>
      <c r="C47" s="365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69" t="s">
        <v>51</v>
      </c>
      <c r="U47" s="369"/>
    </row>
    <row r="48" spans="2:31" x14ac:dyDescent="0.3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69"/>
      <c r="U48" s="369"/>
      <c r="AB48" s="52"/>
    </row>
    <row r="49" spans="2:21" ht="15" thickBot="1" x14ac:dyDescent="0.35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69"/>
      <c r="U49" s="369"/>
    </row>
    <row r="50" spans="2:21" ht="15.55" thickTop="1" thickBot="1" x14ac:dyDescent="0.35">
      <c r="B50" s="380" t="s">
        <v>54</v>
      </c>
      <c r="C50" s="381"/>
      <c r="D50" s="381"/>
      <c r="E50" s="381"/>
      <c r="F50" s="381"/>
      <c r="G50" s="381"/>
      <c r="H50" s="381"/>
      <c r="I50" s="381"/>
      <c r="J50" s="382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69"/>
      <c r="U50" s="369"/>
    </row>
    <row r="51" spans="2:21" ht="15" thickBot="1" x14ac:dyDescent="0.35">
      <c r="B51" s="358" t="s">
        <v>56</v>
      </c>
      <c r="C51" s="359"/>
      <c r="D51" s="359"/>
      <c r="E51" s="359"/>
      <c r="F51" s="359"/>
      <c r="G51" s="359"/>
      <c r="H51" s="359"/>
      <c r="I51" s="359"/>
      <c r="J51" s="360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" thickBot="1" x14ac:dyDescent="0.35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5.55" thickTop="1" thickBot="1" x14ac:dyDescent="0.35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" thickBot="1" x14ac:dyDescent="0.35">
      <c r="B56" s="361" t="s">
        <v>62</v>
      </c>
      <c r="C56" s="362"/>
      <c r="D56" s="362"/>
      <c r="E56" s="362"/>
      <c r="F56" s="362"/>
      <c r="G56" s="362"/>
      <c r="H56" s="362"/>
      <c r="I56" s="362"/>
      <c r="J56" s="363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3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" thickBot="1" x14ac:dyDescent="0.35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" thickBot="1" x14ac:dyDescent="0.35">
      <c r="B61" s="370" t="s">
        <v>66</v>
      </c>
      <c r="C61" s="371"/>
      <c r="D61" s="371"/>
      <c r="E61" s="371"/>
      <c r="F61" s="371"/>
      <c r="G61" s="371"/>
      <c r="H61" s="371"/>
      <c r="I61" s="371"/>
      <c r="J61" s="372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3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" thickBot="1" x14ac:dyDescent="0.35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" thickBot="1" x14ac:dyDescent="0.35">
      <c r="B66" s="373" t="s">
        <v>67</v>
      </c>
      <c r="C66" s="374"/>
      <c r="D66" s="374"/>
      <c r="E66" s="374"/>
      <c r="F66" s="374"/>
      <c r="G66" s="374"/>
      <c r="H66" s="374"/>
      <c r="I66" s="374"/>
      <c r="J66" s="375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3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" thickBot="1" x14ac:dyDescent="0.35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" thickBot="1" x14ac:dyDescent="0.35">
      <c r="B71" s="331" t="s">
        <v>68</v>
      </c>
      <c r="C71" s="332"/>
      <c r="D71" s="332"/>
      <c r="E71" s="332"/>
      <c r="F71" s="332"/>
      <c r="G71" s="332"/>
      <c r="H71" s="332"/>
      <c r="I71" s="332"/>
      <c r="J71" s="333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3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" thickBot="1" x14ac:dyDescent="0.35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" thickBot="1" x14ac:dyDescent="0.35">
      <c r="B76" s="355" t="s">
        <v>69</v>
      </c>
      <c r="C76" s="356"/>
      <c r="D76" s="356"/>
      <c r="E76" s="356"/>
      <c r="F76" s="356"/>
      <c r="G76" s="356"/>
      <c r="H76" s="356"/>
      <c r="I76" s="356"/>
      <c r="J76" s="357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" thickBot="1" x14ac:dyDescent="0.35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" thickBot="1" x14ac:dyDescent="0.35">
      <c r="B80" s="338" t="s">
        <v>70</v>
      </c>
      <c r="C80" s="339"/>
      <c r="D80" s="339"/>
      <c r="E80" s="339"/>
      <c r="F80" s="339"/>
      <c r="G80" s="339"/>
      <c r="H80" s="340"/>
      <c r="I80" s="340"/>
      <c r="J80" s="341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" thickBot="1" x14ac:dyDescent="0.35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AR9:AZ9"/>
    <mergeCell ref="B23:F23"/>
    <mergeCell ref="M23:Q23"/>
    <mergeCell ref="B45:C45"/>
    <mergeCell ref="B46:C46"/>
    <mergeCell ref="AG9:AO9"/>
    <mergeCell ref="AR20:AZ21"/>
    <mergeCell ref="B76:J76"/>
    <mergeCell ref="B80:J80"/>
    <mergeCell ref="B51:J51"/>
    <mergeCell ref="B56:J56"/>
    <mergeCell ref="B61:J61"/>
    <mergeCell ref="B66:J66"/>
    <mergeCell ref="B71:J71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15" priority="22">
      <formula>LEN(TRIM(C11))=0</formula>
    </cfRule>
  </conditionalFormatting>
  <conditionalFormatting sqref="C12:J15">
    <cfRule type="containsBlanks" dxfId="14" priority="20">
      <formula>LEN(TRIM(C12))=0</formula>
    </cfRule>
  </conditionalFormatting>
  <conditionalFormatting sqref="C25:J40">
    <cfRule type="containsBlanks" dxfId="13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12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1" priority="23">
      <formula>LEN(TRIM(N25))=0</formula>
    </cfRule>
  </conditionalFormatting>
  <conditionalFormatting sqref="N26:U26 N28:U28 N30:U30 N32:U32 N34:U34 N36:U36 N38:U38 N40:U40">
    <cfRule type="cellIs" dxfId="10" priority="24" stopIfTrue="1" operator="equal">
      <formula>0</formula>
    </cfRule>
    <cfRule type="containsBlanks" dxfId="9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8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7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6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5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" priority="3">
      <formula>LEN(TRIM(N39))=0</formula>
    </cfRule>
  </conditionalFormatting>
  <conditionalFormatting sqref="X25:AE40">
    <cfRule type="containsBlanks" dxfId="1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D256245D09364E9BDC9025D30B4FB4" ma:contentTypeVersion="13" ma:contentTypeDescription="Ein neues Dokument erstellen." ma:contentTypeScope="" ma:versionID="266b590e5231e51e4d873ddfe5801981">
  <xsd:schema xmlns:xsd="http://www.w3.org/2001/XMLSchema" xmlns:xs="http://www.w3.org/2001/XMLSchema" xmlns:p="http://schemas.microsoft.com/office/2006/metadata/properties" xmlns:ns2="558c39a0-81e9-46c9-bcbf-2ce7e1dbe2ae" xmlns:ns3="ec5feb88-54ad-4db6-bb08-d5fb562ec139" targetNamespace="http://schemas.microsoft.com/office/2006/metadata/properties" ma:root="true" ma:fieldsID="0e7a0cb44b337cf599a328b2e4fc0e88" ns2:_="" ns3:_="">
    <xsd:import namespace="558c39a0-81e9-46c9-bcbf-2ce7e1dbe2ae"/>
    <xsd:import namespace="ec5feb88-54ad-4db6-bb08-d5fb562ec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c39a0-81e9-46c9-bcbf-2ce7e1dbe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4f9c3293-6fad-45ea-a8a6-f382f29879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b88-54ad-4db6-bb08-d5fb562ec1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260ad2-59e4-4a90-9646-47206d4d08f9}" ma:internalName="TaxCatchAll" ma:showField="CatchAllData" ma:web="ec5feb88-54ad-4db6-bb08-d5fb562ec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5feb88-54ad-4db6-bb08-d5fb562ec139" xsi:nil="true"/>
    <lcf76f155ced4ddcb4097134ff3c332f xmlns="558c39a0-81e9-46c9-bcbf-2ce7e1dbe2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41C6C4-F2B3-4C50-944F-C2E053D88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8c39a0-81e9-46c9-bcbf-2ce7e1dbe2ae"/>
    <ds:schemaRef ds:uri="ec5feb88-54ad-4db6-bb08-d5fb562ec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24E2E-2400-4752-AAE5-B7B226CD90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C1D58-5045-4807-BE15-4AB3413F6334}">
  <ds:schemaRefs>
    <ds:schemaRef ds:uri="http://schemas.microsoft.com/office/2006/metadata/properties"/>
    <ds:schemaRef ds:uri="http://schemas.microsoft.com/office/infopath/2007/PartnerControls"/>
    <ds:schemaRef ds:uri="ec5feb88-54ad-4db6-bb08-d5fb562ec139"/>
    <ds:schemaRef ds:uri="558c39a0-81e9-46c9-bcbf-2ce7e1dbe2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Cooldown 1</vt:lpstr>
      <vt:lpstr>Cooldown 2</vt:lpstr>
      <vt:lpstr>Cooldown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 Christian</dc:creator>
  <cp:keywords/>
  <dc:description/>
  <cp:lastModifiedBy>Andres Carballo</cp:lastModifiedBy>
  <cp:revision/>
  <dcterms:created xsi:type="dcterms:W3CDTF">2021-05-29T08:13:37Z</dcterms:created>
  <dcterms:modified xsi:type="dcterms:W3CDTF">2025-09-15T09:19:02Z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0x0101000AD256245D09364E9BDC9025D30B4FB4</vt:lpwstr>
  </property>
  <property fmtid="{D5CDD505-2E9C-101B-9397-08002B2CF9AE}" pid="3" name="MediaServiceImageTags">
    <vt:lpwstr/>
  </property>
</Properties>
</file>