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\notes_for_EOVS\"/>
    </mc:Choice>
  </mc:AlternateContent>
  <xr:revisionPtr revIDLastSave="0" documentId="13_ncr:1_{755F5D78-4775-4457-856B-37D029FC8AF4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J228" i="1"/>
  <c r="L226" i="1"/>
  <c r="J221" i="1" s="1"/>
  <c r="J226" i="1"/>
  <c r="J224" i="1"/>
  <c r="J223" i="1"/>
  <c r="J222" i="1"/>
  <c r="J220" i="1"/>
  <c r="L227" i="1" s="1"/>
  <c r="J219" i="1"/>
  <c r="J218" i="1"/>
  <c r="L217" i="1"/>
  <c r="J217" i="1"/>
  <c r="L216" i="1"/>
  <c r="J216" i="1"/>
  <c r="F216" i="1"/>
  <c r="J225" i="1" s="1"/>
  <c r="L215" i="1"/>
  <c r="J214" i="1"/>
  <c r="J213" i="1"/>
  <c r="L212" i="1"/>
  <c r="J212" i="1"/>
  <c r="J211" i="1"/>
  <c r="J204" i="1"/>
  <c r="J202" i="1"/>
  <c r="L200" i="1"/>
  <c r="J200" i="1"/>
  <c r="J198" i="1"/>
  <c r="J197" i="1"/>
  <c r="J196" i="1"/>
  <c r="J195" i="1"/>
  <c r="J194" i="1"/>
  <c r="L201" i="1" s="1"/>
  <c r="J193" i="1"/>
  <c r="J192" i="1"/>
  <c r="L191" i="1"/>
  <c r="J191" i="1"/>
  <c r="L190" i="1"/>
  <c r="J190" i="1"/>
  <c r="F190" i="1"/>
  <c r="J199" i="1" s="1"/>
  <c r="L189" i="1"/>
  <c r="J188" i="1"/>
  <c r="J187" i="1"/>
  <c r="L186" i="1"/>
  <c r="J186" i="1"/>
  <c r="J185" i="1"/>
  <c r="L185" i="1" s="1"/>
  <c r="J176" i="1"/>
  <c r="L175" i="1"/>
  <c r="L174" i="1"/>
  <c r="J169" i="1" s="1"/>
  <c r="J174" i="1"/>
  <c r="J171" i="1"/>
  <c r="J170" i="1"/>
  <c r="J168" i="1"/>
  <c r="J167" i="1"/>
  <c r="J166" i="1"/>
  <c r="L165" i="1"/>
  <c r="J165" i="1"/>
  <c r="L164" i="1"/>
  <c r="J164" i="1"/>
  <c r="F164" i="1"/>
  <c r="J173" i="1" s="1"/>
  <c r="L163" i="1"/>
  <c r="J162" i="1"/>
  <c r="J161" i="1"/>
  <c r="L160" i="1"/>
  <c r="J160" i="1"/>
  <c r="J159" i="1"/>
  <c r="J150" i="1"/>
  <c r="L149" i="1"/>
  <c r="L148" i="1"/>
  <c r="J143" i="1" s="1"/>
  <c r="J148" i="1"/>
  <c r="J147" i="1"/>
  <c r="J145" i="1"/>
  <c r="J144" i="1"/>
  <c r="J142" i="1"/>
  <c r="J141" i="1"/>
  <c r="J140" i="1"/>
  <c r="L139" i="1"/>
  <c r="J139" i="1"/>
  <c r="L138" i="1"/>
  <c r="J138" i="1"/>
  <c r="F138" i="1"/>
  <c r="J146" i="1" s="1"/>
  <c r="L137" i="1"/>
  <c r="J136" i="1"/>
  <c r="J135" i="1"/>
  <c r="L134" i="1"/>
  <c r="J134" i="1"/>
  <c r="J133" i="1"/>
  <c r="J124" i="1"/>
  <c r="L123" i="1"/>
  <c r="L122" i="1"/>
  <c r="J122" i="1"/>
  <c r="J119" i="1"/>
  <c r="J118" i="1"/>
  <c r="J117" i="1"/>
  <c r="J116" i="1"/>
  <c r="J115" i="1"/>
  <c r="J114" i="1"/>
  <c r="L113" i="1"/>
  <c r="J113" i="1"/>
  <c r="L112" i="1"/>
  <c r="J112" i="1"/>
  <c r="F112" i="1"/>
  <c r="J121" i="1" s="1"/>
  <c r="L111" i="1"/>
  <c r="J110" i="1"/>
  <c r="J109" i="1"/>
  <c r="L108" i="1"/>
  <c r="J108" i="1"/>
  <c r="J107" i="1"/>
  <c r="J98" i="1"/>
  <c r="L96" i="1"/>
  <c r="J96" i="1"/>
  <c r="J95" i="1"/>
  <c r="J93" i="1"/>
  <c r="J92" i="1"/>
  <c r="J91" i="1"/>
  <c r="J90" i="1"/>
  <c r="L97" i="1" s="1"/>
  <c r="J89" i="1"/>
  <c r="J88" i="1"/>
  <c r="L87" i="1"/>
  <c r="J87" i="1"/>
  <c r="L86" i="1"/>
  <c r="J86" i="1"/>
  <c r="F86" i="1"/>
  <c r="J94" i="1" s="1"/>
  <c r="L85" i="1"/>
  <c r="J84" i="1"/>
  <c r="L83" i="1"/>
  <c r="J83" i="1"/>
  <c r="L82" i="1"/>
  <c r="J82" i="1"/>
  <c r="L81" i="1"/>
  <c r="J81" i="1"/>
  <c r="L73" i="1"/>
  <c r="J73" i="1"/>
  <c r="J72" i="1"/>
  <c r="L71" i="1"/>
  <c r="J71" i="1"/>
  <c r="L70" i="1"/>
  <c r="J65" i="1" s="1"/>
  <c r="J70" i="1"/>
  <c r="J67" i="1"/>
  <c r="J66" i="1"/>
  <c r="J64" i="1"/>
  <c r="J63" i="1"/>
  <c r="J62" i="1"/>
  <c r="L61" i="1"/>
  <c r="J61" i="1"/>
  <c r="L60" i="1"/>
  <c r="J60" i="1"/>
  <c r="F60" i="1"/>
  <c r="J69" i="1" s="1"/>
  <c r="L59" i="1"/>
  <c r="F67" i="1" s="1"/>
  <c r="J58" i="1"/>
  <c r="J57" i="1"/>
  <c r="L56" i="1"/>
  <c r="J56" i="1"/>
  <c r="J55" i="1"/>
  <c r="L44" i="1"/>
  <c r="J30" i="1"/>
  <c r="J29" i="1"/>
  <c r="L211" i="1" l="1"/>
  <c r="L213" i="1" s="1"/>
  <c r="J230" i="1"/>
  <c r="J231" i="1" s="1"/>
  <c r="L187" i="1"/>
  <c r="J205" i="1"/>
  <c r="J172" i="1"/>
  <c r="L159" i="1"/>
  <c r="L161" i="1" s="1"/>
  <c r="J178" i="1"/>
  <c r="J179" i="1" s="1"/>
  <c r="J152" i="1"/>
  <c r="J153" i="1" s="1"/>
  <c r="L133" i="1"/>
  <c r="L135" i="1" s="1"/>
  <c r="L107" i="1"/>
  <c r="L109" i="1" s="1"/>
  <c r="J120" i="1"/>
  <c r="J126" i="1"/>
  <c r="J127" i="1" s="1"/>
  <c r="J100" i="1"/>
  <c r="J101" i="1" s="1"/>
  <c r="L69" i="1"/>
  <c r="J97" i="1" s="1"/>
  <c r="J59" i="1"/>
  <c r="J77" i="1" s="1"/>
  <c r="L55" i="1"/>
  <c r="L57" i="1" s="1"/>
  <c r="J68" i="1"/>
  <c r="J74" i="1"/>
  <c r="J75" i="1" s="1"/>
  <c r="L33" i="1"/>
  <c r="F93" i="1" l="1"/>
  <c r="L58" i="1"/>
  <c r="L62" i="1" s="1"/>
  <c r="L65" i="1" s="1"/>
  <c r="J78" i="1"/>
  <c r="L78" i="1"/>
  <c r="J76" i="1" s="1"/>
  <c r="L47" i="1"/>
  <c r="J47" i="1" s="1"/>
  <c r="L35" i="1"/>
  <c r="L34" i="1"/>
  <c r="L30" i="1"/>
  <c r="J46" i="1"/>
  <c r="J45" i="1"/>
  <c r="J44" i="1"/>
  <c r="J41" i="1"/>
  <c r="J40" i="1"/>
  <c r="J38" i="1"/>
  <c r="J37" i="1"/>
  <c r="J36" i="1"/>
  <c r="J35" i="1"/>
  <c r="J34" i="1"/>
  <c r="J32" i="1"/>
  <c r="J31" i="1"/>
  <c r="F34" i="1"/>
  <c r="J43" i="1" s="1"/>
  <c r="L95" i="1" l="1"/>
  <c r="J85" i="1"/>
  <c r="L74" i="1"/>
  <c r="F64" i="1"/>
  <c r="L63" i="1"/>
  <c r="J48" i="1"/>
  <c r="J49" i="1" s="1"/>
  <c r="J39" i="1"/>
  <c r="L29" i="1"/>
  <c r="L31" i="1" s="1"/>
  <c r="J42" i="1"/>
  <c r="L45" i="1"/>
  <c r="F41" i="1"/>
  <c r="J103" i="1" l="1"/>
  <c r="L104" i="1"/>
  <c r="J102" i="1" s="1"/>
  <c r="J123" i="1"/>
  <c r="F119" i="1"/>
  <c r="L64" i="1"/>
  <c r="L75" i="1"/>
  <c r="L99" i="1" s="1"/>
  <c r="J99" i="1" s="1"/>
  <c r="J33" i="1"/>
  <c r="L52" i="1" s="1"/>
  <c r="J50" i="1" s="1"/>
  <c r="J51" i="1" s="1"/>
  <c r="L68" i="1" l="1"/>
  <c r="L72" i="1" s="1"/>
  <c r="L76" i="1" s="1"/>
  <c r="L121" i="1"/>
  <c r="J111" i="1"/>
  <c r="L84" i="1"/>
  <c r="L88" i="1" s="1"/>
  <c r="L89" i="1" s="1"/>
  <c r="J104" i="1"/>
  <c r="J52" i="1"/>
  <c r="L32" i="1"/>
  <c r="L36" i="1" s="1"/>
  <c r="J129" i="1" l="1"/>
  <c r="L130" i="1"/>
  <c r="J128" i="1" s="1"/>
  <c r="J149" i="1"/>
  <c r="F145" i="1"/>
  <c r="L91" i="1"/>
  <c r="L39" i="1"/>
  <c r="L37" i="1"/>
  <c r="L147" i="1" l="1"/>
  <c r="J137" i="1"/>
  <c r="F90" i="1"/>
  <c r="L100" i="1"/>
  <c r="L110" i="1"/>
  <c r="L114" i="1" s="1"/>
  <c r="J130" i="1"/>
  <c r="L48" i="1"/>
  <c r="F38" i="1"/>
  <c r="J155" i="1" l="1"/>
  <c r="L156" i="1"/>
  <c r="J154" i="1" s="1"/>
  <c r="J175" i="1"/>
  <c r="F171" i="1"/>
  <c r="L90" i="1"/>
  <c r="L94" i="1" s="1"/>
  <c r="L98" i="1" s="1"/>
  <c r="L102" i="1" s="1"/>
  <c r="L101" i="1"/>
  <c r="L125" i="1" s="1"/>
  <c r="L117" i="1"/>
  <c r="L115" i="1"/>
  <c r="L49" i="1"/>
  <c r="L38" i="1"/>
  <c r="J125" i="1" l="1"/>
  <c r="J163" i="1"/>
  <c r="L173" i="1"/>
  <c r="F116" i="1"/>
  <c r="L126" i="1"/>
  <c r="L116" i="1" s="1"/>
  <c r="L120" i="1" s="1"/>
  <c r="L124" i="1" s="1"/>
  <c r="L136" i="1"/>
  <c r="L140" i="1" s="1"/>
  <c r="J156" i="1"/>
  <c r="L42" i="1"/>
  <c r="L46" i="1" s="1"/>
  <c r="L50" i="1" s="1"/>
  <c r="L182" i="1" l="1"/>
  <c r="J180" i="1" s="1"/>
  <c r="J181" i="1"/>
  <c r="L143" i="1"/>
  <c r="L141" i="1"/>
  <c r="J201" i="1"/>
  <c r="F197" i="1"/>
  <c r="L127" i="1"/>
  <c r="L151" i="1" s="1"/>
  <c r="J151" i="1" l="1"/>
  <c r="L199" i="1"/>
  <c r="J189" i="1"/>
  <c r="F142" i="1"/>
  <c r="L152" i="1"/>
  <c r="L142" i="1" s="1"/>
  <c r="L162" i="1"/>
  <c r="L166" i="1" s="1"/>
  <c r="L167" i="1" s="1"/>
  <c r="J182" i="1"/>
  <c r="L128" i="1"/>
  <c r="L146" i="1" l="1"/>
  <c r="L150" i="1" s="1"/>
  <c r="L169" i="1"/>
  <c r="J227" i="1"/>
  <c r="F223" i="1"/>
  <c r="L153" i="1"/>
  <c r="L177" i="1" s="1"/>
  <c r="J207" i="1"/>
  <c r="L208" i="1"/>
  <c r="J206" i="1" s="1"/>
  <c r="L188" i="1" l="1"/>
  <c r="L192" i="1" s="1"/>
  <c r="J208" i="1"/>
  <c r="J177" i="1"/>
  <c r="L225" i="1"/>
  <c r="J215" i="1"/>
  <c r="L178" i="1"/>
  <c r="L168" i="1" s="1"/>
  <c r="L172" i="1" s="1"/>
  <c r="L176" i="1" s="1"/>
  <c r="F168" i="1"/>
  <c r="L154" i="1"/>
  <c r="J233" i="1" l="1"/>
  <c r="L234" i="1"/>
  <c r="J232" i="1" s="1"/>
  <c r="L179" i="1"/>
  <c r="L203" i="1" s="1"/>
  <c r="L195" i="1"/>
  <c r="L193" i="1"/>
  <c r="L204" i="1" l="1"/>
  <c r="L194" i="1" s="1"/>
  <c r="L198" i="1" s="1"/>
  <c r="L202" i="1" s="1"/>
  <c r="F194" i="1"/>
  <c r="J203" i="1"/>
  <c r="L205" i="1"/>
  <c r="L229" i="1" s="1"/>
  <c r="L214" i="1"/>
  <c r="L218" i="1" s="1"/>
  <c r="J234" i="1"/>
  <c r="L180" i="1"/>
  <c r="L221" i="1" l="1"/>
  <c r="L219" i="1"/>
  <c r="J229" i="1"/>
  <c r="L206" i="1"/>
  <c r="F220" i="1" l="1"/>
  <c r="L230" i="1"/>
  <c r="L220" i="1" l="1"/>
  <c r="L224" i="1" s="1"/>
  <c r="L228" i="1" s="1"/>
  <c r="L231" i="1"/>
  <c r="L232" i="1" l="1"/>
</calcChain>
</file>

<file path=xl/sharedStrings.xml><?xml version="1.0" encoding="utf-8"?>
<sst xmlns="http://schemas.openxmlformats.org/spreadsheetml/2006/main" count="850" uniqueCount="103">
  <si>
    <t>增值税</t>
  </si>
  <si>
    <t>增值税</t>
    <phoneticPr fontId="1" type="noConversion"/>
  </si>
  <si>
    <t>附加税</t>
  </si>
  <si>
    <t>附加税</t>
    <phoneticPr fontId="1" type="noConversion"/>
  </si>
  <si>
    <t>企业所得税</t>
  </si>
  <si>
    <t>企业所得税</t>
    <phoneticPr fontId="1" type="noConversion"/>
  </si>
  <si>
    <t>贷款年利率</t>
    <phoneticPr fontId="1" type="noConversion"/>
  </si>
  <si>
    <t>东</t>
    <phoneticPr fontId="1" type="noConversion"/>
  </si>
  <si>
    <t>西</t>
    <phoneticPr fontId="1" type="noConversion"/>
  </si>
  <si>
    <t>南</t>
    <phoneticPr fontId="1" type="noConversion"/>
  </si>
  <si>
    <t>北</t>
    <phoneticPr fontId="1" type="noConversion"/>
  </si>
  <si>
    <t>价格</t>
    <phoneticPr fontId="1" type="noConversion"/>
  </si>
  <si>
    <t>营销</t>
    <phoneticPr fontId="1" type="noConversion"/>
  </si>
  <si>
    <t>投放</t>
    <phoneticPr fontId="1" type="noConversion"/>
  </si>
  <si>
    <t>市场人员+</t>
    <phoneticPr fontId="1" type="noConversion"/>
  </si>
  <si>
    <t>利润表</t>
    <phoneticPr fontId="1" type="noConversion"/>
  </si>
  <si>
    <t>现金流量表</t>
    <phoneticPr fontId="1" type="noConversion"/>
  </si>
  <si>
    <t>资产负债表</t>
    <phoneticPr fontId="1" type="noConversion"/>
  </si>
  <si>
    <t>运营状况表</t>
    <phoneticPr fontId="1" type="noConversion"/>
  </si>
  <si>
    <t>正常采购</t>
    <phoneticPr fontId="1" type="noConversion"/>
  </si>
  <si>
    <t>非正常采购</t>
    <phoneticPr fontId="1" type="noConversion"/>
  </si>
  <si>
    <t>线</t>
    <phoneticPr fontId="1" type="noConversion"/>
  </si>
  <si>
    <t>计划生产量</t>
    <phoneticPr fontId="1" type="noConversion"/>
  </si>
  <si>
    <t>研发</t>
    <phoneticPr fontId="1" type="noConversion"/>
  </si>
  <si>
    <t>技术工人+</t>
    <phoneticPr fontId="1" type="noConversion"/>
  </si>
  <si>
    <t>借款</t>
  </si>
  <si>
    <t>借款</t>
    <phoneticPr fontId="1" type="noConversion"/>
  </si>
  <si>
    <t>还款</t>
  </si>
  <si>
    <t>还款</t>
    <phoneticPr fontId="1" type="noConversion"/>
  </si>
  <si>
    <t>借款剩余</t>
    <phoneticPr fontId="1" type="noConversion"/>
  </si>
  <si>
    <t>原材料价格</t>
    <phoneticPr fontId="1" type="noConversion"/>
  </si>
  <si>
    <t>单位价格</t>
    <phoneticPr fontId="1" type="noConversion"/>
  </si>
  <si>
    <t>市场情况</t>
  </si>
  <si>
    <t>市场需求量</t>
  </si>
  <si>
    <t>市场销售量</t>
  </si>
  <si>
    <t>市场销售额</t>
  </si>
  <si>
    <t>市场占有率(%)</t>
  </si>
  <si>
    <t>产成品库存</t>
  </si>
  <si>
    <t>市场人员</t>
  </si>
  <si>
    <t>东部市场</t>
  </si>
  <si>
    <t>西部市场</t>
  </si>
  <si>
    <t>南部市场</t>
  </si>
  <si>
    <t>北部市场</t>
  </si>
  <si>
    <t>市场合计</t>
  </si>
  <si>
    <t>市场需求总量</t>
  </si>
  <si>
    <t>市场销售总量</t>
  </si>
  <si>
    <t>市场销售总额</t>
  </si>
  <si>
    <t>总市场占有率（%）</t>
  </si>
  <si>
    <t>产成品总库存</t>
  </si>
  <si>
    <t>市场人员总数</t>
  </si>
  <si>
    <t>下季产能</t>
  </si>
  <si>
    <t>下季实际产能</t>
  </si>
  <si>
    <t>本季生产量</t>
  </si>
  <si>
    <t>生产线数量</t>
  </si>
  <si>
    <t>原材料库存</t>
  </si>
  <si>
    <t>员工总数</t>
  </si>
  <si>
    <t>技术工人数量</t>
  </si>
  <si>
    <t>销售收入</t>
  </si>
  <si>
    <t>研发费用</t>
  </si>
  <si>
    <t>班次管理费用</t>
  </si>
  <si>
    <t>人工费用</t>
  </si>
  <si>
    <t>原材料耗用</t>
  </si>
  <si>
    <t>原材料订购成本</t>
  </si>
  <si>
    <t>原材料非正常采购费用</t>
  </si>
  <si>
    <t>生产线维护费用</t>
  </si>
  <si>
    <t>生产线订购成本</t>
  </si>
  <si>
    <t>生产线折旧</t>
  </si>
  <si>
    <t>产成品存货价值修正</t>
  </si>
  <si>
    <t>营销费用</t>
  </si>
  <si>
    <t>运输费用</t>
  </si>
  <si>
    <t>培训费</t>
  </si>
  <si>
    <t>员工工资</t>
  </si>
  <si>
    <t>一次性生活安置费</t>
  </si>
  <si>
    <t>原材料仓储费用</t>
  </si>
  <si>
    <t>产成品仓储费用</t>
  </si>
  <si>
    <t>银行利息</t>
  </si>
  <si>
    <t>费用合计</t>
  </si>
  <si>
    <t>三、净利润</t>
  </si>
  <si>
    <t>流入现金合计</t>
  </si>
  <si>
    <t>现金费用支出</t>
  </si>
  <si>
    <t>购料支出</t>
  </si>
  <si>
    <t>生产线投资支出</t>
  </si>
  <si>
    <t>流出现金合计</t>
  </si>
  <si>
    <t>三、本季现金流量</t>
  </si>
  <si>
    <t>四、季末现金余额</t>
  </si>
  <si>
    <t>现金</t>
  </si>
  <si>
    <t>原材料存货价值</t>
  </si>
  <si>
    <t>产成品存货价值</t>
  </si>
  <si>
    <t>生产设备价值</t>
  </si>
  <si>
    <t>资产合计</t>
  </si>
  <si>
    <t>正常负债</t>
  </si>
  <si>
    <t>非正常负债</t>
  </si>
  <si>
    <t>负债合计</t>
  </si>
  <si>
    <t>三、所有者权益</t>
  </si>
  <si>
    <t>筹建期</t>
    <phoneticPr fontId="1" type="noConversion"/>
  </si>
  <si>
    <t>第一期</t>
    <phoneticPr fontId="1" type="noConversion"/>
  </si>
  <si>
    <t>第二期</t>
    <phoneticPr fontId="1" type="noConversion"/>
  </si>
  <si>
    <t>第三期</t>
    <phoneticPr fontId="1" type="noConversion"/>
  </si>
  <si>
    <t>第四期</t>
    <phoneticPr fontId="1" type="noConversion"/>
  </si>
  <si>
    <t>第五期</t>
    <phoneticPr fontId="1" type="noConversion"/>
  </si>
  <si>
    <t>第六期</t>
    <phoneticPr fontId="1" type="noConversion"/>
  </si>
  <si>
    <t>第七期</t>
    <phoneticPr fontId="1" type="noConversion"/>
  </si>
  <si>
    <t>第八期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</si>
</sst>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zoomScale="87" zoomScaleNormal="120" workbookViewId="0">
      <selection activeCell="P21" sqref="P21"/>
    </sheetView>
  </sheetViews>
  <sheetFormatPr defaultRowHeight="13.9" x14ac:dyDescent="0.4"/>
  <cols>
    <col min="1" max="1" width="6.9296875" style="1" bestFit="1" customWidth="1"/>
    <col min="2" max="2" width="10.86328125" style="1" bestFit="1" customWidth="1"/>
    <col min="3" max="5" width="12.9296875" style="1" bestFit="1" customWidth="1"/>
    <col min="6" max="6" width="18.06640625" style="1" bestFit="1" customWidth="1"/>
    <col min="7" max="8" width="12.9296875" style="1" bestFit="1" customWidth="1"/>
    <col min="9" max="9" width="21.06640625" style="1" bestFit="1" customWidth="1"/>
    <col min="10" max="10" width="13.3984375" style="1" bestFit="1" customWidth="1"/>
    <col min="11" max="11" width="17" style="1" bestFit="1" customWidth="1"/>
    <col min="12" max="12" width="13.3984375" style="1" bestFit="1" customWidth="1"/>
  </cols>
  <sheetData>
    <row r="1" spans="1:12" ht="14.25" thickBot="1" x14ac:dyDescent="0.45">
      <c r="A1" s="1" t="s">
        <v>1</v>
      </c>
      <c r="B1" s="1">
        <v>0.06</v>
      </c>
      <c r="C1" s="1" t="s">
        <v>3</v>
      </c>
      <c r="D1" s="1">
        <v>7.0000000000000007E-2</v>
      </c>
      <c r="E1" s="1" t="s">
        <v>5</v>
      </c>
      <c r="F1" s="1">
        <v>0.25</v>
      </c>
      <c r="G1" s="1" t="s">
        <v>6</v>
      </c>
      <c r="H1" s="1">
        <v>0.04</v>
      </c>
    </row>
    <row r="2" spans="1:12" ht="14.25" thickBot="1" x14ac:dyDescent="0.45">
      <c r="A2" s="24" t="s">
        <v>94</v>
      </c>
      <c r="B2" s="2"/>
      <c r="C2" s="6" t="s">
        <v>11</v>
      </c>
      <c r="D2" s="6" t="s">
        <v>12</v>
      </c>
      <c r="E2" s="6" t="s">
        <v>13</v>
      </c>
      <c r="F2" s="6" t="s">
        <v>14</v>
      </c>
      <c r="G2" s="6"/>
      <c r="H2" s="6"/>
      <c r="I2" s="30" t="s">
        <v>15</v>
      </c>
      <c r="J2" s="31"/>
      <c r="K2" s="32" t="s">
        <v>16</v>
      </c>
      <c r="L2" s="33"/>
    </row>
    <row r="3" spans="1:12" x14ac:dyDescent="0.4">
      <c r="A3" s="25"/>
      <c r="B3" s="3" t="s">
        <v>7</v>
      </c>
      <c r="I3" s="13" t="s">
        <v>57</v>
      </c>
      <c r="J3" s="16">
        <v>0</v>
      </c>
      <c r="K3" s="2" t="s">
        <v>57</v>
      </c>
      <c r="L3" s="10">
        <v>0</v>
      </c>
    </row>
    <row r="4" spans="1:12" x14ac:dyDescent="0.4">
      <c r="A4" s="25"/>
      <c r="B4" s="3" t="s">
        <v>8</v>
      </c>
      <c r="F4" s="1">
        <v>3</v>
      </c>
      <c r="I4" s="14" t="s">
        <v>58</v>
      </c>
      <c r="J4" s="17">
        <v>2123750</v>
      </c>
      <c r="K4" s="3" t="s">
        <v>25</v>
      </c>
      <c r="L4" s="11">
        <v>0</v>
      </c>
    </row>
    <row r="5" spans="1:12" x14ac:dyDescent="0.4">
      <c r="A5" s="25"/>
      <c r="B5" s="3" t="s">
        <v>9</v>
      </c>
      <c r="F5" s="1">
        <v>4</v>
      </c>
      <c r="I5" s="14" t="s">
        <v>59</v>
      </c>
      <c r="J5" s="17">
        <v>0</v>
      </c>
      <c r="K5" s="3" t="s">
        <v>78</v>
      </c>
      <c r="L5" s="11">
        <v>0</v>
      </c>
    </row>
    <row r="6" spans="1:12" x14ac:dyDescent="0.4">
      <c r="A6" s="25"/>
      <c r="B6" s="3" t="s">
        <v>10</v>
      </c>
      <c r="F6" s="1">
        <v>4</v>
      </c>
      <c r="I6" s="14" t="s">
        <v>60</v>
      </c>
      <c r="J6" s="17">
        <v>0</v>
      </c>
      <c r="K6" s="3" t="s">
        <v>79</v>
      </c>
      <c r="L6" s="11">
        <v>3000000</v>
      </c>
    </row>
    <row r="7" spans="1:12" x14ac:dyDescent="0.4">
      <c r="A7" s="25"/>
      <c r="B7" s="3"/>
      <c r="I7" s="14" t="s">
        <v>61</v>
      </c>
      <c r="J7" s="17">
        <v>0</v>
      </c>
      <c r="K7" s="3" t="s">
        <v>80</v>
      </c>
      <c r="L7" s="11">
        <v>0</v>
      </c>
    </row>
    <row r="8" spans="1:12" x14ac:dyDescent="0.4">
      <c r="A8" s="25"/>
      <c r="B8" s="3" t="s">
        <v>19</v>
      </c>
      <c r="C8" s="1">
        <v>0</v>
      </c>
      <c r="E8" s="1" t="s">
        <v>24</v>
      </c>
      <c r="F8" s="1">
        <v>21</v>
      </c>
      <c r="I8" s="14" t="s">
        <v>62</v>
      </c>
      <c r="J8" s="17">
        <v>0</v>
      </c>
      <c r="K8" s="3" t="s">
        <v>81</v>
      </c>
      <c r="L8" s="11">
        <v>3500000</v>
      </c>
    </row>
    <row r="9" spans="1:12" x14ac:dyDescent="0.4">
      <c r="A9" s="25"/>
      <c r="B9" s="3" t="s">
        <v>20</v>
      </c>
      <c r="C9" s="1">
        <v>0</v>
      </c>
      <c r="I9" s="14" t="s">
        <v>63</v>
      </c>
      <c r="J9" s="17">
        <v>0</v>
      </c>
      <c r="K9" s="3" t="s">
        <v>27</v>
      </c>
      <c r="L9" s="11">
        <v>0</v>
      </c>
    </row>
    <row r="10" spans="1:12" x14ac:dyDescent="0.4">
      <c r="A10" s="25"/>
      <c r="B10" s="3" t="s">
        <v>21</v>
      </c>
      <c r="C10" s="1">
        <v>7</v>
      </c>
      <c r="E10" s="1" t="s">
        <v>26</v>
      </c>
      <c r="F10" s="1">
        <v>0</v>
      </c>
      <c r="I10" s="14" t="s">
        <v>64</v>
      </c>
      <c r="J10" s="17">
        <v>0</v>
      </c>
      <c r="K10" s="3" t="s">
        <v>82</v>
      </c>
      <c r="L10" s="11">
        <v>6500000</v>
      </c>
    </row>
    <row r="11" spans="1:12" x14ac:dyDescent="0.4">
      <c r="A11" s="25"/>
      <c r="B11" s="3"/>
      <c r="E11" s="1" t="s">
        <v>28</v>
      </c>
      <c r="F11" s="1">
        <v>0</v>
      </c>
      <c r="I11" s="14" t="s">
        <v>65</v>
      </c>
      <c r="J11" s="17">
        <v>700000</v>
      </c>
      <c r="K11" s="3" t="s">
        <v>83</v>
      </c>
      <c r="L11" s="11">
        <v>-6500000</v>
      </c>
    </row>
    <row r="12" spans="1:12" x14ac:dyDescent="0.4">
      <c r="A12" s="25"/>
      <c r="B12" s="3" t="s">
        <v>22</v>
      </c>
      <c r="C12" s="1">
        <v>0</v>
      </c>
      <c r="E12" s="1" t="s">
        <v>29</v>
      </c>
      <c r="F12" s="1">
        <v>0</v>
      </c>
      <c r="I12" s="14" t="s">
        <v>66</v>
      </c>
      <c r="J12" s="17">
        <v>0</v>
      </c>
      <c r="K12" s="3" t="s">
        <v>84</v>
      </c>
      <c r="L12" s="11">
        <v>0</v>
      </c>
    </row>
    <row r="13" spans="1:12" ht="14.25" thickBot="1" x14ac:dyDescent="0.45">
      <c r="A13" s="25"/>
      <c r="B13" s="3" t="s">
        <v>23</v>
      </c>
      <c r="C13" s="7">
        <v>2123750</v>
      </c>
      <c r="I13" s="14" t="s">
        <v>67</v>
      </c>
      <c r="J13" s="17">
        <v>0</v>
      </c>
      <c r="K13" s="4" t="s">
        <v>29</v>
      </c>
      <c r="L13" s="12">
        <v>0</v>
      </c>
    </row>
    <row r="14" spans="1:12" ht="14.25" thickBot="1" x14ac:dyDescent="0.45">
      <c r="A14" s="25"/>
      <c r="B14" s="3"/>
      <c r="E14" s="1" t="s">
        <v>30</v>
      </c>
      <c r="F14" s="1">
        <v>1.5</v>
      </c>
      <c r="I14" s="14" t="s">
        <v>68</v>
      </c>
      <c r="J14" s="18">
        <v>0</v>
      </c>
      <c r="L14" s="11"/>
    </row>
    <row r="15" spans="1:12" ht="14.25" thickBot="1" x14ac:dyDescent="0.45">
      <c r="A15" s="25"/>
      <c r="B15" s="3"/>
      <c r="E15" s="1" t="s">
        <v>31</v>
      </c>
      <c r="I15" s="14" t="s">
        <v>69</v>
      </c>
      <c r="J15" s="18">
        <v>0</v>
      </c>
      <c r="K15" s="32" t="s">
        <v>17</v>
      </c>
      <c r="L15" s="33"/>
    </row>
    <row r="16" spans="1:12" ht="14.25" thickBot="1" x14ac:dyDescent="0.45">
      <c r="A16" s="25"/>
      <c r="B16" s="4"/>
      <c r="C16" s="8"/>
      <c r="D16" s="8"/>
      <c r="E16" s="8"/>
      <c r="F16" s="8"/>
      <c r="G16" s="8"/>
      <c r="H16" s="8"/>
      <c r="I16" s="14" t="s">
        <v>70</v>
      </c>
      <c r="J16" s="17">
        <v>48000</v>
      </c>
      <c r="K16" s="2" t="s">
        <v>85</v>
      </c>
      <c r="L16" s="10">
        <v>0</v>
      </c>
    </row>
    <row r="17" spans="1:12" ht="14.25" thickBot="1" x14ac:dyDescent="0.45">
      <c r="A17" s="25"/>
      <c r="B17" s="27" t="s">
        <v>18</v>
      </c>
      <c r="C17" s="29"/>
      <c r="D17" s="29"/>
      <c r="E17" s="29"/>
      <c r="F17" s="29"/>
      <c r="G17" s="29"/>
      <c r="H17" s="29"/>
      <c r="I17" s="14" t="s">
        <v>71</v>
      </c>
      <c r="J17" s="17">
        <v>128250</v>
      </c>
      <c r="K17" s="3" t="s">
        <v>86</v>
      </c>
      <c r="L17" s="11">
        <v>0</v>
      </c>
    </row>
    <row r="18" spans="1:12" x14ac:dyDescent="0.4">
      <c r="A18" s="25"/>
      <c r="B18" s="2" t="s">
        <v>32</v>
      </c>
      <c r="C18" s="6" t="s">
        <v>33</v>
      </c>
      <c r="D18" s="6" t="s">
        <v>34</v>
      </c>
      <c r="E18" s="6" t="s">
        <v>35</v>
      </c>
      <c r="F18" s="6" t="s">
        <v>36</v>
      </c>
      <c r="G18" s="6" t="s">
        <v>37</v>
      </c>
      <c r="H18" s="6" t="s">
        <v>38</v>
      </c>
      <c r="I18" s="14" t="s">
        <v>72</v>
      </c>
      <c r="J18" s="17">
        <v>0</v>
      </c>
      <c r="K18" s="3" t="s">
        <v>87</v>
      </c>
      <c r="L18" s="11">
        <v>0</v>
      </c>
    </row>
    <row r="19" spans="1:12" x14ac:dyDescent="0.4">
      <c r="A19" s="25"/>
      <c r="B19" s="3" t="s">
        <v>39</v>
      </c>
      <c r="C19" s="1">
        <v>0</v>
      </c>
      <c r="D19" s="1">
        <v>0</v>
      </c>
      <c r="E19" s="1">
        <v>0</v>
      </c>
      <c r="F19" s="1">
        <v>12.5</v>
      </c>
      <c r="G19" s="1">
        <v>0</v>
      </c>
      <c r="H19" s="1">
        <v>0</v>
      </c>
      <c r="I19" s="14" t="s">
        <v>73</v>
      </c>
      <c r="J19" s="17">
        <v>0</v>
      </c>
      <c r="K19" s="3" t="s">
        <v>88</v>
      </c>
      <c r="L19" s="11">
        <v>3500000</v>
      </c>
    </row>
    <row r="20" spans="1:12" x14ac:dyDescent="0.4">
      <c r="A20" s="25"/>
      <c r="B20" s="3" t="s">
        <v>40</v>
      </c>
      <c r="C20" s="7">
        <v>0</v>
      </c>
      <c r="D20" s="7">
        <v>0</v>
      </c>
      <c r="E20" s="7">
        <v>0</v>
      </c>
      <c r="F20" s="1">
        <v>12.5</v>
      </c>
      <c r="G20" s="7">
        <v>0</v>
      </c>
      <c r="H20" s="1">
        <v>3</v>
      </c>
      <c r="I20" s="14" t="s">
        <v>74</v>
      </c>
      <c r="J20" s="17">
        <v>0</v>
      </c>
      <c r="K20" s="3" t="s">
        <v>89</v>
      </c>
      <c r="L20" s="11">
        <v>3500000</v>
      </c>
    </row>
    <row r="21" spans="1:12" x14ac:dyDescent="0.4">
      <c r="A21" s="25"/>
      <c r="B21" s="3" t="s">
        <v>41</v>
      </c>
      <c r="C21" s="7">
        <v>0</v>
      </c>
      <c r="D21" s="7">
        <v>0</v>
      </c>
      <c r="E21" s="7">
        <v>0</v>
      </c>
      <c r="F21" s="1">
        <v>12.5</v>
      </c>
      <c r="G21" s="1">
        <v>0</v>
      </c>
      <c r="H21" s="1">
        <v>4</v>
      </c>
      <c r="I21" s="14" t="s">
        <v>75</v>
      </c>
      <c r="J21" s="17">
        <v>0</v>
      </c>
      <c r="K21" s="3" t="s">
        <v>90</v>
      </c>
      <c r="L21" s="11">
        <v>0</v>
      </c>
    </row>
    <row r="22" spans="1:12" x14ac:dyDescent="0.4">
      <c r="A22" s="25"/>
      <c r="B22" s="3" t="s">
        <v>42</v>
      </c>
      <c r="C22" s="7">
        <v>0</v>
      </c>
      <c r="D22" s="7">
        <v>0</v>
      </c>
      <c r="E22" s="7">
        <v>0</v>
      </c>
      <c r="F22" s="1">
        <v>12.5</v>
      </c>
      <c r="G22" s="1">
        <v>0</v>
      </c>
      <c r="H22" s="1">
        <v>4</v>
      </c>
      <c r="I22" s="14" t="s">
        <v>0</v>
      </c>
      <c r="J22" s="17">
        <v>0</v>
      </c>
      <c r="K22" s="3" t="s">
        <v>91</v>
      </c>
      <c r="L22" s="11">
        <v>0</v>
      </c>
    </row>
    <row r="23" spans="1:12" x14ac:dyDescent="0.4">
      <c r="A23" s="25"/>
      <c r="B23" s="3" t="s">
        <v>43</v>
      </c>
      <c r="C23" s="1" t="s">
        <v>44</v>
      </c>
      <c r="D23" s="1" t="s">
        <v>45</v>
      </c>
      <c r="E23" s="1" t="s">
        <v>46</v>
      </c>
      <c r="F23" s="1" t="s">
        <v>47</v>
      </c>
      <c r="G23" s="1" t="s">
        <v>48</v>
      </c>
      <c r="H23" s="1" t="s">
        <v>49</v>
      </c>
      <c r="I23" s="14" t="s">
        <v>2</v>
      </c>
      <c r="J23" s="17">
        <v>0</v>
      </c>
      <c r="K23" s="3" t="s">
        <v>92</v>
      </c>
      <c r="L23" s="11">
        <v>0</v>
      </c>
    </row>
    <row r="24" spans="1:12" ht="14.25" thickBot="1" x14ac:dyDescent="0.45">
      <c r="A24" s="25"/>
      <c r="B24" s="3"/>
      <c r="C24" s="7">
        <v>0</v>
      </c>
      <c r="D24" s="7">
        <v>0</v>
      </c>
      <c r="E24" s="7">
        <v>0</v>
      </c>
      <c r="F24" s="1">
        <v>0</v>
      </c>
      <c r="G24" s="7">
        <v>0</v>
      </c>
      <c r="H24" s="1">
        <v>11</v>
      </c>
      <c r="I24" s="14" t="s">
        <v>4</v>
      </c>
      <c r="J24" s="17">
        <v>0</v>
      </c>
      <c r="K24" s="4" t="s">
        <v>93</v>
      </c>
      <c r="L24" s="12">
        <v>3500000</v>
      </c>
    </row>
    <row r="25" spans="1:12" ht="14.25" thickBot="1" x14ac:dyDescent="0.45">
      <c r="A25" s="25"/>
      <c r="B25" s="3" t="s">
        <v>50</v>
      </c>
      <c r="C25" s="1" t="s">
        <v>51</v>
      </c>
      <c r="D25" s="1" t="s">
        <v>52</v>
      </c>
      <c r="E25" s="1" t="s">
        <v>53</v>
      </c>
      <c r="F25" s="1" t="s">
        <v>54</v>
      </c>
      <c r="G25" s="1" t="s">
        <v>55</v>
      </c>
      <c r="H25" s="1" t="s">
        <v>56</v>
      </c>
      <c r="I25" s="14" t="s">
        <v>76</v>
      </c>
      <c r="J25" s="18">
        <v>3000000</v>
      </c>
      <c r="L25" s="11"/>
    </row>
    <row r="26" spans="1:12" ht="14.25" thickBot="1" x14ac:dyDescent="0.45">
      <c r="A26" s="26"/>
      <c r="B26" s="5">
        <v>350000</v>
      </c>
      <c r="C26" s="9">
        <v>350000</v>
      </c>
      <c r="D26" s="9">
        <v>0</v>
      </c>
      <c r="E26" s="8">
        <v>7</v>
      </c>
      <c r="F26" s="9">
        <v>0</v>
      </c>
      <c r="G26" s="8">
        <v>32</v>
      </c>
      <c r="H26" s="8">
        <v>21</v>
      </c>
      <c r="I26" s="15" t="s">
        <v>77</v>
      </c>
      <c r="J26" s="19">
        <v>-3000000</v>
      </c>
      <c r="K26" s="20" t="s">
        <v>5</v>
      </c>
      <c r="L26" s="22">
        <v>0</v>
      </c>
    </row>
    <row r="27" spans="1:12" ht="14.25" thickBot="1" x14ac:dyDescent="0.45"/>
    <row r="28" spans="1:12" ht="14.25" thickBot="1" x14ac:dyDescent="0.45">
      <c r="A28" s="24" t="s">
        <v>95</v>
      </c>
      <c r="B28" s="2"/>
      <c r="C28" s="6" t="s">
        <v>11</v>
      </c>
      <c r="D28" s="6" t="s">
        <v>12</v>
      </c>
      <c r="E28" s="6" t="s">
        <v>13</v>
      </c>
      <c r="F28" s="6" t="s">
        <v>14</v>
      </c>
      <c r="G28" s="6"/>
      <c r="H28" s="10"/>
      <c r="I28" s="27" t="s">
        <v>15</v>
      </c>
      <c r="J28" s="28"/>
      <c r="K28" s="27" t="s">
        <v>16</v>
      </c>
      <c r="L28" s="28"/>
    </row>
    <row r="29" spans="1:12" x14ac:dyDescent="0.4">
      <c r="A29" s="25"/>
      <c r="B29" s="3" t="s">
        <v>39</v>
      </c>
      <c r="H29" s="11"/>
      <c r="I29" s="2" t="s">
        <v>57</v>
      </c>
      <c r="J29" s="10">
        <f>C29*(E29+G19-G45)+C30*(E30+G20-G46)+C31*(E31+G21-G47)+C31*(E32+G22-G48)</f>
        <v>0</v>
      </c>
      <c r="K29" s="2" t="s">
        <v>57</v>
      </c>
      <c r="L29" s="10">
        <f>J29</f>
        <v>0</v>
      </c>
    </row>
    <row r="30" spans="1:12" x14ac:dyDescent="0.4">
      <c r="A30" s="25"/>
      <c r="B30" s="3" t="s">
        <v>40</v>
      </c>
      <c r="D30" s="7"/>
      <c r="H30" s="11"/>
      <c r="I30" s="3" t="s">
        <v>58</v>
      </c>
      <c r="J30" s="23">
        <f>C39</f>
        <v>0</v>
      </c>
      <c r="K30" s="3" t="s">
        <v>25</v>
      </c>
      <c r="L30" s="11">
        <f>F36</f>
        <v>0</v>
      </c>
    </row>
    <row r="31" spans="1:12" x14ac:dyDescent="0.4">
      <c r="A31" s="25"/>
      <c r="B31" s="3" t="s">
        <v>41</v>
      </c>
      <c r="D31" s="7"/>
      <c r="H31" s="11"/>
      <c r="I31" s="3" t="s">
        <v>59</v>
      </c>
      <c r="J31" s="11">
        <f>20000</f>
        <v>20000</v>
      </c>
      <c r="K31" s="3" t="s">
        <v>78</v>
      </c>
      <c r="L31" s="11">
        <f>L30+L29</f>
        <v>0</v>
      </c>
    </row>
    <row r="32" spans="1:12" x14ac:dyDescent="0.4">
      <c r="A32" s="25"/>
      <c r="B32" s="3" t="s">
        <v>42</v>
      </c>
      <c r="D32" s="7"/>
      <c r="H32" s="11"/>
      <c r="I32" s="3" t="s">
        <v>60</v>
      </c>
      <c r="J32" s="11">
        <f>1.4*C38</f>
        <v>0</v>
      </c>
      <c r="K32" s="3" t="s">
        <v>79</v>
      </c>
      <c r="L32" s="11" t="e">
        <f>J51-J33-J38-J39</f>
        <v>#DIV/0!</v>
      </c>
    </row>
    <row r="33" spans="1:12" x14ac:dyDescent="0.4">
      <c r="A33" s="25"/>
      <c r="B33" s="3"/>
      <c r="H33" s="11"/>
      <c r="I33" s="3" t="s">
        <v>61</v>
      </c>
      <c r="J33" s="11" t="e">
        <f>1.35*F41*C38</f>
        <v>#DIV/0!</v>
      </c>
      <c r="K33" s="3" t="s">
        <v>80</v>
      </c>
      <c r="L33" s="11">
        <f>(C34+C35)*F40</f>
        <v>0</v>
      </c>
    </row>
    <row r="34" spans="1:12" x14ac:dyDescent="0.4">
      <c r="A34" s="25"/>
      <c r="B34" s="3" t="s">
        <v>19</v>
      </c>
      <c r="C34" s="7"/>
      <c r="E34" s="1" t="s">
        <v>24</v>
      </c>
      <c r="F34" s="1">
        <f>C36*3</f>
        <v>0</v>
      </c>
      <c r="H34" s="11"/>
      <c r="I34" s="3" t="s">
        <v>62</v>
      </c>
      <c r="J34" s="11">
        <f>IF(SUM(C34:C35)&gt;0,200000,0)</f>
        <v>0</v>
      </c>
      <c r="K34" s="3" t="s">
        <v>81</v>
      </c>
      <c r="L34" s="11">
        <f>500000*C36</f>
        <v>0</v>
      </c>
    </row>
    <row r="35" spans="1:12" x14ac:dyDescent="0.4">
      <c r="A35" s="25"/>
      <c r="B35" s="3" t="s">
        <v>20</v>
      </c>
      <c r="C35" s="7"/>
      <c r="H35" s="11"/>
      <c r="I35" s="3" t="s">
        <v>63</v>
      </c>
      <c r="J35" s="11">
        <f>C35</f>
        <v>0</v>
      </c>
      <c r="K35" s="3" t="s">
        <v>27</v>
      </c>
      <c r="L35" s="11">
        <f>F37</f>
        <v>0</v>
      </c>
    </row>
    <row r="36" spans="1:12" x14ac:dyDescent="0.4">
      <c r="A36" s="25"/>
      <c r="B36" s="3" t="s">
        <v>21</v>
      </c>
      <c r="E36" s="1" t="s">
        <v>26</v>
      </c>
      <c r="H36" s="11"/>
      <c r="I36" s="3" t="s">
        <v>64</v>
      </c>
      <c r="J36" s="11">
        <f>12000*E26</f>
        <v>84000</v>
      </c>
      <c r="K36" s="3" t="s">
        <v>82</v>
      </c>
      <c r="L36" s="11" t="e">
        <f>SUM(L32:L35)</f>
        <v>#DIV/0!</v>
      </c>
    </row>
    <row r="37" spans="1:12" x14ac:dyDescent="0.4">
      <c r="A37" s="25"/>
      <c r="B37" s="3"/>
      <c r="E37" s="1" t="s">
        <v>28</v>
      </c>
      <c r="H37" s="11"/>
      <c r="I37" s="3" t="s">
        <v>65</v>
      </c>
      <c r="J37" s="11">
        <f>100000*C36</f>
        <v>0</v>
      </c>
      <c r="K37" s="3" t="s">
        <v>83</v>
      </c>
      <c r="L37" s="11" t="e">
        <f>L31-L36</f>
        <v>#DIV/0!</v>
      </c>
    </row>
    <row r="38" spans="1:12" x14ac:dyDescent="0.4">
      <c r="A38" s="25"/>
      <c r="B38" s="3" t="s">
        <v>22</v>
      </c>
      <c r="C38" s="7"/>
      <c r="E38" s="1" t="s">
        <v>29</v>
      </c>
      <c r="F38" s="1" t="e">
        <f>L39</f>
        <v>#DIV/0!</v>
      </c>
      <c r="H38" s="11"/>
      <c r="I38" s="3" t="s">
        <v>66</v>
      </c>
      <c r="J38" s="11">
        <f>0.025*L19</f>
        <v>87500</v>
      </c>
      <c r="K38" s="3" t="s">
        <v>84</v>
      </c>
      <c r="L38" s="11" t="e">
        <f>IF(L48=0,L12+L37,J29/2)</f>
        <v>#DIV/0!</v>
      </c>
    </row>
    <row r="39" spans="1:12" ht="14.25" thickBot="1" x14ac:dyDescent="0.45">
      <c r="A39" s="25"/>
      <c r="B39" s="3" t="s">
        <v>23</v>
      </c>
      <c r="C39" s="7"/>
      <c r="H39" s="11"/>
      <c r="I39" s="3" t="s">
        <v>67</v>
      </c>
      <c r="J39" s="11">
        <f>L18-L44</f>
        <v>0</v>
      </c>
      <c r="K39" s="4" t="s">
        <v>29</v>
      </c>
      <c r="L39" s="12" t="e">
        <f>L12+F36+J29/2-L36</f>
        <v>#DIV/0!</v>
      </c>
    </row>
    <row r="40" spans="1:12" ht="14.25" thickBot="1" x14ac:dyDescent="0.45">
      <c r="A40" s="25"/>
      <c r="B40" s="3"/>
      <c r="E40" s="1" t="s">
        <v>30</v>
      </c>
      <c r="H40" s="11"/>
      <c r="I40" s="3" t="s">
        <v>68</v>
      </c>
      <c r="J40" s="11">
        <f>SUM(D29:D32)</f>
        <v>0</v>
      </c>
      <c r="L40" s="11"/>
    </row>
    <row r="41" spans="1:12" ht="14.25" thickBot="1" x14ac:dyDescent="0.45">
      <c r="A41" s="25"/>
      <c r="B41" s="3"/>
      <c r="E41" s="1" t="s">
        <v>31</v>
      </c>
      <c r="F41" s="1" t="e">
        <f>(L17+L33)/(F26+C34+C35)</f>
        <v>#DIV/0!</v>
      </c>
      <c r="H41" s="11"/>
      <c r="I41" s="3" t="s">
        <v>69</v>
      </c>
      <c r="J41" s="11">
        <f>0.5*E29+0.1*E30+0.4*(E31+E32)</f>
        <v>0</v>
      </c>
      <c r="K41" s="27" t="s">
        <v>17</v>
      </c>
      <c r="L41" s="28"/>
    </row>
    <row r="42" spans="1:12" ht="14.25" thickBot="1" x14ac:dyDescent="0.45">
      <c r="A42" s="25"/>
      <c r="B42" s="4"/>
      <c r="C42" s="8"/>
      <c r="D42" s="8"/>
      <c r="E42" s="8"/>
      <c r="F42" s="8"/>
      <c r="G42" s="8"/>
      <c r="H42" s="12"/>
      <c r="I42" s="3" t="s">
        <v>70</v>
      </c>
      <c r="J42" s="11">
        <f>1500*SUM(F29:F34)</f>
        <v>0</v>
      </c>
      <c r="K42" s="2" t="s">
        <v>85</v>
      </c>
      <c r="L42" s="10" t="e">
        <f>L38</f>
        <v>#DIV/0!</v>
      </c>
    </row>
    <row r="43" spans="1:12" ht="14.25" thickBot="1" x14ac:dyDescent="0.45">
      <c r="A43" s="25"/>
      <c r="B43" s="27" t="s">
        <v>18</v>
      </c>
      <c r="C43" s="29"/>
      <c r="D43" s="29"/>
      <c r="E43" s="29"/>
      <c r="F43" s="29"/>
      <c r="G43" s="29"/>
      <c r="H43" s="28"/>
      <c r="I43" s="3" t="s">
        <v>71</v>
      </c>
      <c r="J43" s="11">
        <f>3750*F34+7500*H26+4500*SUM(F29:F32)+9000*H24</f>
        <v>256500</v>
      </c>
      <c r="K43" s="3" t="s">
        <v>86</v>
      </c>
      <c r="L43" s="11" t="e">
        <f>F41*C34</f>
        <v>#DIV/0!</v>
      </c>
    </row>
    <row r="44" spans="1:12" x14ac:dyDescent="0.4">
      <c r="A44" s="25"/>
      <c r="B44" s="2" t="s">
        <v>32</v>
      </c>
      <c r="C44" s="6" t="s">
        <v>33</v>
      </c>
      <c r="D44" s="6" t="s">
        <v>34</v>
      </c>
      <c r="E44" s="6" t="s">
        <v>35</v>
      </c>
      <c r="F44" s="6" t="s">
        <v>36</v>
      </c>
      <c r="G44" s="6" t="s">
        <v>37</v>
      </c>
      <c r="H44" s="10" t="s">
        <v>38</v>
      </c>
      <c r="I44" s="3" t="s">
        <v>72</v>
      </c>
      <c r="J44" s="11">
        <f>0</f>
        <v>0</v>
      </c>
      <c r="K44" s="3" t="s">
        <v>87</v>
      </c>
      <c r="L44" s="11">
        <f>G24*4</f>
        <v>0</v>
      </c>
    </row>
    <row r="45" spans="1:12" x14ac:dyDescent="0.4">
      <c r="A45" s="25"/>
      <c r="B45" s="3" t="s">
        <v>39</v>
      </c>
      <c r="H45" s="11"/>
      <c r="I45" s="3" t="s">
        <v>73</v>
      </c>
      <c r="J45" s="11">
        <f>0.1*L17</f>
        <v>0</v>
      </c>
      <c r="K45" s="3" t="s">
        <v>88</v>
      </c>
      <c r="L45" s="11">
        <f>L19-J38+L34</f>
        <v>3412500</v>
      </c>
    </row>
    <row r="46" spans="1:12" x14ac:dyDescent="0.4">
      <c r="A46" s="25"/>
      <c r="B46" s="3" t="s">
        <v>40</v>
      </c>
      <c r="C46" s="7"/>
      <c r="D46" s="7"/>
      <c r="E46" s="7"/>
      <c r="G46" s="7"/>
      <c r="H46" s="11"/>
      <c r="I46" s="3" t="s">
        <v>74</v>
      </c>
      <c r="J46" s="11">
        <f>0.5*L18</f>
        <v>0</v>
      </c>
      <c r="K46" s="3" t="s">
        <v>89</v>
      </c>
      <c r="L46" s="11" t="e">
        <f>SUM(L42:L45)</f>
        <v>#DIV/0!</v>
      </c>
    </row>
    <row r="47" spans="1:12" x14ac:dyDescent="0.4">
      <c r="A47" s="25"/>
      <c r="B47" s="3" t="s">
        <v>41</v>
      </c>
      <c r="C47" s="7"/>
      <c r="D47" s="7"/>
      <c r="E47" s="7"/>
      <c r="H47" s="11"/>
      <c r="I47" s="3" t="s">
        <v>75</v>
      </c>
      <c r="J47" s="11">
        <f>$H$1/4*L47+$H$1/4*3*L22</f>
        <v>0</v>
      </c>
      <c r="K47" s="3" t="s">
        <v>90</v>
      </c>
      <c r="L47" s="11">
        <f>L23+F36-F37</f>
        <v>0</v>
      </c>
    </row>
    <row r="48" spans="1:12" x14ac:dyDescent="0.4">
      <c r="A48" s="25"/>
      <c r="B48" s="3" t="s">
        <v>42</v>
      </c>
      <c r="C48" s="7"/>
      <c r="D48" s="7"/>
      <c r="E48" s="7"/>
      <c r="H48" s="11"/>
      <c r="I48" s="3" t="s">
        <v>0</v>
      </c>
      <c r="J48" s="11">
        <f>J29/(1+$B$1)*$B$1</f>
        <v>0</v>
      </c>
      <c r="K48" s="3" t="s">
        <v>91</v>
      </c>
      <c r="L48" s="11" t="e">
        <f>IF(L39&gt;0,0,-L39)</f>
        <v>#DIV/0!</v>
      </c>
    </row>
    <row r="49" spans="1:12" x14ac:dyDescent="0.4">
      <c r="A49" s="25"/>
      <c r="B49" s="3" t="s">
        <v>43</v>
      </c>
      <c r="C49" s="1" t="s">
        <v>44</v>
      </c>
      <c r="D49" s="1" t="s">
        <v>45</v>
      </c>
      <c r="E49" s="1" t="s">
        <v>46</v>
      </c>
      <c r="F49" s="1" t="s">
        <v>47</v>
      </c>
      <c r="G49" s="1" t="s">
        <v>48</v>
      </c>
      <c r="H49" s="11" t="s">
        <v>49</v>
      </c>
      <c r="I49" s="3" t="s">
        <v>2</v>
      </c>
      <c r="J49" s="11">
        <f>J48*$D$1</f>
        <v>0</v>
      </c>
      <c r="K49" s="3" t="s">
        <v>92</v>
      </c>
      <c r="L49" s="11" t="e">
        <f>L47+L48</f>
        <v>#DIV/0!</v>
      </c>
    </row>
    <row r="50" spans="1:12" ht="14.25" thickBot="1" x14ac:dyDescent="0.45">
      <c r="A50" s="25"/>
      <c r="B50" s="3"/>
      <c r="C50" s="7"/>
      <c r="D50" s="7"/>
      <c r="E50" s="7"/>
      <c r="G50" s="7"/>
      <c r="H50" s="11"/>
      <c r="I50" s="3" t="s">
        <v>4</v>
      </c>
      <c r="J50" s="11" t="e">
        <f>IF(L52&lt;=0,0,L52)</f>
        <v>#DIV/0!</v>
      </c>
      <c r="K50" s="4" t="s">
        <v>93</v>
      </c>
      <c r="L50" s="12" t="e">
        <f>L46-L49</f>
        <v>#DIV/0!</v>
      </c>
    </row>
    <row r="51" spans="1:12" ht="14.25" thickBot="1" x14ac:dyDescent="0.45">
      <c r="A51" s="25"/>
      <c r="B51" s="3" t="s">
        <v>50</v>
      </c>
      <c r="C51" s="1" t="s">
        <v>51</v>
      </c>
      <c r="D51" s="1" t="s">
        <v>52</v>
      </c>
      <c r="E51" s="1" t="s">
        <v>53</v>
      </c>
      <c r="F51" s="1" t="s">
        <v>54</v>
      </c>
      <c r="G51" s="1" t="s">
        <v>55</v>
      </c>
      <c r="H51" s="11" t="s">
        <v>56</v>
      </c>
      <c r="I51" s="3" t="s">
        <v>76</v>
      </c>
      <c r="J51" s="11" t="e">
        <f>SUM(J30:J50)</f>
        <v>#DIV/0!</v>
      </c>
      <c r="L51" s="11"/>
    </row>
    <row r="52" spans="1:12" ht="14.25" thickBot="1" x14ac:dyDescent="0.45">
      <c r="A52" s="26"/>
      <c r="B52" s="5"/>
      <c r="C52" s="9"/>
      <c r="D52" s="9"/>
      <c r="E52" s="8"/>
      <c r="F52" s="9"/>
      <c r="G52" s="8"/>
      <c r="H52" s="12"/>
      <c r="I52" s="4" t="s">
        <v>77</v>
      </c>
      <c r="J52" s="12" t="e">
        <f>J29-J51</f>
        <v>#DIV/0!</v>
      </c>
      <c r="K52" s="21" t="s">
        <v>5</v>
      </c>
      <c r="L52" s="22" t="e">
        <f>(J29/(1+$B$1)-SUM(J30:J49)+J48)*$F$1</f>
        <v>#DIV/0!</v>
      </c>
    </row>
    <row r="53" spans="1:12" ht="14.25" thickBot="1" x14ac:dyDescent="0.45"/>
    <row r="54" spans="1:12" ht="14.25" thickBot="1" x14ac:dyDescent="0.45">
      <c r="A54" s="24" t="s">
        <v>96</v>
      </c>
      <c r="B54" s="2"/>
      <c r="C54" s="6" t="s">
        <v>11</v>
      </c>
      <c r="D54" s="6" t="s">
        <v>12</v>
      </c>
      <c r="E54" s="6" t="s">
        <v>13</v>
      </c>
      <c r="F54" s="6" t="s">
        <v>14</v>
      </c>
      <c r="G54" s="6"/>
      <c r="H54" s="10"/>
      <c r="I54" s="27" t="s">
        <v>15</v>
      </c>
      <c r="J54" s="28"/>
      <c r="K54" s="27" t="s">
        <v>16</v>
      </c>
      <c r="L54" s="28"/>
    </row>
    <row r="55" spans="1:12" x14ac:dyDescent="0.4">
      <c r="A55" s="25"/>
      <c r="B55" s="3" t="s">
        <v>39</v>
      </c>
      <c r="H55" s="11"/>
      <c r="I55" s="2" t="s">
        <v>57</v>
      </c>
      <c r="J55" s="10">
        <f>C55*(E55+G45-G71)+C56*(E56+G46-G72)+C57*(E57+G47-G73)+C57*(E58+G48-G74)</f>
        <v>0</v>
      </c>
      <c r="K55" s="2" t="s">
        <v>57</v>
      </c>
      <c r="L55" s="10">
        <f>J55</f>
        <v>0</v>
      </c>
    </row>
    <row r="56" spans="1:12" x14ac:dyDescent="0.4">
      <c r="A56" s="25"/>
      <c r="B56" s="3" t="s">
        <v>40</v>
      </c>
      <c r="D56" s="7"/>
      <c r="H56" s="11"/>
      <c r="I56" s="3" t="s">
        <v>58</v>
      </c>
      <c r="J56" s="23">
        <f>C65</f>
        <v>0</v>
      </c>
      <c r="K56" s="3" t="s">
        <v>25</v>
      </c>
      <c r="L56" s="11">
        <f>F62</f>
        <v>0</v>
      </c>
    </row>
    <row r="57" spans="1:12" x14ac:dyDescent="0.4">
      <c r="A57" s="25"/>
      <c r="B57" s="3" t="s">
        <v>41</v>
      </c>
      <c r="D57" s="7"/>
      <c r="H57" s="11"/>
      <c r="I57" s="3" t="s">
        <v>59</v>
      </c>
      <c r="J57" s="11">
        <f>20000</f>
        <v>20000</v>
      </c>
      <c r="K57" s="3" t="s">
        <v>78</v>
      </c>
      <c r="L57" s="11">
        <f>L56+L55</f>
        <v>0</v>
      </c>
    </row>
    <row r="58" spans="1:12" x14ac:dyDescent="0.4">
      <c r="A58" s="25"/>
      <c r="B58" s="3" t="s">
        <v>42</v>
      </c>
      <c r="D58" s="7"/>
      <c r="H58" s="11"/>
      <c r="I58" s="3" t="s">
        <v>60</v>
      </c>
      <c r="J58" s="11">
        <f>1.4*C64</f>
        <v>0</v>
      </c>
      <c r="K58" s="3" t="s">
        <v>79</v>
      </c>
      <c r="L58" s="11" t="e">
        <f>J77-J59-J64-J65</f>
        <v>#DIV/0!</v>
      </c>
    </row>
    <row r="59" spans="1:12" x14ac:dyDescent="0.4">
      <c r="A59" s="25"/>
      <c r="B59" s="3"/>
      <c r="H59" s="11"/>
      <c r="I59" s="3" t="s">
        <v>61</v>
      </c>
      <c r="J59" s="11" t="e">
        <f>1.35*F67*C64</f>
        <v>#DIV/0!</v>
      </c>
      <c r="K59" s="3" t="s">
        <v>80</v>
      </c>
      <c r="L59" s="11">
        <f>(C60+C61)*F66</f>
        <v>0</v>
      </c>
    </row>
    <row r="60" spans="1:12" x14ac:dyDescent="0.4">
      <c r="A60" s="25"/>
      <c r="B60" s="3" t="s">
        <v>19</v>
      </c>
      <c r="C60" s="7"/>
      <c r="E60" s="1" t="s">
        <v>24</v>
      </c>
      <c r="F60" s="1">
        <f>C62*3</f>
        <v>0</v>
      </c>
      <c r="H60" s="11"/>
      <c r="I60" s="3" t="s">
        <v>62</v>
      </c>
      <c r="J60" s="11">
        <f>IF(SUM(C60:C61)&gt;0,200000,0)</f>
        <v>0</v>
      </c>
      <c r="K60" s="3" t="s">
        <v>81</v>
      </c>
      <c r="L60" s="11">
        <f>500000*C62</f>
        <v>0</v>
      </c>
    </row>
    <row r="61" spans="1:12" x14ac:dyDescent="0.4">
      <c r="A61" s="25"/>
      <c r="B61" s="3" t="s">
        <v>20</v>
      </c>
      <c r="C61" s="7"/>
      <c r="H61" s="11"/>
      <c r="I61" s="3" t="s">
        <v>63</v>
      </c>
      <c r="J61" s="11">
        <f>C61</f>
        <v>0</v>
      </c>
      <c r="K61" s="3" t="s">
        <v>27</v>
      </c>
      <c r="L61" s="11">
        <f>F63</f>
        <v>0</v>
      </c>
    </row>
    <row r="62" spans="1:12" x14ac:dyDescent="0.4">
      <c r="A62" s="25"/>
      <c r="B62" s="3" t="s">
        <v>21</v>
      </c>
      <c r="E62" s="1" t="s">
        <v>26</v>
      </c>
      <c r="H62" s="11"/>
      <c r="I62" s="3" t="s">
        <v>64</v>
      </c>
      <c r="J62" s="11">
        <f>12000*E52</f>
        <v>0</v>
      </c>
      <c r="K62" s="3" t="s">
        <v>82</v>
      </c>
      <c r="L62" s="11" t="e">
        <f>SUM(L58:L61)</f>
        <v>#DIV/0!</v>
      </c>
    </row>
    <row r="63" spans="1:12" x14ac:dyDescent="0.4">
      <c r="A63" s="25"/>
      <c r="B63" s="3"/>
      <c r="E63" s="1" t="s">
        <v>28</v>
      </c>
      <c r="H63" s="11"/>
      <c r="I63" s="3" t="s">
        <v>65</v>
      </c>
      <c r="J63" s="11">
        <f>100000*C62</f>
        <v>0</v>
      </c>
      <c r="K63" s="3" t="s">
        <v>83</v>
      </c>
      <c r="L63" s="11" t="e">
        <f>L57-L62</f>
        <v>#DIV/0!</v>
      </c>
    </row>
    <row r="64" spans="1:12" x14ac:dyDescent="0.4">
      <c r="A64" s="25"/>
      <c r="B64" s="3" t="s">
        <v>22</v>
      </c>
      <c r="C64" s="7"/>
      <c r="E64" s="1" t="s">
        <v>29</v>
      </c>
      <c r="F64" s="1" t="e">
        <f>L65</f>
        <v>#DIV/0!</v>
      </c>
      <c r="H64" s="11"/>
      <c r="I64" s="3" t="s">
        <v>66</v>
      </c>
      <c r="J64" s="11">
        <f>0.025*L45</f>
        <v>85312.5</v>
      </c>
      <c r="K64" s="3" t="s">
        <v>84</v>
      </c>
      <c r="L64" s="11" t="e">
        <f>IF(L74=0,L38+L63,J55/2)</f>
        <v>#DIV/0!</v>
      </c>
    </row>
    <row r="65" spans="1:12" ht="14.25" thickBot="1" x14ac:dyDescent="0.45">
      <c r="A65" s="25"/>
      <c r="B65" s="3" t="s">
        <v>23</v>
      </c>
      <c r="C65" s="7"/>
      <c r="H65" s="11"/>
      <c r="I65" s="3" t="s">
        <v>67</v>
      </c>
      <c r="J65" s="11">
        <f>L44-L70</f>
        <v>0</v>
      </c>
      <c r="K65" s="4" t="s">
        <v>29</v>
      </c>
      <c r="L65" s="12" t="e">
        <f>L38+F62+J55/2-L62</f>
        <v>#DIV/0!</v>
      </c>
    </row>
    <row r="66" spans="1:12" ht="14.25" thickBot="1" x14ac:dyDescent="0.45">
      <c r="A66" s="25"/>
      <c r="B66" s="3"/>
      <c r="E66" s="1" t="s">
        <v>30</v>
      </c>
      <c r="H66" s="11"/>
      <c r="I66" s="3" t="s">
        <v>68</v>
      </c>
      <c r="J66" s="11">
        <f>SUM(D55:D58)</f>
        <v>0</v>
      </c>
      <c r="L66" s="11"/>
    </row>
    <row r="67" spans="1:12" ht="14.25" thickBot="1" x14ac:dyDescent="0.45">
      <c r="A67" s="25"/>
      <c r="B67" s="3"/>
      <c r="E67" s="1" t="s">
        <v>31</v>
      </c>
      <c r="F67" s="1" t="e">
        <f>(L43+L59)/(F52+C60+C61)</f>
        <v>#DIV/0!</v>
      </c>
      <c r="H67" s="11"/>
      <c r="I67" s="3" t="s">
        <v>69</v>
      </c>
      <c r="J67" s="11">
        <f>0.5*E55+0.1*E56+0.4*(E57+E58)</f>
        <v>0</v>
      </c>
      <c r="K67" s="27" t="s">
        <v>17</v>
      </c>
      <c r="L67" s="28"/>
    </row>
    <row r="68" spans="1:12" ht="14.25" thickBot="1" x14ac:dyDescent="0.45">
      <c r="A68" s="25"/>
      <c r="B68" s="4"/>
      <c r="C68" s="8"/>
      <c r="D68" s="8"/>
      <c r="E68" s="8"/>
      <c r="F68" s="8"/>
      <c r="G68" s="8"/>
      <c r="H68" s="12"/>
      <c r="I68" s="3" t="s">
        <v>70</v>
      </c>
      <c r="J68" s="11">
        <f>1500*SUM(F55:F60)</f>
        <v>0</v>
      </c>
      <c r="K68" s="2" t="s">
        <v>85</v>
      </c>
      <c r="L68" s="10" t="e">
        <f>L64</f>
        <v>#DIV/0!</v>
      </c>
    </row>
    <row r="69" spans="1:12" ht="14.25" thickBot="1" x14ac:dyDescent="0.45">
      <c r="A69" s="25"/>
      <c r="B69" s="27" t="s">
        <v>18</v>
      </c>
      <c r="C69" s="29"/>
      <c r="D69" s="29"/>
      <c r="E69" s="29"/>
      <c r="F69" s="29"/>
      <c r="G69" s="29"/>
      <c r="H69" s="28"/>
      <c r="I69" s="3" t="s">
        <v>71</v>
      </c>
      <c r="J69" s="11">
        <f>3750*F60+7500*H52+4500*SUM(F55:F58)+9000*H50</f>
        <v>0</v>
      </c>
      <c r="K69" s="3" t="s">
        <v>86</v>
      </c>
      <c r="L69" s="11" t="e">
        <f>F67*(F52-1.35*C64+SUM(C60:C61))</f>
        <v>#DIV/0!</v>
      </c>
    </row>
    <row r="70" spans="1:12" x14ac:dyDescent="0.4">
      <c r="A70" s="25"/>
      <c r="B70" s="2" t="s">
        <v>32</v>
      </c>
      <c r="C70" s="6" t="s">
        <v>33</v>
      </c>
      <c r="D70" s="6" t="s">
        <v>34</v>
      </c>
      <c r="E70" s="6" t="s">
        <v>35</v>
      </c>
      <c r="F70" s="6" t="s">
        <v>36</v>
      </c>
      <c r="G70" s="6" t="s">
        <v>37</v>
      </c>
      <c r="H70" s="10" t="s">
        <v>38</v>
      </c>
      <c r="I70" s="3" t="s">
        <v>72</v>
      </c>
      <c r="J70" s="11">
        <f>0</f>
        <v>0</v>
      </c>
      <c r="K70" s="3" t="s">
        <v>87</v>
      </c>
      <c r="L70" s="11">
        <f>G50*4</f>
        <v>0</v>
      </c>
    </row>
    <row r="71" spans="1:12" x14ac:dyDescent="0.4">
      <c r="A71" s="25"/>
      <c r="B71" s="3" t="s">
        <v>39</v>
      </c>
      <c r="H71" s="11"/>
      <c r="I71" s="3" t="s">
        <v>73</v>
      </c>
      <c r="J71" s="11" t="e">
        <f>0.1*L43</f>
        <v>#DIV/0!</v>
      </c>
      <c r="K71" s="3" t="s">
        <v>88</v>
      </c>
      <c r="L71" s="11">
        <f>L45-J64+L60</f>
        <v>3327187.5</v>
      </c>
    </row>
    <row r="72" spans="1:12" x14ac:dyDescent="0.4">
      <c r="A72" s="25"/>
      <c r="B72" s="3" t="s">
        <v>40</v>
      </c>
      <c r="C72" s="7"/>
      <c r="D72" s="7"/>
      <c r="E72" s="7"/>
      <c r="G72" s="7"/>
      <c r="H72" s="11"/>
      <c r="I72" s="3" t="s">
        <v>74</v>
      </c>
      <c r="J72" s="11">
        <f>0.5*L44</f>
        <v>0</v>
      </c>
      <c r="K72" s="3" t="s">
        <v>89</v>
      </c>
      <c r="L72" s="11" t="e">
        <f>SUM(L68:L71)</f>
        <v>#DIV/0!</v>
      </c>
    </row>
    <row r="73" spans="1:12" x14ac:dyDescent="0.4">
      <c r="A73" s="25"/>
      <c r="B73" s="3" t="s">
        <v>41</v>
      </c>
      <c r="C73" s="7"/>
      <c r="D73" s="7"/>
      <c r="E73" s="7"/>
      <c r="H73" s="11"/>
      <c r="I73" s="3" t="s">
        <v>75</v>
      </c>
      <c r="J73" s="11" t="e">
        <f>$H$1/4*L73+$H$1/4*3*L48</f>
        <v>#DIV/0!</v>
      </c>
      <c r="K73" s="3" t="s">
        <v>90</v>
      </c>
      <c r="L73" s="11" t="e">
        <f>L49+F62-F63</f>
        <v>#DIV/0!</v>
      </c>
    </row>
    <row r="74" spans="1:12" x14ac:dyDescent="0.4">
      <c r="A74" s="25"/>
      <c r="B74" s="3" t="s">
        <v>42</v>
      </c>
      <c r="C74" s="7"/>
      <c r="D74" s="7"/>
      <c r="E74" s="7"/>
      <c r="H74" s="11"/>
      <c r="I74" s="3" t="s">
        <v>0</v>
      </c>
      <c r="J74" s="11">
        <f>J55/(1+$B$1)*$B$1</f>
        <v>0</v>
      </c>
      <c r="K74" s="3" t="s">
        <v>91</v>
      </c>
      <c r="L74" s="11" t="e">
        <f>IF(L65&gt;0,0,-L65)</f>
        <v>#DIV/0!</v>
      </c>
    </row>
    <row r="75" spans="1:12" x14ac:dyDescent="0.4">
      <c r="A75" s="25"/>
      <c r="B75" s="3" t="s">
        <v>43</v>
      </c>
      <c r="C75" s="1" t="s">
        <v>44</v>
      </c>
      <c r="D75" s="1" t="s">
        <v>45</v>
      </c>
      <c r="E75" s="1" t="s">
        <v>46</v>
      </c>
      <c r="F75" s="1" t="s">
        <v>47</v>
      </c>
      <c r="G75" s="1" t="s">
        <v>48</v>
      </c>
      <c r="H75" s="11" t="s">
        <v>49</v>
      </c>
      <c r="I75" s="3" t="s">
        <v>2</v>
      </c>
      <c r="J75" s="11">
        <f>J74*$D$1</f>
        <v>0</v>
      </c>
      <c r="K75" s="3" t="s">
        <v>92</v>
      </c>
      <c r="L75" s="11" t="e">
        <f>L73+L74</f>
        <v>#DIV/0!</v>
      </c>
    </row>
    <row r="76" spans="1:12" ht="14.25" thickBot="1" x14ac:dyDescent="0.45">
      <c r="A76" s="25"/>
      <c r="B76" s="3"/>
      <c r="C76" s="7"/>
      <c r="D76" s="7"/>
      <c r="E76" s="7"/>
      <c r="G76" s="7"/>
      <c r="H76" s="11"/>
      <c r="I76" s="3" t="s">
        <v>4</v>
      </c>
      <c r="J76" s="11" t="e">
        <f>IF(L78&lt;=0,0,L78)</f>
        <v>#DIV/0!</v>
      </c>
      <c r="K76" s="4" t="s">
        <v>93</v>
      </c>
      <c r="L76" s="12" t="e">
        <f>L72-L75</f>
        <v>#DIV/0!</v>
      </c>
    </row>
    <row r="77" spans="1:12" ht="14.25" thickBot="1" x14ac:dyDescent="0.45">
      <c r="A77" s="25"/>
      <c r="B77" s="3" t="s">
        <v>50</v>
      </c>
      <c r="C77" s="1" t="s">
        <v>51</v>
      </c>
      <c r="D77" s="1" t="s">
        <v>52</v>
      </c>
      <c r="E77" s="1" t="s">
        <v>53</v>
      </c>
      <c r="F77" s="1" t="s">
        <v>54</v>
      </c>
      <c r="G77" s="1" t="s">
        <v>55</v>
      </c>
      <c r="H77" s="11" t="s">
        <v>56</v>
      </c>
      <c r="I77" s="3" t="s">
        <v>76</v>
      </c>
      <c r="J77" s="11" t="e">
        <f>SUM(J56:J76)</f>
        <v>#DIV/0!</v>
      </c>
      <c r="L77" s="11"/>
    </row>
    <row r="78" spans="1:12" ht="14.25" thickBot="1" x14ac:dyDescent="0.45">
      <c r="A78" s="26"/>
      <c r="B78" s="5"/>
      <c r="C78" s="9"/>
      <c r="D78" s="9"/>
      <c r="E78" s="8"/>
      <c r="F78" s="9"/>
      <c r="G78" s="8"/>
      <c r="H78" s="12"/>
      <c r="I78" s="4" t="s">
        <v>77</v>
      </c>
      <c r="J78" s="12" t="e">
        <f>J55-J77</f>
        <v>#DIV/0!</v>
      </c>
      <c r="K78" s="21" t="s">
        <v>5</v>
      </c>
      <c r="L78" s="22" t="e">
        <f>(J55/(1+$B$1)-SUM(J56:J75)+J74)*$F$1</f>
        <v>#DIV/0!</v>
      </c>
    </row>
    <row r="79" spans="1:12" ht="14.25" thickBot="1" x14ac:dyDescent="0.45"/>
    <row r="80" spans="1:12" ht="14.25" thickBot="1" x14ac:dyDescent="0.45">
      <c r="A80" s="24" t="s">
        <v>97</v>
      </c>
      <c r="B80" s="2"/>
      <c r="C80" s="6" t="s">
        <v>11</v>
      </c>
      <c r="D80" s="6" t="s">
        <v>12</v>
      </c>
      <c r="E80" s="6" t="s">
        <v>13</v>
      </c>
      <c r="F80" s="6" t="s">
        <v>14</v>
      </c>
      <c r="G80" s="6"/>
      <c r="H80" s="10"/>
      <c r="I80" s="27" t="s">
        <v>15</v>
      </c>
      <c r="J80" s="28"/>
      <c r="K80" s="27" t="s">
        <v>16</v>
      </c>
      <c r="L80" s="28"/>
    </row>
    <row r="81" spans="1:12" x14ac:dyDescent="0.4">
      <c r="A81" s="25"/>
      <c r="B81" s="3" t="s">
        <v>39</v>
      </c>
      <c r="H81" s="11"/>
      <c r="I81" s="2" t="s">
        <v>57</v>
      </c>
      <c r="J81" s="10">
        <f>C81*(E81+G71-G97)+C82*(E82+G72-G98)+C83*(E83+G73-G99)+C83*(E84+G74-G100)</f>
        <v>0</v>
      </c>
      <c r="K81" s="2" t="s">
        <v>57</v>
      </c>
      <c r="L81" s="10">
        <f>J81</f>
        <v>0</v>
      </c>
    </row>
    <row r="82" spans="1:12" x14ac:dyDescent="0.4">
      <c r="A82" s="25"/>
      <c r="B82" s="3" t="s">
        <v>40</v>
      </c>
      <c r="D82" s="7"/>
      <c r="H82" s="11"/>
      <c r="I82" s="3" t="s">
        <v>58</v>
      </c>
      <c r="J82" s="23">
        <f>C91</f>
        <v>0</v>
      </c>
      <c r="K82" s="3" t="s">
        <v>25</v>
      </c>
      <c r="L82" s="11">
        <f>F88</f>
        <v>0</v>
      </c>
    </row>
    <row r="83" spans="1:12" x14ac:dyDescent="0.4">
      <c r="A83" s="25"/>
      <c r="B83" s="3" t="s">
        <v>41</v>
      </c>
      <c r="D83" s="7"/>
      <c r="H83" s="11"/>
      <c r="I83" s="3" t="s">
        <v>59</v>
      </c>
      <c r="J83" s="11">
        <f>20000</f>
        <v>20000</v>
      </c>
      <c r="K83" s="3" t="s">
        <v>78</v>
      </c>
      <c r="L83" s="11">
        <f>L82+L81</f>
        <v>0</v>
      </c>
    </row>
    <row r="84" spans="1:12" x14ac:dyDescent="0.4">
      <c r="A84" s="25"/>
      <c r="B84" s="3" t="s">
        <v>42</v>
      </c>
      <c r="D84" s="7"/>
      <c r="H84" s="11"/>
      <c r="I84" s="3" t="s">
        <v>60</v>
      </c>
      <c r="J84" s="11">
        <f>1.4*C90</f>
        <v>0</v>
      </c>
      <c r="K84" s="3" t="s">
        <v>79</v>
      </c>
      <c r="L84" s="11" t="e">
        <f>J103-J85-J90-J91</f>
        <v>#DIV/0!</v>
      </c>
    </row>
    <row r="85" spans="1:12" x14ac:dyDescent="0.4">
      <c r="A85" s="25"/>
      <c r="B85" s="3"/>
      <c r="H85" s="11"/>
      <c r="I85" s="3" t="s">
        <v>61</v>
      </c>
      <c r="J85" s="11" t="e">
        <f>1.35*F93*C90</f>
        <v>#DIV/0!</v>
      </c>
      <c r="K85" s="3" t="s">
        <v>80</v>
      </c>
      <c r="L85" s="11">
        <f>(C86+C87)*F92</f>
        <v>0</v>
      </c>
    </row>
    <row r="86" spans="1:12" x14ac:dyDescent="0.4">
      <c r="A86" s="25"/>
      <c r="B86" s="3" t="s">
        <v>19</v>
      </c>
      <c r="C86" s="7"/>
      <c r="E86" s="1" t="s">
        <v>24</v>
      </c>
      <c r="F86" s="1">
        <f>C88*3</f>
        <v>0</v>
      </c>
      <c r="H86" s="11"/>
      <c r="I86" s="3" t="s">
        <v>62</v>
      </c>
      <c r="J86" s="11">
        <f>IF(SUM(C86:C87)&gt;0,200000,0)</f>
        <v>0</v>
      </c>
      <c r="K86" s="3" t="s">
        <v>81</v>
      </c>
      <c r="L86" s="11">
        <f>500000*C88</f>
        <v>0</v>
      </c>
    </row>
    <row r="87" spans="1:12" x14ac:dyDescent="0.4">
      <c r="A87" s="25"/>
      <c r="B87" s="3" t="s">
        <v>20</v>
      </c>
      <c r="C87" s="7"/>
      <c r="H87" s="11"/>
      <c r="I87" s="3" t="s">
        <v>63</v>
      </c>
      <c r="J87" s="11">
        <f>C87</f>
        <v>0</v>
      </c>
      <c r="K87" s="3" t="s">
        <v>27</v>
      </c>
      <c r="L87" s="11">
        <f>F89</f>
        <v>0</v>
      </c>
    </row>
    <row r="88" spans="1:12" x14ac:dyDescent="0.4">
      <c r="A88" s="25"/>
      <c r="B88" s="3" t="s">
        <v>21</v>
      </c>
      <c r="E88" s="1" t="s">
        <v>26</v>
      </c>
      <c r="H88" s="11"/>
      <c r="I88" s="3" t="s">
        <v>64</v>
      </c>
      <c r="J88" s="11">
        <f>12000*E78</f>
        <v>0</v>
      </c>
      <c r="K88" s="3" t="s">
        <v>82</v>
      </c>
      <c r="L88" s="11" t="e">
        <f>SUM(L84:L87)</f>
        <v>#DIV/0!</v>
      </c>
    </row>
    <row r="89" spans="1:12" x14ac:dyDescent="0.4">
      <c r="A89" s="25"/>
      <c r="B89" s="3"/>
      <c r="E89" s="1" t="s">
        <v>28</v>
      </c>
      <c r="H89" s="11"/>
      <c r="I89" s="3" t="s">
        <v>65</v>
      </c>
      <c r="J89" s="11">
        <f>100000*C88</f>
        <v>0</v>
      </c>
      <c r="K89" s="3" t="s">
        <v>83</v>
      </c>
      <c r="L89" s="11" t="e">
        <f>L83-L88</f>
        <v>#DIV/0!</v>
      </c>
    </row>
    <row r="90" spans="1:12" x14ac:dyDescent="0.4">
      <c r="A90" s="25"/>
      <c r="B90" s="3" t="s">
        <v>22</v>
      </c>
      <c r="C90" s="7"/>
      <c r="E90" s="1" t="s">
        <v>29</v>
      </c>
      <c r="F90" s="1" t="e">
        <f>L91</f>
        <v>#DIV/0!</v>
      </c>
      <c r="H90" s="11"/>
      <c r="I90" s="3" t="s">
        <v>66</v>
      </c>
      <c r="J90" s="11">
        <f>0.025*L71</f>
        <v>83179.6875</v>
      </c>
      <c r="K90" s="3" t="s">
        <v>84</v>
      </c>
      <c r="L90" s="11" t="e">
        <f>IF(L100=0,L64+L89,J81/2)</f>
        <v>#DIV/0!</v>
      </c>
    </row>
    <row r="91" spans="1:12" ht="14.25" thickBot="1" x14ac:dyDescent="0.45">
      <c r="A91" s="25"/>
      <c r="B91" s="3" t="s">
        <v>23</v>
      </c>
      <c r="C91" s="7"/>
      <c r="H91" s="11"/>
      <c r="I91" s="3" t="s">
        <v>67</v>
      </c>
      <c r="J91" s="11">
        <f>L70-L96</f>
        <v>0</v>
      </c>
      <c r="K91" s="4" t="s">
        <v>29</v>
      </c>
      <c r="L91" s="12" t="e">
        <f>L64+F88+J81/2-L88</f>
        <v>#DIV/0!</v>
      </c>
    </row>
    <row r="92" spans="1:12" ht="14.25" thickBot="1" x14ac:dyDescent="0.45">
      <c r="A92" s="25"/>
      <c r="B92" s="3"/>
      <c r="E92" s="1" t="s">
        <v>30</v>
      </c>
      <c r="H92" s="11"/>
      <c r="I92" s="3" t="s">
        <v>68</v>
      </c>
      <c r="J92" s="11">
        <f>SUM(D81:D84)</f>
        <v>0</v>
      </c>
      <c r="L92" s="11"/>
    </row>
    <row r="93" spans="1:12" ht="14.25" thickBot="1" x14ac:dyDescent="0.45">
      <c r="A93" s="25"/>
      <c r="B93" s="3"/>
      <c r="E93" s="1" t="s">
        <v>31</v>
      </c>
      <c r="F93" s="1" t="e">
        <f>(L69+L85)/(F78+C86+C87)</f>
        <v>#DIV/0!</v>
      </c>
      <c r="H93" s="11"/>
      <c r="I93" s="3" t="s">
        <v>69</v>
      </c>
      <c r="J93" s="11">
        <f>0.5*E81+0.1*E82+0.4*(E83+E84)</f>
        <v>0</v>
      </c>
      <c r="K93" s="27" t="s">
        <v>17</v>
      </c>
      <c r="L93" s="28"/>
    </row>
    <row r="94" spans="1:12" ht="14.25" thickBot="1" x14ac:dyDescent="0.45">
      <c r="A94" s="25"/>
      <c r="B94" s="4"/>
      <c r="C94" s="8"/>
      <c r="D94" s="8"/>
      <c r="E94" s="8"/>
      <c r="F94" s="8"/>
      <c r="G94" s="8"/>
      <c r="H94" s="12"/>
      <c r="I94" s="3" t="s">
        <v>70</v>
      </c>
      <c r="J94" s="11">
        <f>1500*SUM(F81:F86)</f>
        <v>0</v>
      </c>
      <c r="K94" s="2" t="s">
        <v>85</v>
      </c>
      <c r="L94" s="10" t="e">
        <f>L90</f>
        <v>#DIV/0!</v>
      </c>
    </row>
    <row r="95" spans="1:12" ht="14.25" thickBot="1" x14ac:dyDescent="0.45">
      <c r="A95" s="25"/>
      <c r="B95" s="27" t="s">
        <v>18</v>
      </c>
      <c r="C95" s="29"/>
      <c r="D95" s="29"/>
      <c r="E95" s="29"/>
      <c r="F95" s="29"/>
      <c r="G95" s="29"/>
      <c r="H95" s="28"/>
      <c r="I95" s="3" t="s">
        <v>71</v>
      </c>
      <c r="J95" s="11">
        <f>3750*F86+7500*H78+4500*SUM(F81:F84)+9000*H76</f>
        <v>0</v>
      </c>
      <c r="K95" s="3" t="s">
        <v>86</v>
      </c>
      <c r="L95" s="11" t="e">
        <f>F93*(F78-1.35*C90+SUM(C86:C87))</f>
        <v>#DIV/0!</v>
      </c>
    </row>
    <row r="96" spans="1:12" x14ac:dyDescent="0.4">
      <c r="A96" s="25"/>
      <c r="B96" s="2" t="s">
        <v>32</v>
      </c>
      <c r="C96" s="6" t="s">
        <v>33</v>
      </c>
      <c r="D96" s="6" t="s">
        <v>34</v>
      </c>
      <c r="E96" s="6" t="s">
        <v>35</v>
      </c>
      <c r="F96" s="6" t="s">
        <v>36</v>
      </c>
      <c r="G96" s="6" t="s">
        <v>37</v>
      </c>
      <c r="H96" s="10" t="s">
        <v>38</v>
      </c>
      <c r="I96" s="3" t="s">
        <v>72</v>
      </c>
      <c r="J96" s="11">
        <f>0</f>
        <v>0</v>
      </c>
      <c r="K96" s="3" t="s">
        <v>87</v>
      </c>
      <c r="L96" s="11">
        <f>G76*4</f>
        <v>0</v>
      </c>
    </row>
    <row r="97" spans="1:12" x14ac:dyDescent="0.4">
      <c r="A97" s="25"/>
      <c r="B97" s="3" t="s">
        <v>39</v>
      </c>
      <c r="H97" s="11"/>
      <c r="I97" s="3" t="s">
        <v>73</v>
      </c>
      <c r="J97" s="11" t="e">
        <f>0.1*L69</f>
        <v>#DIV/0!</v>
      </c>
      <c r="K97" s="3" t="s">
        <v>88</v>
      </c>
      <c r="L97" s="11">
        <f>L71-J90+L86</f>
        <v>3244007.8125</v>
      </c>
    </row>
    <row r="98" spans="1:12" x14ac:dyDescent="0.4">
      <c r="A98" s="25"/>
      <c r="B98" s="3" t="s">
        <v>40</v>
      </c>
      <c r="C98" s="7"/>
      <c r="D98" s="7"/>
      <c r="E98" s="7"/>
      <c r="G98" s="7"/>
      <c r="H98" s="11"/>
      <c r="I98" s="3" t="s">
        <v>74</v>
      </c>
      <c r="J98" s="11">
        <f>0.5*L70</f>
        <v>0</v>
      </c>
      <c r="K98" s="3" t="s">
        <v>89</v>
      </c>
      <c r="L98" s="11" t="e">
        <f>SUM(L94:L97)</f>
        <v>#DIV/0!</v>
      </c>
    </row>
    <row r="99" spans="1:12" x14ac:dyDescent="0.4">
      <c r="A99" s="25"/>
      <c r="B99" s="3" t="s">
        <v>41</v>
      </c>
      <c r="C99" s="7"/>
      <c r="D99" s="7"/>
      <c r="E99" s="7"/>
      <c r="H99" s="11"/>
      <c r="I99" s="3" t="s">
        <v>75</v>
      </c>
      <c r="J99" s="11" t="e">
        <f>$H$1/4*L99+$H$1/4*3*L74</f>
        <v>#DIV/0!</v>
      </c>
      <c r="K99" s="3" t="s">
        <v>90</v>
      </c>
      <c r="L99" s="11" t="e">
        <f>L75+F88-F89</f>
        <v>#DIV/0!</v>
      </c>
    </row>
    <row r="100" spans="1:12" x14ac:dyDescent="0.4">
      <c r="A100" s="25"/>
      <c r="B100" s="3" t="s">
        <v>42</v>
      </c>
      <c r="C100" s="7"/>
      <c r="D100" s="7"/>
      <c r="E100" s="7"/>
      <c r="H100" s="11"/>
      <c r="I100" s="3" t="s">
        <v>0</v>
      </c>
      <c r="J100" s="11">
        <f>J81/(1+$B$1)*$B$1</f>
        <v>0</v>
      </c>
      <c r="K100" s="3" t="s">
        <v>91</v>
      </c>
      <c r="L100" s="11" t="e">
        <f>IF(L91&gt;0,0,-L91)</f>
        <v>#DIV/0!</v>
      </c>
    </row>
    <row r="101" spans="1:12" x14ac:dyDescent="0.4">
      <c r="A101" s="25"/>
      <c r="B101" s="3" t="s">
        <v>43</v>
      </c>
      <c r="C101" s="1" t="s">
        <v>44</v>
      </c>
      <c r="D101" s="1" t="s">
        <v>45</v>
      </c>
      <c r="E101" s="1" t="s">
        <v>46</v>
      </c>
      <c r="F101" s="1" t="s">
        <v>47</v>
      </c>
      <c r="G101" s="1" t="s">
        <v>48</v>
      </c>
      <c r="H101" s="11" t="s">
        <v>49</v>
      </c>
      <c r="I101" s="3" t="s">
        <v>2</v>
      </c>
      <c r="J101" s="11">
        <f>J100*$D$1</f>
        <v>0</v>
      </c>
      <c r="K101" s="3" t="s">
        <v>92</v>
      </c>
      <c r="L101" s="11" t="e">
        <f>L99+L100</f>
        <v>#DIV/0!</v>
      </c>
    </row>
    <row r="102" spans="1:12" ht="14.25" thickBot="1" x14ac:dyDescent="0.45">
      <c r="A102" s="25"/>
      <c r="B102" s="3"/>
      <c r="C102" s="7"/>
      <c r="D102" s="7"/>
      <c r="E102" s="7"/>
      <c r="G102" s="7"/>
      <c r="H102" s="11"/>
      <c r="I102" s="3" t="s">
        <v>4</v>
      </c>
      <c r="J102" s="11" t="e">
        <f>IF(L104&lt;=0,0,L104)</f>
        <v>#DIV/0!</v>
      </c>
      <c r="K102" s="4" t="s">
        <v>93</v>
      </c>
      <c r="L102" s="12" t="e">
        <f>L98-L101</f>
        <v>#DIV/0!</v>
      </c>
    </row>
    <row r="103" spans="1:12" ht="14.25" thickBot="1" x14ac:dyDescent="0.45">
      <c r="A103" s="25"/>
      <c r="B103" s="3" t="s">
        <v>50</v>
      </c>
      <c r="C103" s="1" t="s">
        <v>51</v>
      </c>
      <c r="D103" s="1" t="s">
        <v>52</v>
      </c>
      <c r="E103" s="1" t="s">
        <v>53</v>
      </c>
      <c r="F103" s="1" t="s">
        <v>54</v>
      </c>
      <c r="G103" s="1" t="s">
        <v>55</v>
      </c>
      <c r="H103" s="11" t="s">
        <v>56</v>
      </c>
      <c r="I103" s="3" t="s">
        <v>76</v>
      </c>
      <c r="J103" s="11" t="e">
        <f>SUM(J82:J102)</f>
        <v>#DIV/0!</v>
      </c>
      <c r="L103" s="11"/>
    </row>
    <row r="104" spans="1:12" ht="14.25" thickBot="1" x14ac:dyDescent="0.45">
      <c r="A104" s="26"/>
      <c r="B104" s="5"/>
      <c r="C104" s="9"/>
      <c r="D104" s="9"/>
      <c r="E104" s="8"/>
      <c r="F104" s="9"/>
      <c r="G104" s="8"/>
      <c r="H104" s="12"/>
      <c r="I104" s="4" t="s">
        <v>77</v>
      </c>
      <c r="J104" s="12" t="e">
        <f>J81-J103</f>
        <v>#DIV/0!</v>
      </c>
      <c r="K104" s="21" t="s">
        <v>5</v>
      </c>
      <c r="L104" s="22" t="e">
        <f>(J81/(1+$B$1)-SUM(J82:J101)+J100)*$F$1</f>
        <v>#DIV/0!</v>
      </c>
    </row>
    <row r="105" spans="1:12" ht="14.25" thickBot="1" x14ac:dyDescent="0.45"/>
    <row r="106" spans="1:12" ht="14.25" thickBot="1" x14ac:dyDescent="0.45">
      <c r="A106" s="24" t="s">
        <v>98</v>
      </c>
      <c r="B106" s="2"/>
      <c r="C106" s="6" t="s">
        <v>11</v>
      </c>
      <c r="D106" s="6" t="s">
        <v>12</v>
      </c>
      <c r="E106" s="6" t="s">
        <v>13</v>
      </c>
      <c r="F106" s="6" t="s">
        <v>14</v>
      </c>
      <c r="G106" s="6"/>
      <c r="H106" s="10"/>
      <c r="I106" s="27" t="s">
        <v>15</v>
      </c>
      <c r="J106" s="28"/>
      <c r="K106" s="27" t="s">
        <v>16</v>
      </c>
      <c r="L106" s="28"/>
    </row>
    <row r="107" spans="1:12" x14ac:dyDescent="0.4">
      <c r="A107" s="25"/>
      <c r="B107" s="3" t="s">
        <v>39</v>
      </c>
      <c r="H107" s="11"/>
      <c r="I107" s="2" t="s">
        <v>57</v>
      </c>
      <c r="J107" s="10">
        <f>C107*(E107+G97-G123)+C108*(E108+G98-G124)+C109*(E109+G99-G125)+C109*(E110+G100-G126)</f>
        <v>0</v>
      </c>
      <c r="K107" s="2" t="s">
        <v>57</v>
      </c>
      <c r="L107" s="10">
        <f>J107</f>
        <v>0</v>
      </c>
    </row>
    <row r="108" spans="1:12" x14ac:dyDescent="0.4">
      <c r="A108" s="25"/>
      <c r="B108" s="3" t="s">
        <v>40</v>
      </c>
      <c r="D108" s="7"/>
      <c r="H108" s="11"/>
      <c r="I108" s="3" t="s">
        <v>58</v>
      </c>
      <c r="J108" s="23">
        <f>C117</f>
        <v>0</v>
      </c>
      <c r="K108" s="3" t="s">
        <v>25</v>
      </c>
      <c r="L108" s="11">
        <f>F114</f>
        <v>0</v>
      </c>
    </row>
    <row r="109" spans="1:12" x14ac:dyDescent="0.4">
      <c r="A109" s="25"/>
      <c r="B109" s="3" t="s">
        <v>41</v>
      </c>
      <c r="D109" s="7"/>
      <c r="H109" s="11"/>
      <c r="I109" s="3" t="s">
        <v>59</v>
      </c>
      <c r="J109" s="11">
        <f>20000</f>
        <v>20000</v>
      </c>
      <c r="K109" s="3" t="s">
        <v>78</v>
      </c>
      <c r="L109" s="11">
        <f>L108+L107</f>
        <v>0</v>
      </c>
    </row>
    <row r="110" spans="1:12" x14ac:dyDescent="0.4">
      <c r="A110" s="25"/>
      <c r="B110" s="3" t="s">
        <v>42</v>
      </c>
      <c r="D110" s="7"/>
      <c r="H110" s="11"/>
      <c r="I110" s="3" t="s">
        <v>60</v>
      </c>
      <c r="J110" s="11">
        <f>1.4*C116</f>
        <v>0</v>
      </c>
      <c r="K110" s="3" t="s">
        <v>79</v>
      </c>
      <c r="L110" s="11" t="e">
        <f>J129-J111-J116-J117</f>
        <v>#DIV/0!</v>
      </c>
    </row>
    <row r="111" spans="1:12" x14ac:dyDescent="0.4">
      <c r="A111" s="25"/>
      <c r="B111" s="3"/>
      <c r="H111" s="11"/>
      <c r="I111" s="3" t="s">
        <v>61</v>
      </c>
      <c r="J111" s="11" t="e">
        <f>1.35*F119*C116</f>
        <v>#DIV/0!</v>
      </c>
      <c r="K111" s="3" t="s">
        <v>80</v>
      </c>
      <c r="L111" s="11">
        <f>(C112+C113)*F118</f>
        <v>0</v>
      </c>
    </row>
    <row r="112" spans="1:12" x14ac:dyDescent="0.4">
      <c r="A112" s="25"/>
      <c r="B112" s="3" t="s">
        <v>19</v>
      </c>
      <c r="C112" s="7"/>
      <c r="E112" s="1" t="s">
        <v>24</v>
      </c>
      <c r="F112" s="1">
        <f>C114*3</f>
        <v>0</v>
      </c>
      <c r="H112" s="11"/>
      <c r="I112" s="3" t="s">
        <v>62</v>
      </c>
      <c r="J112" s="11">
        <f>IF(SUM(C112:C113)&gt;0,200000,0)</f>
        <v>0</v>
      </c>
      <c r="K112" s="3" t="s">
        <v>81</v>
      </c>
      <c r="L112" s="11">
        <f>500000*C114</f>
        <v>0</v>
      </c>
    </row>
    <row r="113" spans="1:12" x14ac:dyDescent="0.4">
      <c r="A113" s="25"/>
      <c r="B113" s="3" t="s">
        <v>20</v>
      </c>
      <c r="C113" s="7"/>
      <c r="H113" s="11"/>
      <c r="I113" s="3" t="s">
        <v>63</v>
      </c>
      <c r="J113" s="11">
        <f>C113</f>
        <v>0</v>
      </c>
      <c r="K113" s="3" t="s">
        <v>27</v>
      </c>
      <c r="L113" s="11">
        <f>F115</f>
        <v>0</v>
      </c>
    </row>
    <row r="114" spans="1:12" x14ac:dyDescent="0.4">
      <c r="A114" s="25"/>
      <c r="B114" s="3" t="s">
        <v>21</v>
      </c>
      <c r="E114" s="1" t="s">
        <v>26</v>
      </c>
      <c r="H114" s="11"/>
      <c r="I114" s="3" t="s">
        <v>64</v>
      </c>
      <c r="J114" s="11">
        <f>12000*E104</f>
        <v>0</v>
      </c>
      <c r="K114" s="3" t="s">
        <v>82</v>
      </c>
      <c r="L114" s="11" t="e">
        <f>SUM(L110:L113)</f>
        <v>#DIV/0!</v>
      </c>
    </row>
    <row r="115" spans="1:12" x14ac:dyDescent="0.4">
      <c r="A115" s="25"/>
      <c r="B115" s="3"/>
      <c r="E115" s="1" t="s">
        <v>28</v>
      </c>
      <c r="H115" s="11"/>
      <c r="I115" s="3" t="s">
        <v>65</v>
      </c>
      <c r="J115" s="11">
        <f>100000*C114</f>
        <v>0</v>
      </c>
      <c r="K115" s="3" t="s">
        <v>83</v>
      </c>
      <c r="L115" s="11" t="e">
        <f>L109-L114</f>
        <v>#DIV/0!</v>
      </c>
    </row>
    <row r="116" spans="1:12" x14ac:dyDescent="0.4">
      <c r="A116" s="25"/>
      <c r="B116" s="3" t="s">
        <v>22</v>
      </c>
      <c r="C116" s="7"/>
      <c r="E116" s="1" t="s">
        <v>29</v>
      </c>
      <c r="F116" s="1" t="e">
        <f>L117</f>
        <v>#DIV/0!</v>
      </c>
      <c r="H116" s="11"/>
      <c r="I116" s="3" t="s">
        <v>66</v>
      </c>
      <c r="J116" s="11">
        <f>0.025*L97</f>
        <v>81100.1953125</v>
      </c>
      <c r="K116" s="3" t="s">
        <v>84</v>
      </c>
      <c r="L116" s="11" t="e">
        <f>IF(L126=0,L90+L115,J107/2)</f>
        <v>#DIV/0!</v>
      </c>
    </row>
    <row r="117" spans="1:12" ht="14.25" thickBot="1" x14ac:dyDescent="0.45">
      <c r="A117" s="25"/>
      <c r="B117" s="3" t="s">
        <v>23</v>
      </c>
      <c r="C117" s="7"/>
      <c r="H117" s="11"/>
      <c r="I117" s="3" t="s">
        <v>67</v>
      </c>
      <c r="J117" s="11">
        <f>L96-L122</f>
        <v>0</v>
      </c>
      <c r="K117" s="4" t="s">
        <v>29</v>
      </c>
      <c r="L117" s="12" t="e">
        <f>L90+F114+J107/2-L114</f>
        <v>#DIV/0!</v>
      </c>
    </row>
    <row r="118" spans="1:12" ht="14.25" thickBot="1" x14ac:dyDescent="0.45">
      <c r="A118" s="25"/>
      <c r="B118" s="3"/>
      <c r="E118" s="1" t="s">
        <v>30</v>
      </c>
      <c r="H118" s="11"/>
      <c r="I118" s="3" t="s">
        <v>68</v>
      </c>
      <c r="J118" s="11">
        <f>SUM(D107:D110)</f>
        <v>0</v>
      </c>
      <c r="L118" s="11"/>
    </row>
    <row r="119" spans="1:12" ht="14.25" thickBot="1" x14ac:dyDescent="0.45">
      <c r="A119" s="25"/>
      <c r="B119" s="3"/>
      <c r="E119" s="1" t="s">
        <v>31</v>
      </c>
      <c r="F119" s="1" t="e">
        <f>(L95+L111)/(F104+C112+C113)</f>
        <v>#DIV/0!</v>
      </c>
      <c r="H119" s="11"/>
      <c r="I119" s="3" t="s">
        <v>69</v>
      </c>
      <c r="J119" s="11">
        <f>0.5*E107+0.1*E108+0.4*(E109+E110)</f>
        <v>0</v>
      </c>
      <c r="K119" s="27" t="s">
        <v>17</v>
      </c>
      <c r="L119" s="28"/>
    </row>
    <row r="120" spans="1:12" ht="14.25" thickBot="1" x14ac:dyDescent="0.45">
      <c r="A120" s="25"/>
      <c r="B120" s="4"/>
      <c r="C120" s="8"/>
      <c r="D120" s="8"/>
      <c r="E120" s="8"/>
      <c r="F120" s="8"/>
      <c r="G120" s="8"/>
      <c r="H120" s="12"/>
      <c r="I120" s="3" t="s">
        <v>70</v>
      </c>
      <c r="J120" s="11">
        <f>1500*SUM(F107:F112)</f>
        <v>0</v>
      </c>
      <c r="K120" s="2" t="s">
        <v>85</v>
      </c>
      <c r="L120" s="10" t="e">
        <f>L116</f>
        <v>#DIV/0!</v>
      </c>
    </row>
    <row r="121" spans="1:12" ht="14.25" thickBot="1" x14ac:dyDescent="0.45">
      <c r="A121" s="25"/>
      <c r="B121" s="27" t="s">
        <v>18</v>
      </c>
      <c r="C121" s="29"/>
      <c r="D121" s="29"/>
      <c r="E121" s="29"/>
      <c r="F121" s="29"/>
      <c r="G121" s="29"/>
      <c r="H121" s="28"/>
      <c r="I121" s="3" t="s">
        <v>71</v>
      </c>
      <c r="J121" s="11">
        <f>3750*F112+7500*H104+4500*SUM(F107:F110)+9000*H102</f>
        <v>0</v>
      </c>
      <c r="K121" s="3" t="s">
        <v>86</v>
      </c>
      <c r="L121" s="11" t="e">
        <f>F119*(F104-1.35*C116+SUM(C112:C113))</f>
        <v>#DIV/0!</v>
      </c>
    </row>
    <row r="122" spans="1:12" x14ac:dyDescent="0.4">
      <c r="A122" s="25"/>
      <c r="B122" s="2" t="s">
        <v>32</v>
      </c>
      <c r="C122" s="6" t="s">
        <v>33</v>
      </c>
      <c r="D122" s="6" t="s">
        <v>34</v>
      </c>
      <c r="E122" s="6" t="s">
        <v>35</v>
      </c>
      <c r="F122" s="6" t="s">
        <v>36</v>
      </c>
      <c r="G122" s="6" t="s">
        <v>37</v>
      </c>
      <c r="H122" s="10" t="s">
        <v>38</v>
      </c>
      <c r="I122" s="3" t="s">
        <v>72</v>
      </c>
      <c r="J122" s="11">
        <f>0</f>
        <v>0</v>
      </c>
      <c r="K122" s="3" t="s">
        <v>87</v>
      </c>
      <c r="L122" s="11">
        <f>G102*4</f>
        <v>0</v>
      </c>
    </row>
    <row r="123" spans="1:12" x14ac:dyDescent="0.4">
      <c r="A123" s="25"/>
      <c r="B123" s="3" t="s">
        <v>39</v>
      </c>
      <c r="H123" s="11"/>
      <c r="I123" s="3" t="s">
        <v>73</v>
      </c>
      <c r="J123" s="11" t="e">
        <f>0.1*L95</f>
        <v>#DIV/0!</v>
      </c>
      <c r="K123" s="3" t="s">
        <v>88</v>
      </c>
      <c r="L123" s="11">
        <f>L97-J116+L112</f>
        <v>3162907.6171875</v>
      </c>
    </row>
    <row r="124" spans="1:12" x14ac:dyDescent="0.4">
      <c r="A124" s="25"/>
      <c r="B124" s="3" t="s">
        <v>40</v>
      </c>
      <c r="C124" s="7"/>
      <c r="D124" s="7"/>
      <c r="E124" s="7"/>
      <c r="G124" s="7"/>
      <c r="H124" s="11"/>
      <c r="I124" s="3" t="s">
        <v>74</v>
      </c>
      <c r="J124" s="11">
        <f>0.5*L96</f>
        <v>0</v>
      </c>
      <c r="K124" s="3" t="s">
        <v>89</v>
      </c>
      <c r="L124" s="11" t="e">
        <f>SUM(L120:L123)</f>
        <v>#DIV/0!</v>
      </c>
    </row>
    <row r="125" spans="1:12" x14ac:dyDescent="0.4">
      <c r="A125" s="25"/>
      <c r="B125" s="3" t="s">
        <v>41</v>
      </c>
      <c r="C125" s="7"/>
      <c r="D125" s="7"/>
      <c r="E125" s="7"/>
      <c r="H125" s="11"/>
      <c r="I125" s="3" t="s">
        <v>75</v>
      </c>
      <c r="J125" s="11" t="e">
        <f>$H$1/4*L125+$H$1/4*3*L100</f>
        <v>#DIV/0!</v>
      </c>
      <c r="K125" s="3" t="s">
        <v>90</v>
      </c>
      <c r="L125" s="11" t="e">
        <f>L101+F114-F115</f>
        <v>#DIV/0!</v>
      </c>
    </row>
    <row r="126" spans="1:12" x14ac:dyDescent="0.4">
      <c r="A126" s="25"/>
      <c r="B126" s="3" t="s">
        <v>42</v>
      </c>
      <c r="C126" s="7"/>
      <c r="D126" s="7"/>
      <c r="E126" s="7"/>
      <c r="H126" s="11"/>
      <c r="I126" s="3" t="s">
        <v>0</v>
      </c>
      <c r="J126" s="11">
        <f>J107/(1+$B$1)*$B$1</f>
        <v>0</v>
      </c>
      <c r="K126" s="3" t="s">
        <v>91</v>
      </c>
      <c r="L126" s="11" t="e">
        <f>IF(L117&gt;0,0,-L117)</f>
        <v>#DIV/0!</v>
      </c>
    </row>
    <row r="127" spans="1:12" x14ac:dyDescent="0.4">
      <c r="A127" s="25"/>
      <c r="B127" s="3" t="s">
        <v>43</v>
      </c>
      <c r="C127" s="1" t="s">
        <v>44</v>
      </c>
      <c r="D127" s="1" t="s">
        <v>45</v>
      </c>
      <c r="E127" s="1" t="s">
        <v>46</v>
      </c>
      <c r="F127" s="1" t="s">
        <v>47</v>
      </c>
      <c r="G127" s="1" t="s">
        <v>48</v>
      </c>
      <c r="H127" s="11" t="s">
        <v>49</v>
      </c>
      <c r="I127" s="3" t="s">
        <v>2</v>
      </c>
      <c r="J127" s="11">
        <f>J126*$D$1</f>
        <v>0</v>
      </c>
      <c r="K127" s="3" t="s">
        <v>92</v>
      </c>
      <c r="L127" s="11" t="e">
        <f>L125+L126</f>
        <v>#DIV/0!</v>
      </c>
    </row>
    <row r="128" spans="1:12" ht="14.25" thickBot="1" x14ac:dyDescent="0.45">
      <c r="A128" s="25"/>
      <c r="B128" s="3"/>
      <c r="C128" s="7"/>
      <c r="D128" s="7"/>
      <c r="E128" s="7"/>
      <c r="G128" s="7"/>
      <c r="H128" s="11"/>
      <c r="I128" s="3" t="s">
        <v>4</v>
      </c>
      <c r="J128" s="11" t="e">
        <f>IF(L130&lt;=0,0,L130)</f>
        <v>#DIV/0!</v>
      </c>
      <c r="K128" s="4" t="s">
        <v>93</v>
      </c>
      <c r="L128" s="12" t="e">
        <f>L124-L127</f>
        <v>#DIV/0!</v>
      </c>
    </row>
    <row r="129" spans="1:12" ht="14.25" thickBot="1" x14ac:dyDescent="0.45">
      <c r="A129" s="25"/>
      <c r="B129" s="3" t="s">
        <v>50</v>
      </c>
      <c r="C129" s="1" t="s">
        <v>51</v>
      </c>
      <c r="D129" s="1" t="s">
        <v>52</v>
      </c>
      <c r="E129" s="1" t="s">
        <v>53</v>
      </c>
      <c r="F129" s="1" t="s">
        <v>54</v>
      </c>
      <c r="G129" s="1" t="s">
        <v>55</v>
      </c>
      <c r="H129" s="11" t="s">
        <v>56</v>
      </c>
      <c r="I129" s="3" t="s">
        <v>76</v>
      </c>
      <c r="J129" s="11" t="e">
        <f>SUM(J108:J128)</f>
        <v>#DIV/0!</v>
      </c>
      <c r="L129" s="11"/>
    </row>
    <row r="130" spans="1:12" ht="14.25" thickBot="1" x14ac:dyDescent="0.45">
      <c r="A130" s="26"/>
      <c r="B130" s="5"/>
      <c r="C130" s="9"/>
      <c r="D130" s="9"/>
      <c r="E130" s="8"/>
      <c r="F130" s="9"/>
      <c r="G130" s="8"/>
      <c r="H130" s="12"/>
      <c r="I130" s="4" t="s">
        <v>77</v>
      </c>
      <c r="J130" s="12" t="e">
        <f>J107-J129</f>
        <v>#DIV/0!</v>
      </c>
      <c r="K130" s="21" t="s">
        <v>5</v>
      </c>
      <c r="L130" s="22" t="e">
        <f>(J107/(1+$B$1)-SUM(J108:J127)+J126)*$F$1</f>
        <v>#DIV/0!</v>
      </c>
    </row>
    <row r="131" spans="1:12" ht="14.25" thickBot="1" x14ac:dyDescent="0.45"/>
    <row r="132" spans="1:12" ht="14.25" thickBot="1" x14ac:dyDescent="0.45">
      <c r="A132" s="24" t="s">
        <v>99</v>
      </c>
      <c r="B132" s="2"/>
      <c r="C132" s="6" t="s">
        <v>11</v>
      </c>
      <c r="D132" s="6" t="s">
        <v>12</v>
      </c>
      <c r="E132" s="6" t="s">
        <v>13</v>
      </c>
      <c r="F132" s="6" t="s">
        <v>14</v>
      </c>
      <c r="G132" s="6"/>
      <c r="H132" s="10"/>
      <c r="I132" s="27" t="s">
        <v>15</v>
      </c>
      <c r="J132" s="28"/>
      <c r="K132" s="27" t="s">
        <v>16</v>
      </c>
      <c r="L132" s="28"/>
    </row>
    <row r="133" spans="1:12" x14ac:dyDescent="0.4">
      <c r="A133" s="25"/>
      <c r="B133" s="3" t="s">
        <v>39</v>
      </c>
      <c r="H133" s="11"/>
      <c r="I133" s="2" t="s">
        <v>57</v>
      </c>
      <c r="J133" s="10">
        <f>C133*(E133+G123-G149)+C134*(E134+G124-G150)+C135*(E135+G125-G151)+C135*(E136+G126-G152)</f>
        <v>0</v>
      </c>
      <c r="K133" s="2" t="s">
        <v>57</v>
      </c>
      <c r="L133" s="10">
        <f>J133</f>
        <v>0</v>
      </c>
    </row>
    <row r="134" spans="1:12" x14ac:dyDescent="0.4">
      <c r="A134" s="25"/>
      <c r="B134" s="3" t="s">
        <v>40</v>
      </c>
      <c r="D134" s="7"/>
      <c r="H134" s="11"/>
      <c r="I134" s="3" t="s">
        <v>58</v>
      </c>
      <c r="J134" s="23">
        <f>C143</f>
        <v>0</v>
      </c>
      <c r="K134" s="3" t="s">
        <v>25</v>
      </c>
      <c r="L134" s="11">
        <f>F140</f>
        <v>0</v>
      </c>
    </row>
    <row r="135" spans="1:12" x14ac:dyDescent="0.4">
      <c r="A135" s="25"/>
      <c r="B135" s="3" t="s">
        <v>41</v>
      </c>
      <c r="D135" s="7"/>
      <c r="H135" s="11"/>
      <c r="I135" s="3" t="s">
        <v>59</v>
      </c>
      <c r="J135" s="11">
        <f>20000</f>
        <v>20000</v>
      </c>
      <c r="K135" s="3" t="s">
        <v>78</v>
      </c>
      <c r="L135" s="11">
        <f>L134+L133</f>
        <v>0</v>
      </c>
    </row>
    <row r="136" spans="1:12" x14ac:dyDescent="0.4">
      <c r="A136" s="25"/>
      <c r="B136" s="3" t="s">
        <v>42</v>
      </c>
      <c r="D136" s="7"/>
      <c r="H136" s="11"/>
      <c r="I136" s="3" t="s">
        <v>60</v>
      </c>
      <c r="J136" s="11">
        <f>1.4*C142</f>
        <v>0</v>
      </c>
      <c r="K136" s="3" t="s">
        <v>79</v>
      </c>
      <c r="L136" s="11" t="e">
        <f>J155-J137-J142-J143</f>
        <v>#DIV/0!</v>
      </c>
    </row>
    <row r="137" spans="1:12" x14ac:dyDescent="0.4">
      <c r="A137" s="25"/>
      <c r="B137" s="3"/>
      <c r="H137" s="11"/>
      <c r="I137" s="3" t="s">
        <v>61</v>
      </c>
      <c r="J137" s="11" t="e">
        <f>1.35*F145*C142</f>
        <v>#DIV/0!</v>
      </c>
      <c r="K137" s="3" t="s">
        <v>80</v>
      </c>
      <c r="L137" s="11">
        <f>(C138+C139)*F144</f>
        <v>0</v>
      </c>
    </row>
    <row r="138" spans="1:12" x14ac:dyDescent="0.4">
      <c r="A138" s="25"/>
      <c r="B138" s="3" t="s">
        <v>19</v>
      </c>
      <c r="C138" s="7"/>
      <c r="E138" s="1" t="s">
        <v>24</v>
      </c>
      <c r="F138" s="1">
        <f>C140*3</f>
        <v>0</v>
      </c>
      <c r="H138" s="11"/>
      <c r="I138" s="3" t="s">
        <v>62</v>
      </c>
      <c r="J138" s="11">
        <f>IF(SUM(C138:C139)&gt;0,200000,0)</f>
        <v>0</v>
      </c>
      <c r="K138" s="3" t="s">
        <v>81</v>
      </c>
      <c r="L138" s="11">
        <f>500000*C140</f>
        <v>0</v>
      </c>
    </row>
    <row r="139" spans="1:12" x14ac:dyDescent="0.4">
      <c r="A139" s="25"/>
      <c r="B139" s="3" t="s">
        <v>20</v>
      </c>
      <c r="C139" s="7"/>
      <c r="H139" s="11"/>
      <c r="I139" s="3" t="s">
        <v>63</v>
      </c>
      <c r="J139" s="11">
        <f>C139</f>
        <v>0</v>
      </c>
      <c r="K139" s="3" t="s">
        <v>27</v>
      </c>
      <c r="L139" s="11">
        <f>F141</f>
        <v>0</v>
      </c>
    </row>
    <row r="140" spans="1:12" x14ac:dyDescent="0.4">
      <c r="A140" s="25"/>
      <c r="B140" s="3" t="s">
        <v>21</v>
      </c>
      <c r="E140" s="1" t="s">
        <v>26</v>
      </c>
      <c r="H140" s="11"/>
      <c r="I140" s="3" t="s">
        <v>64</v>
      </c>
      <c r="J140" s="11">
        <f>12000*E130</f>
        <v>0</v>
      </c>
      <c r="K140" s="3" t="s">
        <v>82</v>
      </c>
      <c r="L140" s="11" t="e">
        <f>SUM(L136:L139)</f>
        <v>#DIV/0!</v>
      </c>
    </row>
    <row r="141" spans="1:12" x14ac:dyDescent="0.4">
      <c r="A141" s="25"/>
      <c r="B141" s="3"/>
      <c r="E141" s="1" t="s">
        <v>28</v>
      </c>
      <c r="H141" s="11"/>
      <c r="I141" s="3" t="s">
        <v>65</v>
      </c>
      <c r="J141" s="11">
        <f>100000*C140</f>
        <v>0</v>
      </c>
      <c r="K141" s="3" t="s">
        <v>83</v>
      </c>
      <c r="L141" s="11" t="e">
        <f>L135-L140</f>
        <v>#DIV/0!</v>
      </c>
    </row>
    <row r="142" spans="1:12" x14ac:dyDescent="0.4">
      <c r="A142" s="25"/>
      <c r="B142" s="3" t="s">
        <v>22</v>
      </c>
      <c r="C142" s="7"/>
      <c r="E142" s="1" t="s">
        <v>29</v>
      </c>
      <c r="F142" s="1" t="e">
        <f>L143</f>
        <v>#DIV/0!</v>
      </c>
      <c r="H142" s="11"/>
      <c r="I142" s="3" t="s">
        <v>66</v>
      </c>
      <c r="J142" s="11">
        <f>0.025*L123</f>
        <v>79072.6904296875</v>
      </c>
      <c r="K142" s="3" t="s">
        <v>84</v>
      </c>
      <c r="L142" s="11" t="e">
        <f>IF(L152=0,L116+L141,J133/2)</f>
        <v>#DIV/0!</v>
      </c>
    </row>
    <row r="143" spans="1:12" ht="14.25" thickBot="1" x14ac:dyDescent="0.45">
      <c r="A143" s="25"/>
      <c r="B143" s="3" t="s">
        <v>23</v>
      </c>
      <c r="C143" s="7"/>
      <c r="H143" s="11"/>
      <c r="I143" s="3" t="s">
        <v>67</v>
      </c>
      <c r="J143" s="11">
        <f>L122-L148</f>
        <v>0</v>
      </c>
      <c r="K143" s="4" t="s">
        <v>29</v>
      </c>
      <c r="L143" s="12" t="e">
        <f>L116+F140+J133/2-L140</f>
        <v>#DIV/0!</v>
      </c>
    </row>
    <row r="144" spans="1:12" ht="14.25" thickBot="1" x14ac:dyDescent="0.45">
      <c r="A144" s="25"/>
      <c r="B144" s="3"/>
      <c r="E144" s="1" t="s">
        <v>30</v>
      </c>
      <c r="H144" s="11"/>
      <c r="I144" s="3" t="s">
        <v>68</v>
      </c>
      <c r="J144" s="11">
        <f>SUM(D133:D136)</f>
        <v>0</v>
      </c>
      <c r="L144" s="11"/>
    </row>
    <row r="145" spans="1:12" ht="14.25" thickBot="1" x14ac:dyDescent="0.45">
      <c r="A145" s="25"/>
      <c r="B145" s="3"/>
      <c r="E145" s="1" t="s">
        <v>31</v>
      </c>
      <c r="F145" s="1" t="e">
        <f>(L121+L137)/(F130+C138+C139)</f>
        <v>#DIV/0!</v>
      </c>
      <c r="H145" s="11"/>
      <c r="I145" s="3" t="s">
        <v>69</v>
      </c>
      <c r="J145" s="11">
        <f>0.5*E133+0.1*E134+0.4*(E135+E136)</f>
        <v>0</v>
      </c>
      <c r="K145" s="27" t="s">
        <v>17</v>
      </c>
      <c r="L145" s="28"/>
    </row>
    <row r="146" spans="1:12" ht="14.25" thickBot="1" x14ac:dyDescent="0.45">
      <c r="A146" s="25"/>
      <c r="B146" s="4"/>
      <c r="C146" s="8"/>
      <c r="D146" s="8"/>
      <c r="E146" s="8"/>
      <c r="F146" s="8"/>
      <c r="G146" s="8"/>
      <c r="H146" s="12"/>
      <c r="I146" s="3" t="s">
        <v>70</v>
      </c>
      <c r="J146" s="11">
        <f>1500*SUM(F133:F138)</f>
        <v>0</v>
      </c>
      <c r="K146" s="2" t="s">
        <v>85</v>
      </c>
      <c r="L146" s="10" t="e">
        <f>L142</f>
        <v>#DIV/0!</v>
      </c>
    </row>
    <row r="147" spans="1:12" ht="14.25" thickBot="1" x14ac:dyDescent="0.45">
      <c r="A147" s="25"/>
      <c r="B147" s="27" t="s">
        <v>18</v>
      </c>
      <c r="C147" s="29"/>
      <c r="D147" s="29"/>
      <c r="E147" s="29"/>
      <c r="F147" s="29"/>
      <c r="G147" s="29"/>
      <c r="H147" s="28"/>
      <c r="I147" s="3" t="s">
        <v>71</v>
      </c>
      <c r="J147" s="11">
        <f>3750*F138+7500*H130+4500*SUM(F133:F136)+9000*H128</f>
        <v>0</v>
      </c>
      <c r="K147" s="3" t="s">
        <v>86</v>
      </c>
      <c r="L147" s="11" t="e">
        <f>F145*(F130-1.35*C142+SUM(C138:C139))</f>
        <v>#DIV/0!</v>
      </c>
    </row>
    <row r="148" spans="1:12" x14ac:dyDescent="0.4">
      <c r="A148" s="25"/>
      <c r="B148" s="2" t="s">
        <v>32</v>
      </c>
      <c r="C148" s="6" t="s">
        <v>33</v>
      </c>
      <c r="D148" s="6" t="s">
        <v>34</v>
      </c>
      <c r="E148" s="6" t="s">
        <v>35</v>
      </c>
      <c r="F148" s="6" t="s">
        <v>36</v>
      </c>
      <c r="G148" s="6" t="s">
        <v>37</v>
      </c>
      <c r="H148" s="10" t="s">
        <v>38</v>
      </c>
      <c r="I148" s="3" t="s">
        <v>72</v>
      </c>
      <c r="J148" s="11">
        <f>0</f>
        <v>0</v>
      </c>
      <c r="K148" s="3" t="s">
        <v>87</v>
      </c>
      <c r="L148" s="11">
        <f>G128*4</f>
        <v>0</v>
      </c>
    </row>
    <row r="149" spans="1:12" x14ac:dyDescent="0.4">
      <c r="A149" s="25"/>
      <c r="B149" s="3" t="s">
        <v>39</v>
      </c>
      <c r="H149" s="11"/>
      <c r="I149" s="3" t="s">
        <v>73</v>
      </c>
      <c r="J149" s="11" t="e">
        <f>0.1*L121</f>
        <v>#DIV/0!</v>
      </c>
      <c r="K149" s="3" t="s">
        <v>88</v>
      </c>
      <c r="L149" s="11">
        <f>L123-J142+L138</f>
        <v>3083834.9267578125</v>
      </c>
    </row>
    <row r="150" spans="1:12" x14ac:dyDescent="0.4">
      <c r="A150" s="25"/>
      <c r="B150" s="3" t="s">
        <v>40</v>
      </c>
      <c r="C150" s="7"/>
      <c r="D150" s="7"/>
      <c r="E150" s="7"/>
      <c r="G150" s="7"/>
      <c r="H150" s="11"/>
      <c r="I150" s="3" t="s">
        <v>74</v>
      </c>
      <c r="J150" s="11">
        <f>0.5*L122</f>
        <v>0</v>
      </c>
      <c r="K150" s="3" t="s">
        <v>89</v>
      </c>
      <c r="L150" s="11" t="e">
        <f>SUM(L146:L149)</f>
        <v>#DIV/0!</v>
      </c>
    </row>
    <row r="151" spans="1:12" x14ac:dyDescent="0.4">
      <c r="A151" s="25"/>
      <c r="B151" s="3" t="s">
        <v>41</v>
      </c>
      <c r="C151" s="7"/>
      <c r="D151" s="7"/>
      <c r="E151" s="7"/>
      <c r="H151" s="11"/>
      <c r="I151" s="3" t="s">
        <v>75</v>
      </c>
      <c r="J151" s="11" t="e">
        <f>$H$1/4*L151+$H$1/4*3*L126</f>
        <v>#DIV/0!</v>
      </c>
      <c r="K151" s="3" t="s">
        <v>90</v>
      </c>
      <c r="L151" s="11" t="e">
        <f>L127+F140-F141</f>
        <v>#DIV/0!</v>
      </c>
    </row>
    <row r="152" spans="1:12" x14ac:dyDescent="0.4">
      <c r="A152" s="25"/>
      <c r="B152" s="3" t="s">
        <v>42</v>
      </c>
      <c r="C152" s="7"/>
      <c r="D152" s="7"/>
      <c r="E152" s="7"/>
      <c r="H152" s="11"/>
      <c r="I152" s="3" t="s">
        <v>0</v>
      </c>
      <c r="J152" s="11">
        <f>J133/(1+$B$1)*$B$1</f>
        <v>0</v>
      </c>
      <c r="K152" s="3" t="s">
        <v>91</v>
      </c>
      <c r="L152" s="11" t="e">
        <f>IF(L143&gt;0,0,-L143)</f>
        <v>#DIV/0!</v>
      </c>
    </row>
    <row r="153" spans="1:12" x14ac:dyDescent="0.4">
      <c r="A153" s="25"/>
      <c r="B153" s="3" t="s">
        <v>43</v>
      </c>
      <c r="C153" s="1" t="s">
        <v>44</v>
      </c>
      <c r="D153" s="1" t="s">
        <v>45</v>
      </c>
      <c r="E153" s="1" t="s">
        <v>46</v>
      </c>
      <c r="F153" s="1" t="s">
        <v>47</v>
      </c>
      <c r="G153" s="1" t="s">
        <v>48</v>
      </c>
      <c r="H153" s="11" t="s">
        <v>49</v>
      </c>
      <c r="I153" s="3" t="s">
        <v>2</v>
      </c>
      <c r="J153" s="11">
        <f>J152*$D$1</f>
        <v>0</v>
      </c>
      <c r="K153" s="3" t="s">
        <v>92</v>
      </c>
      <c r="L153" s="11" t="e">
        <f>L151+L152</f>
        <v>#DIV/0!</v>
      </c>
    </row>
    <row r="154" spans="1:12" ht="14.25" thickBot="1" x14ac:dyDescent="0.45">
      <c r="A154" s="25"/>
      <c r="B154" s="3"/>
      <c r="C154" s="7"/>
      <c r="D154" s="7"/>
      <c r="E154" s="7"/>
      <c r="G154" s="7"/>
      <c r="H154" s="11"/>
      <c r="I154" s="3" t="s">
        <v>4</v>
      </c>
      <c r="J154" s="11" t="e">
        <f>IF(L156&lt;=0,0,L156)</f>
        <v>#DIV/0!</v>
      </c>
      <c r="K154" s="4" t="s">
        <v>93</v>
      </c>
      <c r="L154" s="12" t="e">
        <f>L150-L153</f>
        <v>#DIV/0!</v>
      </c>
    </row>
    <row r="155" spans="1:12" ht="14.25" thickBot="1" x14ac:dyDescent="0.45">
      <c r="A155" s="25"/>
      <c r="B155" s="3" t="s">
        <v>50</v>
      </c>
      <c r="C155" s="1" t="s">
        <v>51</v>
      </c>
      <c r="D155" s="1" t="s">
        <v>52</v>
      </c>
      <c r="E155" s="1" t="s">
        <v>53</v>
      </c>
      <c r="F155" s="1" t="s">
        <v>54</v>
      </c>
      <c r="G155" s="1" t="s">
        <v>55</v>
      </c>
      <c r="H155" s="11" t="s">
        <v>56</v>
      </c>
      <c r="I155" s="3" t="s">
        <v>76</v>
      </c>
      <c r="J155" s="11" t="e">
        <f>SUM(J134:J154)</f>
        <v>#DIV/0!</v>
      </c>
      <c r="L155" s="11"/>
    </row>
    <row r="156" spans="1:12" ht="14.25" thickBot="1" x14ac:dyDescent="0.45">
      <c r="A156" s="26"/>
      <c r="B156" s="5"/>
      <c r="C156" s="9"/>
      <c r="D156" s="9"/>
      <c r="E156" s="8"/>
      <c r="F156" s="9"/>
      <c r="G156" s="8"/>
      <c r="H156" s="12"/>
      <c r="I156" s="4" t="s">
        <v>77</v>
      </c>
      <c r="J156" s="12" t="e">
        <f>J133-J155</f>
        <v>#DIV/0!</v>
      </c>
      <c r="K156" s="21" t="s">
        <v>5</v>
      </c>
      <c r="L156" s="22" t="e">
        <f>(J133/(1+$B$1)-SUM(J134:J153)+J152)*$F$1</f>
        <v>#DIV/0!</v>
      </c>
    </row>
    <row r="157" spans="1:12" ht="14.25" thickBot="1" x14ac:dyDescent="0.45"/>
    <row r="158" spans="1:12" ht="14.25" thickBot="1" x14ac:dyDescent="0.45">
      <c r="A158" s="24" t="s">
        <v>100</v>
      </c>
      <c r="B158" s="2"/>
      <c r="C158" s="6" t="s">
        <v>11</v>
      </c>
      <c r="D158" s="6" t="s">
        <v>12</v>
      </c>
      <c r="E158" s="6" t="s">
        <v>13</v>
      </c>
      <c r="F158" s="6" t="s">
        <v>14</v>
      </c>
      <c r="G158" s="6"/>
      <c r="H158" s="10"/>
      <c r="I158" s="27" t="s">
        <v>15</v>
      </c>
      <c r="J158" s="28"/>
      <c r="K158" s="27" t="s">
        <v>16</v>
      </c>
      <c r="L158" s="28"/>
    </row>
    <row r="159" spans="1:12" x14ac:dyDescent="0.4">
      <c r="A159" s="25"/>
      <c r="B159" s="3" t="s">
        <v>39</v>
      </c>
      <c r="H159" s="11"/>
      <c r="I159" s="2" t="s">
        <v>57</v>
      </c>
      <c r="J159" s="10">
        <f>C159*(E159+G149-G175)+C160*(E160+G150-G176)+C161*(E161+G151-G177)+C161*(E162+G152-G178)</f>
        <v>0</v>
      </c>
      <c r="K159" s="2" t="s">
        <v>57</v>
      </c>
      <c r="L159" s="10">
        <f>J159</f>
        <v>0</v>
      </c>
    </row>
    <row r="160" spans="1:12" x14ac:dyDescent="0.4">
      <c r="A160" s="25"/>
      <c r="B160" s="3" t="s">
        <v>40</v>
      </c>
      <c r="D160" s="7"/>
      <c r="H160" s="11"/>
      <c r="I160" s="3" t="s">
        <v>58</v>
      </c>
      <c r="J160" s="23">
        <f>C169</f>
        <v>0</v>
      </c>
      <c r="K160" s="3" t="s">
        <v>25</v>
      </c>
      <c r="L160" s="11">
        <f>F166</f>
        <v>0</v>
      </c>
    </row>
    <row r="161" spans="1:12" x14ac:dyDescent="0.4">
      <c r="A161" s="25"/>
      <c r="B161" s="3" t="s">
        <v>41</v>
      </c>
      <c r="D161" s="7"/>
      <c r="H161" s="11"/>
      <c r="I161" s="3" t="s">
        <v>59</v>
      </c>
      <c r="J161" s="11">
        <f>20000</f>
        <v>20000</v>
      </c>
      <c r="K161" s="3" t="s">
        <v>78</v>
      </c>
      <c r="L161" s="11">
        <f>L160+L159</f>
        <v>0</v>
      </c>
    </row>
    <row r="162" spans="1:12" x14ac:dyDescent="0.4">
      <c r="A162" s="25"/>
      <c r="B162" s="3" t="s">
        <v>42</v>
      </c>
      <c r="D162" s="7"/>
      <c r="H162" s="11"/>
      <c r="I162" s="3" t="s">
        <v>60</v>
      </c>
      <c r="J162" s="11">
        <f>1.4*C168</f>
        <v>0</v>
      </c>
      <c r="K162" s="3" t="s">
        <v>79</v>
      </c>
      <c r="L162" s="11" t="e">
        <f>J181-J163-J168-J169</f>
        <v>#DIV/0!</v>
      </c>
    </row>
    <row r="163" spans="1:12" x14ac:dyDescent="0.4">
      <c r="A163" s="25"/>
      <c r="B163" s="3"/>
      <c r="H163" s="11"/>
      <c r="I163" s="3" t="s">
        <v>61</v>
      </c>
      <c r="J163" s="11" t="e">
        <f>1.35*F171*C168</f>
        <v>#DIV/0!</v>
      </c>
      <c r="K163" s="3" t="s">
        <v>80</v>
      </c>
      <c r="L163" s="11">
        <f>(C164+C165)*F170</f>
        <v>0</v>
      </c>
    </row>
    <row r="164" spans="1:12" x14ac:dyDescent="0.4">
      <c r="A164" s="25"/>
      <c r="B164" s="3" t="s">
        <v>19</v>
      </c>
      <c r="C164" s="7"/>
      <c r="E164" s="1" t="s">
        <v>24</v>
      </c>
      <c r="F164" s="1">
        <f>C166*3</f>
        <v>0</v>
      </c>
      <c r="H164" s="11"/>
      <c r="I164" s="3" t="s">
        <v>62</v>
      </c>
      <c r="J164" s="11">
        <f>IF(SUM(C164:C165)&gt;0,200000,0)</f>
        <v>0</v>
      </c>
      <c r="K164" s="3" t="s">
        <v>81</v>
      </c>
      <c r="L164" s="11">
        <f>500000*C166</f>
        <v>0</v>
      </c>
    </row>
    <row r="165" spans="1:12" x14ac:dyDescent="0.4">
      <c r="A165" s="25"/>
      <c r="B165" s="3" t="s">
        <v>20</v>
      </c>
      <c r="C165" s="7"/>
      <c r="H165" s="11"/>
      <c r="I165" s="3" t="s">
        <v>63</v>
      </c>
      <c r="J165" s="11">
        <f>C165</f>
        <v>0</v>
      </c>
      <c r="K165" s="3" t="s">
        <v>27</v>
      </c>
      <c r="L165" s="11">
        <f>F167</f>
        <v>0</v>
      </c>
    </row>
    <row r="166" spans="1:12" x14ac:dyDescent="0.4">
      <c r="A166" s="25"/>
      <c r="B166" s="3" t="s">
        <v>21</v>
      </c>
      <c r="E166" s="1" t="s">
        <v>26</v>
      </c>
      <c r="H166" s="11"/>
      <c r="I166" s="3" t="s">
        <v>64</v>
      </c>
      <c r="J166" s="11">
        <f>12000*E156</f>
        <v>0</v>
      </c>
      <c r="K166" s="3" t="s">
        <v>82</v>
      </c>
      <c r="L166" s="11" t="e">
        <f>SUM(L162:L165)</f>
        <v>#DIV/0!</v>
      </c>
    </row>
    <row r="167" spans="1:12" x14ac:dyDescent="0.4">
      <c r="A167" s="25"/>
      <c r="B167" s="3"/>
      <c r="E167" s="1" t="s">
        <v>28</v>
      </c>
      <c r="H167" s="11"/>
      <c r="I167" s="3" t="s">
        <v>65</v>
      </c>
      <c r="J167" s="11">
        <f>100000*C166</f>
        <v>0</v>
      </c>
      <c r="K167" s="3" t="s">
        <v>83</v>
      </c>
      <c r="L167" s="11" t="e">
        <f>L161-L166</f>
        <v>#DIV/0!</v>
      </c>
    </row>
    <row r="168" spans="1:12" x14ac:dyDescent="0.4">
      <c r="A168" s="25"/>
      <c r="B168" s="3" t="s">
        <v>22</v>
      </c>
      <c r="C168" s="7"/>
      <c r="E168" s="1" t="s">
        <v>29</v>
      </c>
      <c r="F168" s="1" t="e">
        <f>L169</f>
        <v>#DIV/0!</v>
      </c>
      <c r="H168" s="11"/>
      <c r="I168" s="3" t="s">
        <v>66</v>
      </c>
      <c r="J168" s="11">
        <f>0.025*L149</f>
        <v>77095.873168945313</v>
      </c>
      <c r="K168" s="3" t="s">
        <v>84</v>
      </c>
      <c r="L168" s="11" t="e">
        <f>IF(L178=0,L142+L167,J159/2)</f>
        <v>#DIV/0!</v>
      </c>
    </row>
    <row r="169" spans="1:12" ht="14.25" thickBot="1" x14ac:dyDescent="0.45">
      <c r="A169" s="25"/>
      <c r="B169" s="3" t="s">
        <v>23</v>
      </c>
      <c r="C169" s="7"/>
      <c r="H169" s="11"/>
      <c r="I169" s="3" t="s">
        <v>67</v>
      </c>
      <c r="J169" s="11">
        <f>L148-L174</f>
        <v>0</v>
      </c>
      <c r="K169" s="4" t="s">
        <v>29</v>
      </c>
      <c r="L169" s="12" t="e">
        <f>L142+F166+J159/2-L166</f>
        <v>#DIV/0!</v>
      </c>
    </row>
    <row r="170" spans="1:12" ht="14.25" thickBot="1" x14ac:dyDescent="0.45">
      <c r="A170" s="25"/>
      <c r="B170" s="3"/>
      <c r="E170" s="1" t="s">
        <v>30</v>
      </c>
      <c r="H170" s="11"/>
      <c r="I170" s="3" t="s">
        <v>68</v>
      </c>
      <c r="J170" s="11">
        <f>SUM(D159:D162)</f>
        <v>0</v>
      </c>
      <c r="L170" s="11"/>
    </row>
    <row r="171" spans="1:12" ht="14.25" thickBot="1" x14ac:dyDescent="0.45">
      <c r="A171" s="25"/>
      <c r="B171" s="3"/>
      <c r="E171" s="1" t="s">
        <v>31</v>
      </c>
      <c r="F171" s="1" t="e">
        <f>(L147+L163)/(F156+C164+C165)</f>
        <v>#DIV/0!</v>
      </c>
      <c r="H171" s="11"/>
      <c r="I171" s="3" t="s">
        <v>69</v>
      </c>
      <c r="J171" s="11">
        <f>0.5*E159+0.1*E160+0.4*(E161+E162)</f>
        <v>0</v>
      </c>
      <c r="K171" s="27" t="s">
        <v>17</v>
      </c>
      <c r="L171" s="28"/>
    </row>
    <row r="172" spans="1:12" ht="14.25" thickBot="1" x14ac:dyDescent="0.45">
      <c r="A172" s="25"/>
      <c r="B172" s="4"/>
      <c r="C172" s="8"/>
      <c r="D172" s="8"/>
      <c r="E172" s="8"/>
      <c r="F172" s="8"/>
      <c r="G172" s="8"/>
      <c r="H172" s="12"/>
      <c r="I172" s="3" t="s">
        <v>70</v>
      </c>
      <c r="J172" s="11">
        <f>1500*SUM(F159:F164)</f>
        <v>0</v>
      </c>
      <c r="K172" s="2" t="s">
        <v>85</v>
      </c>
      <c r="L172" s="10" t="e">
        <f>L168</f>
        <v>#DIV/0!</v>
      </c>
    </row>
    <row r="173" spans="1:12" ht="14.25" thickBot="1" x14ac:dyDescent="0.45">
      <c r="A173" s="25"/>
      <c r="B173" s="27" t="s">
        <v>18</v>
      </c>
      <c r="C173" s="29"/>
      <c r="D173" s="29"/>
      <c r="E173" s="29"/>
      <c r="F173" s="29"/>
      <c r="G173" s="29"/>
      <c r="H173" s="28"/>
      <c r="I173" s="3" t="s">
        <v>71</v>
      </c>
      <c r="J173" s="11">
        <f>3750*F164+7500*H156+4500*SUM(F159:F162)+9000*H154</f>
        <v>0</v>
      </c>
      <c r="K173" s="3" t="s">
        <v>86</v>
      </c>
      <c r="L173" s="11" t="e">
        <f>F171*(F156-1.35*C168+SUM(C164:C165))</f>
        <v>#DIV/0!</v>
      </c>
    </row>
    <row r="174" spans="1:12" x14ac:dyDescent="0.4">
      <c r="A174" s="25"/>
      <c r="B174" s="2" t="s">
        <v>32</v>
      </c>
      <c r="C174" s="6" t="s">
        <v>33</v>
      </c>
      <c r="D174" s="6" t="s">
        <v>34</v>
      </c>
      <c r="E174" s="6" t="s">
        <v>35</v>
      </c>
      <c r="F174" s="6" t="s">
        <v>36</v>
      </c>
      <c r="G174" s="6" t="s">
        <v>37</v>
      </c>
      <c r="H174" s="10" t="s">
        <v>38</v>
      </c>
      <c r="I174" s="3" t="s">
        <v>72</v>
      </c>
      <c r="J174" s="11">
        <f>0</f>
        <v>0</v>
      </c>
      <c r="K174" s="3" t="s">
        <v>87</v>
      </c>
      <c r="L174" s="11">
        <f>G154*4</f>
        <v>0</v>
      </c>
    </row>
    <row r="175" spans="1:12" x14ac:dyDescent="0.4">
      <c r="A175" s="25"/>
      <c r="B175" s="3" t="s">
        <v>39</v>
      </c>
      <c r="H175" s="11"/>
      <c r="I175" s="3" t="s">
        <v>73</v>
      </c>
      <c r="J175" s="11" t="e">
        <f>0.1*L147</f>
        <v>#DIV/0!</v>
      </c>
      <c r="K175" s="3" t="s">
        <v>88</v>
      </c>
      <c r="L175" s="11">
        <f>L149-J168+L164</f>
        <v>3006739.0535888672</v>
      </c>
    </row>
    <row r="176" spans="1:12" x14ac:dyDescent="0.4">
      <c r="A176" s="25"/>
      <c r="B176" s="3" t="s">
        <v>40</v>
      </c>
      <c r="C176" s="7"/>
      <c r="D176" s="7"/>
      <c r="E176" s="7"/>
      <c r="G176" s="7"/>
      <c r="H176" s="11"/>
      <c r="I176" s="3" t="s">
        <v>74</v>
      </c>
      <c r="J176" s="11">
        <f>0.5*L148</f>
        <v>0</v>
      </c>
      <c r="K176" s="3" t="s">
        <v>89</v>
      </c>
      <c r="L176" s="11" t="e">
        <f>SUM(L172:L175)</f>
        <v>#DIV/0!</v>
      </c>
    </row>
    <row r="177" spans="1:12" x14ac:dyDescent="0.4">
      <c r="A177" s="25"/>
      <c r="B177" s="3" t="s">
        <v>41</v>
      </c>
      <c r="C177" s="7"/>
      <c r="D177" s="7"/>
      <c r="E177" s="7"/>
      <c r="H177" s="11"/>
      <c r="I177" s="3" t="s">
        <v>75</v>
      </c>
      <c r="J177" s="11" t="e">
        <f>$H$1/4*L177+$H$1/4*3*L152</f>
        <v>#DIV/0!</v>
      </c>
      <c r="K177" s="3" t="s">
        <v>90</v>
      </c>
      <c r="L177" s="11" t="e">
        <f>L153+F166-F167</f>
        <v>#DIV/0!</v>
      </c>
    </row>
    <row r="178" spans="1:12" x14ac:dyDescent="0.4">
      <c r="A178" s="25"/>
      <c r="B178" s="3" t="s">
        <v>42</v>
      </c>
      <c r="C178" s="7"/>
      <c r="D178" s="7"/>
      <c r="E178" s="7"/>
      <c r="H178" s="11"/>
      <c r="I178" s="3" t="s">
        <v>0</v>
      </c>
      <c r="J178" s="11">
        <f>J159/(1+$B$1)*$B$1</f>
        <v>0</v>
      </c>
      <c r="K178" s="3" t="s">
        <v>91</v>
      </c>
      <c r="L178" s="11" t="e">
        <f>IF(L169&gt;0,0,-L169)</f>
        <v>#DIV/0!</v>
      </c>
    </row>
    <row r="179" spans="1:12" x14ac:dyDescent="0.4">
      <c r="A179" s="25"/>
      <c r="B179" s="3" t="s">
        <v>43</v>
      </c>
      <c r="C179" s="1" t="s">
        <v>44</v>
      </c>
      <c r="D179" s="1" t="s">
        <v>45</v>
      </c>
      <c r="E179" s="1" t="s">
        <v>46</v>
      </c>
      <c r="F179" s="1" t="s">
        <v>47</v>
      </c>
      <c r="G179" s="1" t="s">
        <v>48</v>
      </c>
      <c r="H179" s="11" t="s">
        <v>49</v>
      </c>
      <c r="I179" s="3" t="s">
        <v>2</v>
      </c>
      <c r="J179" s="11">
        <f>J178*$D$1</f>
        <v>0</v>
      </c>
      <c r="K179" s="3" t="s">
        <v>92</v>
      </c>
      <c r="L179" s="11" t="e">
        <f>L177+L178</f>
        <v>#DIV/0!</v>
      </c>
    </row>
    <row r="180" spans="1:12" ht="14.25" thickBot="1" x14ac:dyDescent="0.45">
      <c r="A180" s="25"/>
      <c r="B180" s="3"/>
      <c r="C180" s="7"/>
      <c r="D180" s="7"/>
      <c r="E180" s="7"/>
      <c r="G180" s="7"/>
      <c r="H180" s="11"/>
      <c r="I180" s="3" t="s">
        <v>4</v>
      </c>
      <c r="J180" s="11" t="e">
        <f>IF(L182&lt;=0,0,L182)</f>
        <v>#DIV/0!</v>
      </c>
      <c r="K180" s="4" t="s">
        <v>93</v>
      </c>
      <c r="L180" s="12" t="e">
        <f>L176-L179</f>
        <v>#DIV/0!</v>
      </c>
    </row>
    <row r="181" spans="1:12" ht="14.25" thickBot="1" x14ac:dyDescent="0.45">
      <c r="A181" s="25"/>
      <c r="B181" s="3" t="s">
        <v>50</v>
      </c>
      <c r="C181" s="1" t="s">
        <v>51</v>
      </c>
      <c r="D181" s="1" t="s">
        <v>52</v>
      </c>
      <c r="E181" s="1" t="s">
        <v>53</v>
      </c>
      <c r="F181" s="1" t="s">
        <v>54</v>
      </c>
      <c r="G181" s="1" t="s">
        <v>55</v>
      </c>
      <c r="H181" s="11" t="s">
        <v>56</v>
      </c>
      <c r="I181" s="3" t="s">
        <v>76</v>
      </c>
      <c r="J181" s="11" t="e">
        <f>SUM(J160:J180)</f>
        <v>#DIV/0!</v>
      </c>
      <c r="L181" s="11"/>
    </row>
    <row r="182" spans="1:12" ht="14.25" thickBot="1" x14ac:dyDescent="0.45">
      <c r="A182" s="26"/>
      <c r="B182" s="5"/>
      <c r="C182" s="9"/>
      <c r="D182" s="9"/>
      <c r="E182" s="8"/>
      <c r="F182" s="9"/>
      <c r="G182" s="8"/>
      <c r="H182" s="12"/>
      <c r="I182" s="4" t="s">
        <v>77</v>
      </c>
      <c r="J182" s="12" t="e">
        <f>J159-J181</f>
        <v>#DIV/0!</v>
      </c>
      <c r="K182" s="21" t="s">
        <v>5</v>
      </c>
      <c r="L182" s="22" t="e">
        <f>(J159/(1+$B$1)-SUM(J160:J179)+J178)*$F$1</f>
        <v>#DIV/0!</v>
      </c>
    </row>
    <row r="183" spans="1:12" ht="14.25" thickBot="1" x14ac:dyDescent="0.45"/>
    <row r="184" spans="1:12" ht="14.25" thickBot="1" x14ac:dyDescent="0.45">
      <c r="A184" s="24" t="s">
        <v>101</v>
      </c>
      <c r="B184" s="2"/>
      <c r="C184" s="6" t="s">
        <v>11</v>
      </c>
      <c r="D184" s="6" t="s">
        <v>12</v>
      </c>
      <c r="E184" s="6" t="s">
        <v>13</v>
      </c>
      <c r="F184" s="6" t="s">
        <v>14</v>
      </c>
      <c r="G184" s="6"/>
      <c r="H184" s="10"/>
      <c r="I184" s="27" t="s">
        <v>15</v>
      </c>
      <c r="J184" s="28"/>
      <c r="K184" s="27" t="s">
        <v>16</v>
      </c>
      <c r="L184" s="28"/>
    </row>
    <row r="185" spans="1:12" x14ac:dyDescent="0.4">
      <c r="A185" s="25"/>
      <c r="B185" s="3" t="s">
        <v>39</v>
      </c>
      <c r="H185" s="11"/>
      <c r="I185" s="2" t="s">
        <v>57</v>
      </c>
      <c r="J185" s="10">
        <f>C185*(E185+G175-G201)+C186*(E186+G176-G202)+C187*(E187+G177-G203)+C187*(E188+G178-G204)</f>
        <v>0</v>
      </c>
      <c r="K185" s="2" t="s">
        <v>57</v>
      </c>
      <c r="L185" s="10">
        <f>J185</f>
        <v>0</v>
      </c>
    </row>
    <row r="186" spans="1:12" x14ac:dyDescent="0.4">
      <c r="A186" s="25"/>
      <c r="B186" s="3" t="s">
        <v>40</v>
      </c>
      <c r="D186" s="7"/>
      <c r="H186" s="11"/>
      <c r="I186" s="3" t="s">
        <v>58</v>
      </c>
      <c r="J186" s="23">
        <f>C195</f>
        <v>0</v>
      </c>
      <c r="K186" s="3" t="s">
        <v>25</v>
      </c>
      <c r="L186" s="11">
        <f>F192</f>
        <v>0</v>
      </c>
    </row>
    <row r="187" spans="1:12" x14ac:dyDescent="0.4">
      <c r="A187" s="25"/>
      <c r="B187" s="3" t="s">
        <v>41</v>
      </c>
      <c r="D187" s="7"/>
      <c r="H187" s="11"/>
      <c r="I187" s="3" t="s">
        <v>59</v>
      </c>
      <c r="J187" s="11">
        <f>20000</f>
        <v>20000</v>
      </c>
      <c r="K187" s="3" t="s">
        <v>78</v>
      </c>
      <c r="L187" s="11">
        <f>L186+L185</f>
        <v>0</v>
      </c>
    </row>
    <row r="188" spans="1:12" x14ac:dyDescent="0.4">
      <c r="A188" s="25"/>
      <c r="B188" s="3" t="s">
        <v>42</v>
      </c>
      <c r="D188" s="7"/>
      <c r="H188" s="11"/>
      <c r="I188" s="3" t="s">
        <v>60</v>
      </c>
      <c r="J188" s="11">
        <f>1.4*C194</f>
        <v>0</v>
      </c>
      <c r="K188" s="3" t="s">
        <v>79</v>
      </c>
      <c r="L188" s="11" t="e">
        <f>J207-J189-J194-J195</f>
        <v>#DIV/0!</v>
      </c>
    </row>
    <row r="189" spans="1:12" x14ac:dyDescent="0.4">
      <c r="A189" s="25"/>
      <c r="B189" s="3"/>
      <c r="H189" s="11"/>
      <c r="I189" s="3" t="s">
        <v>61</v>
      </c>
      <c r="J189" s="11" t="e">
        <f>1.35*F197*C194</f>
        <v>#DIV/0!</v>
      </c>
      <c r="K189" s="3" t="s">
        <v>80</v>
      </c>
      <c r="L189" s="11">
        <f>(C190+C191)*F196</f>
        <v>0</v>
      </c>
    </row>
    <row r="190" spans="1:12" x14ac:dyDescent="0.4">
      <c r="A190" s="25"/>
      <c r="B190" s="3" t="s">
        <v>19</v>
      </c>
      <c r="C190" s="7"/>
      <c r="E190" s="1" t="s">
        <v>24</v>
      </c>
      <c r="F190" s="1">
        <f>C192*3</f>
        <v>0</v>
      </c>
      <c r="H190" s="11"/>
      <c r="I190" s="3" t="s">
        <v>62</v>
      </c>
      <c r="J190" s="11">
        <f>IF(SUM(C190:C191)&gt;0,200000,0)</f>
        <v>0</v>
      </c>
      <c r="K190" s="3" t="s">
        <v>81</v>
      </c>
      <c r="L190" s="11">
        <f>500000*C192</f>
        <v>0</v>
      </c>
    </row>
    <row r="191" spans="1:12" x14ac:dyDescent="0.4">
      <c r="A191" s="25"/>
      <c r="B191" s="3" t="s">
        <v>20</v>
      </c>
      <c r="C191" s="7"/>
      <c r="H191" s="11"/>
      <c r="I191" s="3" t="s">
        <v>63</v>
      </c>
      <c r="J191" s="11">
        <f>C191</f>
        <v>0</v>
      </c>
      <c r="K191" s="3" t="s">
        <v>27</v>
      </c>
      <c r="L191" s="11">
        <f>F193</f>
        <v>0</v>
      </c>
    </row>
    <row r="192" spans="1:12" x14ac:dyDescent="0.4">
      <c r="A192" s="25"/>
      <c r="B192" s="3" t="s">
        <v>21</v>
      </c>
      <c r="E192" s="1" t="s">
        <v>26</v>
      </c>
      <c r="H192" s="11"/>
      <c r="I192" s="3" t="s">
        <v>64</v>
      </c>
      <c r="J192" s="11">
        <f>12000*E182</f>
        <v>0</v>
      </c>
      <c r="K192" s="3" t="s">
        <v>82</v>
      </c>
      <c r="L192" s="11" t="e">
        <f>SUM(L188:L191)</f>
        <v>#DIV/0!</v>
      </c>
    </row>
    <row r="193" spans="1:12" x14ac:dyDescent="0.4">
      <c r="A193" s="25"/>
      <c r="B193" s="3"/>
      <c r="E193" s="1" t="s">
        <v>28</v>
      </c>
      <c r="H193" s="11"/>
      <c r="I193" s="3" t="s">
        <v>65</v>
      </c>
      <c r="J193" s="11">
        <f>100000*C192</f>
        <v>0</v>
      </c>
      <c r="K193" s="3" t="s">
        <v>83</v>
      </c>
      <c r="L193" s="11" t="e">
        <f>L187-L192</f>
        <v>#DIV/0!</v>
      </c>
    </row>
    <row r="194" spans="1:12" x14ac:dyDescent="0.4">
      <c r="A194" s="25"/>
      <c r="B194" s="3" t="s">
        <v>22</v>
      </c>
      <c r="C194" s="7"/>
      <c r="E194" s="1" t="s">
        <v>29</v>
      </c>
      <c r="F194" s="1" t="e">
        <f>L195</f>
        <v>#DIV/0!</v>
      </c>
      <c r="H194" s="11"/>
      <c r="I194" s="3" t="s">
        <v>66</v>
      </c>
      <c r="J194" s="11">
        <f>0.025*L175</f>
        <v>75168.476339721688</v>
      </c>
      <c r="K194" s="3" t="s">
        <v>84</v>
      </c>
      <c r="L194" s="11" t="e">
        <f>IF(L204=0,L168+L193,J185/2)</f>
        <v>#DIV/0!</v>
      </c>
    </row>
    <row r="195" spans="1:12" ht="14.25" thickBot="1" x14ac:dyDescent="0.45">
      <c r="A195" s="25"/>
      <c r="B195" s="3" t="s">
        <v>23</v>
      </c>
      <c r="C195" s="7"/>
      <c r="H195" s="11"/>
      <c r="I195" s="3" t="s">
        <v>67</v>
      </c>
      <c r="J195" s="11">
        <f>L174-L200</f>
        <v>0</v>
      </c>
      <c r="K195" s="4" t="s">
        <v>29</v>
      </c>
      <c r="L195" s="12" t="e">
        <f>L168+F192+J185/2-L192</f>
        <v>#DIV/0!</v>
      </c>
    </row>
    <row r="196" spans="1:12" ht="14.25" thickBot="1" x14ac:dyDescent="0.45">
      <c r="A196" s="25"/>
      <c r="B196" s="3"/>
      <c r="E196" s="1" t="s">
        <v>30</v>
      </c>
      <c r="H196" s="11"/>
      <c r="I196" s="3" t="s">
        <v>68</v>
      </c>
      <c r="J196" s="11">
        <f>SUM(D185:D188)</f>
        <v>0</v>
      </c>
      <c r="L196" s="11"/>
    </row>
    <row r="197" spans="1:12" ht="14.25" thickBot="1" x14ac:dyDescent="0.45">
      <c r="A197" s="25"/>
      <c r="B197" s="3"/>
      <c r="E197" s="1" t="s">
        <v>31</v>
      </c>
      <c r="F197" s="1" t="e">
        <f>(L173+L189)/(F182+C190+C191)</f>
        <v>#DIV/0!</v>
      </c>
      <c r="H197" s="11"/>
      <c r="I197" s="3" t="s">
        <v>69</v>
      </c>
      <c r="J197" s="11">
        <f>0.5*E185+0.1*E186+0.4*(E187+E188)</f>
        <v>0</v>
      </c>
      <c r="K197" s="27" t="s">
        <v>17</v>
      </c>
      <c r="L197" s="28"/>
    </row>
    <row r="198" spans="1:12" ht="14.25" thickBot="1" x14ac:dyDescent="0.45">
      <c r="A198" s="25"/>
      <c r="B198" s="4"/>
      <c r="C198" s="8"/>
      <c r="D198" s="8"/>
      <c r="E198" s="8"/>
      <c r="F198" s="8"/>
      <c r="G198" s="8"/>
      <c r="H198" s="12"/>
      <c r="I198" s="3" t="s">
        <v>70</v>
      </c>
      <c r="J198" s="11">
        <f>1500*SUM(F185:F190)</f>
        <v>0</v>
      </c>
      <c r="K198" s="2" t="s">
        <v>85</v>
      </c>
      <c r="L198" s="10" t="e">
        <f>L194</f>
        <v>#DIV/0!</v>
      </c>
    </row>
    <row r="199" spans="1:12" ht="14.25" thickBot="1" x14ac:dyDescent="0.45">
      <c r="A199" s="25"/>
      <c r="B199" s="27" t="s">
        <v>18</v>
      </c>
      <c r="C199" s="29"/>
      <c r="D199" s="29"/>
      <c r="E199" s="29"/>
      <c r="F199" s="29"/>
      <c r="G199" s="29"/>
      <c r="H199" s="28"/>
      <c r="I199" s="3" t="s">
        <v>71</v>
      </c>
      <c r="J199" s="11">
        <f>3750*F190+7500*H182+4500*SUM(F185:F188)+9000*H180</f>
        <v>0</v>
      </c>
      <c r="K199" s="3" t="s">
        <v>86</v>
      </c>
      <c r="L199" s="11" t="e">
        <f>F197*(F182-1.35*C194+SUM(C190:C191))</f>
        <v>#DIV/0!</v>
      </c>
    </row>
    <row r="200" spans="1:12" x14ac:dyDescent="0.4">
      <c r="A200" s="25"/>
      <c r="B200" s="2" t="s">
        <v>32</v>
      </c>
      <c r="C200" s="6" t="s">
        <v>33</v>
      </c>
      <c r="D200" s="6" t="s">
        <v>34</v>
      </c>
      <c r="E200" s="6" t="s">
        <v>35</v>
      </c>
      <c r="F200" s="6" t="s">
        <v>36</v>
      </c>
      <c r="G200" s="6" t="s">
        <v>37</v>
      </c>
      <c r="H200" s="10" t="s">
        <v>38</v>
      </c>
      <c r="I200" s="3" t="s">
        <v>72</v>
      </c>
      <c r="J200" s="11">
        <f>0</f>
        <v>0</v>
      </c>
      <c r="K200" s="3" t="s">
        <v>87</v>
      </c>
      <c r="L200" s="11">
        <f>G180*4</f>
        <v>0</v>
      </c>
    </row>
    <row r="201" spans="1:12" x14ac:dyDescent="0.4">
      <c r="A201" s="25"/>
      <c r="B201" s="3" t="s">
        <v>39</v>
      </c>
      <c r="H201" s="11"/>
      <c r="I201" s="3" t="s">
        <v>73</v>
      </c>
      <c r="J201" s="11" t="e">
        <f>0.1*L173</f>
        <v>#DIV/0!</v>
      </c>
      <c r="K201" s="3" t="s">
        <v>88</v>
      </c>
      <c r="L201" s="11">
        <f>L175-J194+L190</f>
        <v>2931570.5772491456</v>
      </c>
    </row>
    <row r="202" spans="1:12" x14ac:dyDescent="0.4">
      <c r="A202" s="25"/>
      <c r="B202" s="3" t="s">
        <v>40</v>
      </c>
      <c r="C202" s="7"/>
      <c r="D202" s="7"/>
      <c r="E202" s="7"/>
      <c r="G202" s="7"/>
      <c r="H202" s="11"/>
      <c r="I202" s="3" t="s">
        <v>74</v>
      </c>
      <c r="J202" s="11">
        <f>0.5*L174</f>
        <v>0</v>
      </c>
      <c r="K202" s="3" t="s">
        <v>89</v>
      </c>
      <c r="L202" s="11" t="e">
        <f>SUM(L198:L201)</f>
        <v>#DIV/0!</v>
      </c>
    </row>
    <row r="203" spans="1:12" x14ac:dyDescent="0.4">
      <c r="A203" s="25"/>
      <c r="B203" s="3" t="s">
        <v>41</v>
      </c>
      <c r="C203" s="7"/>
      <c r="D203" s="7"/>
      <c r="E203" s="7"/>
      <c r="H203" s="11"/>
      <c r="I203" s="3" t="s">
        <v>75</v>
      </c>
      <c r="J203" s="11" t="e">
        <f>$H$1/4*L203+$H$1/4*3*L178</f>
        <v>#DIV/0!</v>
      </c>
      <c r="K203" s="3" t="s">
        <v>90</v>
      </c>
      <c r="L203" s="11" t="e">
        <f>L179+F192-F193</f>
        <v>#DIV/0!</v>
      </c>
    </row>
    <row r="204" spans="1:12" x14ac:dyDescent="0.4">
      <c r="A204" s="25"/>
      <c r="B204" s="3" t="s">
        <v>42</v>
      </c>
      <c r="C204" s="7"/>
      <c r="D204" s="7"/>
      <c r="E204" s="7"/>
      <c r="H204" s="11"/>
      <c r="I204" s="3" t="s">
        <v>0</v>
      </c>
      <c r="J204" s="11">
        <f>J185/(1+$B$1)*$B$1</f>
        <v>0</v>
      </c>
      <c r="K204" s="3" t="s">
        <v>91</v>
      </c>
      <c r="L204" s="11" t="e">
        <f>IF(L195&gt;0,0,-L195)</f>
        <v>#DIV/0!</v>
      </c>
    </row>
    <row r="205" spans="1:12" x14ac:dyDescent="0.4">
      <c r="A205" s="25"/>
      <c r="B205" s="3" t="s">
        <v>43</v>
      </c>
      <c r="C205" s="1" t="s">
        <v>44</v>
      </c>
      <c r="D205" s="1" t="s">
        <v>45</v>
      </c>
      <c r="E205" s="1" t="s">
        <v>46</v>
      </c>
      <c r="F205" s="1" t="s">
        <v>47</v>
      </c>
      <c r="G205" s="1" t="s">
        <v>48</v>
      </c>
      <c r="H205" s="11" t="s">
        <v>49</v>
      </c>
      <c r="I205" s="3" t="s">
        <v>2</v>
      </c>
      <c r="J205" s="11">
        <f>J204*$D$1</f>
        <v>0</v>
      </c>
      <c r="K205" s="3" t="s">
        <v>92</v>
      </c>
      <c r="L205" s="11" t="e">
        <f>L203+L204</f>
        <v>#DIV/0!</v>
      </c>
    </row>
    <row r="206" spans="1:12" ht="14.25" thickBot="1" x14ac:dyDescent="0.45">
      <c r="A206" s="25"/>
      <c r="B206" s="3"/>
      <c r="C206" s="7"/>
      <c r="D206" s="7"/>
      <c r="E206" s="7"/>
      <c r="G206" s="7"/>
      <c r="H206" s="11"/>
      <c r="I206" s="3" t="s">
        <v>4</v>
      </c>
      <c r="J206" s="11" t="e">
        <f>IF(L208&lt;=0,0,L208)</f>
        <v>#DIV/0!</v>
      </c>
      <c r="K206" s="4" t="s">
        <v>93</v>
      </c>
      <c r="L206" s="12" t="e">
        <f>L202-L205</f>
        <v>#DIV/0!</v>
      </c>
    </row>
    <row r="207" spans="1:12" ht="14.25" thickBot="1" x14ac:dyDescent="0.45">
      <c r="A207" s="25"/>
      <c r="B207" s="3" t="s">
        <v>50</v>
      </c>
      <c r="C207" s="1" t="s">
        <v>51</v>
      </c>
      <c r="D207" s="1" t="s">
        <v>52</v>
      </c>
      <c r="E207" s="1" t="s">
        <v>53</v>
      </c>
      <c r="F207" s="1" t="s">
        <v>54</v>
      </c>
      <c r="G207" s="1" t="s">
        <v>55</v>
      </c>
      <c r="H207" s="11" t="s">
        <v>56</v>
      </c>
      <c r="I207" s="3" t="s">
        <v>76</v>
      </c>
      <c r="J207" s="11" t="e">
        <f>SUM(J186:J206)</f>
        <v>#DIV/0!</v>
      </c>
      <c r="L207" s="11"/>
    </row>
    <row r="208" spans="1:12" ht="14.25" thickBot="1" x14ac:dyDescent="0.45">
      <c r="A208" s="26"/>
      <c r="B208" s="5"/>
      <c r="C208" s="9"/>
      <c r="D208" s="9"/>
      <c r="E208" s="8"/>
      <c r="F208" s="9"/>
      <c r="G208" s="8"/>
      <c r="H208" s="12"/>
      <c r="I208" s="4" t="s">
        <v>77</v>
      </c>
      <c r="J208" s="12" t="e">
        <f>J185-J207</f>
        <v>#DIV/0!</v>
      </c>
      <c r="K208" s="21" t="s">
        <v>5</v>
      </c>
      <c r="L208" s="22" t="e">
        <f>(J185/(1+$B$1)-SUM(J186:J205)+J204)*$F$1</f>
        <v>#DIV/0!</v>
      </c>
    </row>
    <row r="209" spans="1:12" ht="14.25" thickBot="1" x14ac:dyDescent="0.45"/>
    <row r="210" spans="1:12" ht="14.25" thickBot="1" x14ac:dyDescent="0.45">
      <c r="A210" s="24" t="s">
        <v>102</v>
      </c>
      <c r="B210" s="2"/>
      <c r="C210" s="6" t="s">
        <v>11</v>
      </c>
      <c r="D210" s="6" t="s">
        <v>12</v>
      </c>
      <c r="E210" s="6" t="s">
        <v>13</v>
      </c>
      <c r="F210" s="6" t="s">
        <v>14</v>
      </c>
      <c r="G210" s="6"/>
      <c r="H210" s="10"/>
      <c r="I210" s="27" t="s">
        <v>15</v>
      </c>
      <c r="J210" s="28"/>
      <c r="K210" s="27" t="s">
        <v>16</v>
      </c>
      <c r="L210" s="28"/>
    </row>
    <row r="211" spans="1:12" x14ac:dyDescent="0.4">
      <c r="A211" s="25"/>
      <c r="B211" s="3" t="s">
        <v>39</v>
      </c>
      <c r="H211" s="11"/>
      <c r="I211" s="2" t="s">
        <v>57</v>
      </c>
      <c r="J211" s="10">
        <f>C211*(E211+G201-G227)+C212*(E212+G202-G228)+C213*(E213+G203-G229)+C213*(E214+G204-G230)</f>
        <v>0</v>
      </c>
      <c r="K211" s="2" t="s">
        <v>57</v>
      </c>
      <c r="L211" s="10">
        <f>J211</f>
        <v>0</v>
      </c>
    </row>
    <row r="212" spans="1:12" x14ac:dyDescent="0.4">
      <c r="A212" s="25"/>
      <c r="B212" s="3" t="s">
        <v>40</v>
      </c>
      <c r="D212" s="7"/>
      <c r="H212" s="11"/>
      <c r="I212" s="3" t="s">
        <v>58</v>
      </c>
      <c r="J212" s="23">
        <f>C221</f>
        <v>0</v>
      </c>
      <c r="K212" s="3" t="s">
        <v>25</v>
      </c>
      <c r="L212" s="11">
        <f>F218</f>
        <v>0</v>
      </c>
    </row>
    <row r="213" spans="1:12" x14ac:dyDescent="0.4">
      <c r="A213" s="25"/>
      <c r="B213" s="3" t="s">
        <v>41</v>
      </c>
      <c r="D213" s="7"/>
      <c r="H213" s="11"/>
      <c r="I213" s="3" t="s">
        <v>59</v>
      </c>
      <c r="J213" s="11">
        <f>20000</f>
        <v>20000</v>
      </c>
      <c r="K213" s="3" t="s">
        <v>78</v>
      </c>
      <c r="L213" s="11">
        <f>L212+L211</f>
        <v>0</v>
      </c>
    </row>
    <row r="214" spans="1:12" x14ac:dyDescent="0.4">
      <c r="A214" s="25"/>
      <c r="B214" s="3" t="s">
        <v>42</v>
      </c>
      <c r="D214" s="7"/>
      <c r="H214" s="11"/>
      <c r="I214" s="3" t="s">
        <v>60</v>
      </c>
      <c r="J214" s="11">
        <f>1.4*C220</f>
        <v>0</v>
      </c>
      <c r="K214" s="3" t="s">
        <v>79</v>
      </c>
      <c r="L214" s="11" t="e">
        <f>J233-J215-J220-J221</f>
        <v>#DIV/0!</v>
      </c>
    </row>
    <row r="215" spans="1:12" x14ac:dyDescent="0.4">
      <c r="A215" s="25"/>
      <c r="B215" s="3"/>
      <c r="H215" s="11"/>
      <c r="I215" s="3" t="s">
        <v>61</v>
      </c>
      <c r="J215" s="11" t="e">
        <f>1.35*F223*C220</f>
        <v>#DIV/0!</v>
      </c>
      <c r="K215" s="3" t="s">
        <v>80</v>
      </c>
      <c r="L215" s="11">
        <f>(C216+C217)*F222</f>
        <v>0</v>
      </c>
    </row>
    <row r="216" spans="1:12" x14ac:dyDescent="0.4">
      <c r="A216" s="25"/>
      <c r="B216" s="3" t="s">
        <v>19</v>
      </c>
      <c r="C216" s="7"/>
      <c r="E216" s="1" t="s">
        <v>24</v>
      </c>
      <c r="F216" s="1">
        <f>C218*3</f>
        <v>0</v>
      </c>
      <c r="H216" s="11"/>
      <c r="I216" s="3" t="s">
        <v>62</v>
      </c>
      <c r="J216" s="11">
        <f>IF(SUM(C216:C217)&gt;0,200000,0)</f>
        <v>0</v>
      </c>
      <c r="K216" s="3" t="s">
        <v>81</v>
      </c>
      <c r="L216" s="11">
        <f>500000*C218</f>
        <v>0</v>
      </c>
    </row>
    <row r="217" spans="1:12" x14ac:dyDescent="0.4">
      <c r="A217" s="25"/>
      <c r="B217" s="3" t="s">
        <v>20</v>
      </c>
      <c r="C217" s="7"/>
      <c r="H217" s="11"/>
      <c r="I217" s="3" t="s">
        <v>63</v>
      </c>
      <c r="J217" s="11">
        <f>C217</f>
        <v>0</v>
      </c>
      <c r="K217" s="3" t="s">
        <v>27</v>
      </c>
      <c r="L217" s="11">
        <f>F219</f>
        <v>0</v>
      </c>
    </row>
    <row r="218" spans="1:12" x14ac:dyDescent="0.4">
      <c r="A218" s="25"/>
      <c r="B218" s="3" t="s">
        <v>21</v>
      </c>
      <c r="E218" s="1" t="s">
        <v>26</v>
      </c>
      <c r="H218" s="11"/>
      <c r="I218" s="3" t="s">
        <v>64</v>
      </c>
      <c r="J218" s="11">
        <f>12000*E208</f>
        <v>0</v>
      </c>
      <c r="K218" s="3" t="s">
        <v>82</v>
      </c>
      <c r="L218" s="11" t="e">
        <f>SUM(L214:L217)</f>
        <v>#DIV/0!</v>
      </c>
    </row>
    <row r="219" spans="1:12" x14ac:dyDescent="0.4">
      <c r="A219" s="25"/>
      <c r="B219" s="3"/>
      <c r="E219" s="1" t="s">
        <v>28</v>
      </c>
      <c r="H219" s="11"/>
      <c r="I219" s="3" t="s">
        <v>65</v>
      </c>
      <c r="J219" s="11">
        <f>100000*C218</f>
        <v>0</v>
      </c>
      <c r="K219" s="3" t="s">
        <v>83</v>
      </c>
      <c r="L219" s="11" t="e">
        <f>L213-L218</f>
        <v>#DIV/0!</v>
      </c>
    </row>
    <row r="220" spans="1:12" x14ac:dyDescent="0.4">
      <c r="A220" s="25"/>
      <c r="B220" s="3" t="s">
        <v>22</v>
      </c>
      <c r="C220" s="7"/>
      <c r="E220" s="1" t="s">
        <v>29</v>
      </c>
      <c r="F220" s="1" t="e">
        <f>L221</f>
        <v>#DIV/0!</v>
      </c>
      <c r="H220" s="11"/>
      <c r="I220" s="3" t="s">
        <v>66</v>
      </c>
      <c r="J220" s="11">
        <f>0.025*L201</f>
        <v>73289.264431228643</v>
      </c>
      <c r="K220" s="3" t="s">
        <v>84</v>
      </c>
      <c r="L220" s="11" t="e">
        <f>IF(L230=0,L194+L219,J211/2)</f>
        <v>#DIV/0!</v>
      </c>
    </row>
    <row r="221" spans="1:12" ht="14.25" thickBot="1" x14ac:dyDescent="0.45">
      <c r="A221" s="25"/>
      <c r="B221" s="3" t="s">
        <v>23</v>
      </c>
      <c r="C221" s="7"/>
      <c r="H221" s="11"/>
      <c r="I221" s="3" t="s">
        <v>67</v>
      </c>
      <c r="J221" s="11">
        <f>L200-L226</f>
        <v>0</v>
      </c>
      <c r="K221" s="4" t="s">
        <v>29</v>
      </c>
      <c r="L221" s="12" t="e">
        <f>L194+F218+J211/2-L218</f>
        <v>#DIV/0!</v>
      </c>
    </row>
    <row r="222" spans="1:12" ht="14.25" thickBot="1" x14ac:dyDescent="0.45">
      <c r="A222" s="25"/>
      <c r="B222" s="3"/>
      <c r="E222" s="1" t="s">
        <v>30</v>
      </c>
      <c r="H222" s="11"/>
      <c r="I222" s="3" t="s">
        <v>68</v>
      </c>
      <c r="J222" s="11">
        <f>SUM(D211:D214)</f>
        <v>0</v>
      </c>
      <c r="L222" s="11"/>
    </row>
    <row r="223" spans="1:12" ht="14.25" thickBot="1" x14ac:dyDescent="0.45">
      <c r="A223" s="25"/>
      <c r="B223" s="3"/>
      <c r="E223" s="1" t="s">
        <v>31</v>
      </c>
      <c r="F223" s="1" t="e">
        <f>(L199+L215)/(F208+C216+C217)</f>
        <v>#DIV/0!</v>
      </c>
      <c r="H223" s="11"/>
      <c r="I223" s="3" t="s">
        <v>69</v>
      </c>
      <c r="J223" s="11">
        <f>0.5*E211+0.1*E212+0.4*(E213+E214)</f>
        <v>0</v>
      </c>
      <c r="K223" s="27" t="s">
        <v>17</v>
      </c>
      <c r="L223" s="28"/>
    </row>
    <row r="224" spans="1:12" ht="14.25" thickBot="1" x14ac:dyDescent="0.45">
      <c r="A224" s="25"/>
      <c r="B224" s="4"/>
      <c r="C224" s="8"/>
      <c r="D224" s="8"/>
      <c r="E224" s="8"/>
      <c r="F224" s="8"/>
      <c r="G224" s="8"/>
      <c r="H224" s="12"/>
      <c r="I224" s="3" t="s">
        <v>70</v>
      </c>
      <c r="J224" s="11">
        <f>1500*SUM(F211:F216)</f>
        <v>0</v>
      </c>
      <c r="K224" s="2" t="s">
        <v>85</v>
      </c>
      <c r="L224" s="10" t="e">
        <f>L220</f>
        <v>#DIV/0!</v>
      </c>
    </row>
    <row r="225" spans="1:12" ht="14.25" thickBot="1" x14ac:dyDescent="0.45">
      <c r="A225" s="25"/>
      <c r="B225" s="27" t="s">
        <v>18</v>
      </c>
      <c r="C225" s="29"/>
      <c r="D225" s="29"/>
      <c r="E225" s="29"/>
      <c r="F225" s="29"/>
      <c r="G225" s="29"/>
      <c r="H225" s="28"/>
      <c r="I225" s="3" t="s">
        <v>71</v>
      </c>
      <c r="J225" s="11">
        <f>3750*F216+7500*H208+4500*SUM(F211:F214)+9000*H206</f>
        <v>0</v>
      </c>
      <c r="K225" s="3" t="s">
        <v>86</v>
      </c>
      <c r="L225" s="11" t="e">
        <f>F223*(F208-1.35*C220+SUM(C216:C217))</f>
        <v>#DIV/0!</v>
      </c>
    </row>
    <row r="226" spans="1:12" x14ac:dyDescent="0.4">
      <c r="A226" s="25"/>
      <c r="B226" s="2" t="s">
        <v>32</v>
      </c>
      <c r="C226" s="6" t="s">
        <v>33</v>
      </c>
      <c r="D226" s="6" t="s">
        <v>34</v>
      </c>
      <c r="E226" s="6" t="s">
        <v>35</v>
      </c>
      <c r="F226" s="6" t="s">
        <v>36</v>
      </c>
      <c r="G226" s="6" t="s">
        <v>37</v>
      </c>
      <c r="H226" s="10" t="s">
        <v>38</v>
      </c>
      <c r="I226" s="3" t="s">
        <v>72</v>
      </c>
      <c r="J226" s="11">
        <f>0</f>
        <v>0</v>
      </c>
      <c r="K226" s="3" t="s">
        <v>87</v>
      </c>
      <c r="L226" s="11">
        <f>G206*4</f>
        <v>0</v>
      </c>
    </row>
    <row r="227" spans="1:12" x14ac:dyDescent="0.4">
      <c r="A227" s="25"/>
      <c r="B227" s="3" t="s">
        <v>39</v>
      </c>
      <c r="H227" s="11"/>
      <c r="I227" s="3" t="s">
        <v>73</v>
      </c>
      <c r="J227" s="11" t="e">
        <f>0.1*L199</f>
        <v>#DIV/0!</v>
      </c>
      <c r="K227" s="3" t="s">
        <v>88</v>
      </c>
      <c r="L227" s="11">
        <f>L201-J220+L216</f>
        <v>2858281.3128179167</v>
      </c>
    </row>
    <row r="228" spans="1:12" x14ac:dyDescent="0.4">
      <c r="A228" s="25"/>
      <c r="B228" s="3" t="s">
        <v>40</v>
      </c>
      <c r="C228" s="7"/>
      <c r="D228" s="7"/>
      <c r="E228" s="7"/>
      <c r="G228" s="7"/>
      <c r="H228" s="11"/>
      <c r="I228" s="3" t="s">
        <v>74</v>
      </c>
      <c r="J228" s="11">
        <f>0.5*L200</f>
        <v>0</v>
      </c>
      <c r="K228" s="3" t="s">
        <v>89</v>
      </c>
      <c r="L228" s="11" t="e">
        <f>SUM(L224:L227)</f>
        <v>#DIV/0!</v>
      </c>
    </row>
    <row r="229" spans="1:12" x14ac:dyDescent="0.4">
      <c r="A229" s="25"/>
      <c r="B229" s="3" t="s">
        <v>41</v>
      </c>
      <c r="C229" s="7"/>
      <c r="D229" s="7"/>
      <c r="E229" s="7"/>
      <c r="H229" s="11"/>
      <c r="I229" s="3" t="s">
        <v>75</v>
      </c>
      <c r="J229" s="11" t="e">
        <f>$H$1/4*L229+$H$1/4*3*L204</f>
        <v>#DIV/0!</v>
      </c>
      <c r="K229" s="3" t="s">
        <v>90</v>
      </c>
      <c r="L229" s="11" t="e">
        <f>L205+F218-F219</f>
        <v>#DIV/0!</v>
      </c>
    </row>
    <row r="230" spans="1:12" x14ac:dyDescent="0.4">
      <c r="A230" s="25"/>
      <c r="B230" s="3" t="s">
        <v>42</v>
      </c>
      <c r="C230" s="7"/>
      <c r="D230" s="7"/>
      <c r="E230" s="7"/>
      <c r="H230" s="11"/>
      <c r="I230" s="3" t="s">
        <v>0</v>
      </c>
      <c r="J230" s="11">
        <f>J211/(1+$B$1)*$B$1</f>
        <v>0</v>
      </c>
      <c r="K230" s="3" t="s">
        <v>91</v>
      </c>
      <c r="L230" s="11" t="e">
        <f>IF(L221&gt;0,0,-L221)</f>
        <v>#DIV/0!</v>
      </c>
    </row>
    <row r="231" spans="1:12" x14ac:dyDescent="0.4">
      <c r="A231" s="25"/>
      <c r="B231" s="3" t="s">
        <v>43</v>
      </c>
      <c r="C231" s="1" t="s">
        <v>44</v>
      </c>
      <c r="D231" s="1" t="s">
        <v>45</v>
      </c>
      <c r="E231" s="1" t="s">
        <v>46</v>
      </c>
      <c r="F231" s="1" t="s">
        <v>47</v>
      </c>
      <c r="G231" s="1" t="s">
        <v>48</v>
      </c>
      <c r="H231" s="11" t="s">
        <v>49</v>
      </c>
      <c r="I231" s="3" t="s">
        <v>2</v>
      </c>
      <c r="J231" s="11">
        <f>J230*$D$1</f>
        <v>0</v>
      </c>
      <c r="K231" s="3" t="s">
        <v>92</v>
      </c>
      <c r="L231" s="11" t="e">
        <f>L229+L230</f>
        <v>#DIV/0!</v>
      </c>
    </row>
    <row r="232" spans="1:12" ht="14.25" thickBot="1" x14ac:dyDescent="0.45">
      <c r="A232" s="25"/>
      <c r="B232" s="3"/>
      <c r="C232" s="7"/>
      <c r="D232" s="7"/>
      <c r="E232" s="7"/>
      <c r="G232" s="7"/>
      <c r="H232" s="11"/>
      <c r="I232" s="3" t="s">
        <v>4</v>
      </c>
      <c r="J232" s="11" t="e">
        <f>IF(L234&lt;=0,0,L234)</f>
        <v>#DIV/0!</v>
      </c>
      <c r="K232" s="4" t="s">
        <v>93</v>
      </c>
      <c r="L232" s="12" t="e">
        <f>L228-L231</f>
        <v>#DIV/0!</v>
      </c>
    </row>
    <row r="233" spans="1:12" ht="14.25" thickBot="1" x14ac:dyDescent="0.45">
      <c r="A233" s="25"/>
      <c r="B233" s="3" t="s">
        <v>50</v>
      </c>
      <c r="C233" s="1" t="s">
        <v>51</v>
      </c>
      <c r="D233" s="1" t="s">
        <v>52</v>
      </c>
      <c r="E233" s="1" t="s">
        <v>53</v>
      </c>
      <c r="F233" s="1" t="s">
        <v>54</v>
      </c>
      <c r="G233" s="1" t="s">
        <v>55</v>
      </c>
      <c r="H233" s="11" t="s">
        <v>56</v>
      </c>
      <c r="I233" s="3" t="s">
        <v>76</v>
      </c>
      <c r="J233" s="11" t="e">
        <f>SUM(J212:J232)</f>
        <v>#DIV/0!</v>
      </c>
      <c r="L233" s="11"/>
    </row>
    <row r="234" spans="1:12" ht="14.25" thickBot="1" x14ac:dyDescent="0.45">
      <c r="A234" s="26"/>
      <c r="B234" s="5"/>
      <c r="C234" s="9"/>
      <c r="D234" s="9"/>
      <c r="E234" s="8"/>
      <c r="F234" s="9"/>
      <c r="G234" s="8"/>
      <c r="H234" s="12"/>
      <c r="I234" s="4" t="s">
        <v>77</v>
      </c>
      <c r="J234" s="12" t="e">
        <f>J211-J233</f>
        <v>#DIV/0!</v>
      </c>
      <c r="K234" s="21" t="s">
        <v>5</v>
      </c>
      <c r="L234" s="22" t="e">
        <f>(J211/(1+$B$1)-SUM(J212:J231)+J230)*$F$1</f>
        <v>#DIV/0!</v>
      </c>
    </row>
  </sheetData>
  <mergeCells count="45">
    <mergeCell ref="A210:A234"/>
    <mergeCell ref="I210:J210"/>
    <mergeCell ref="K210:L210"/>
    <mergeCell ref="K223:L223"/>
    <mergeCell ref="B225:H225"/>
    <mergeCell ref="A184:A208"/>
    <mergeCell ref="I184:J184"/>
    <mergeCell ref="K184:L184"/>
    <mergeCell ref="K197:L197"/>
    <mergeCell ref="B199:H199"/>
    <mergeCell ref="A158:A182"/>
    <mergeCell ref="I158:J158"/>
    <mergeCell ref="K158:L158"/>
    <mergeCell ref="K171:L171"/>
    <mergeCell ref="B173:H173"/>
    <mergeCell ref="A132:A156"/>
    <mergeCell ref="I132:J132"/>
    <mergeCell ref="K132:L132"/>
    <mergeCell ref="K145:L145"/>
    <mergeCell ref="B147:H147"/>
    <mergeCell ref="A28:A52"/>
    <mergeCell ref="I28:J28"/>
    <mergeCell ref="K28:L28"/>
    <mergeCell ref="K41:L41"/>
    <mergeCell ref="B43:H43"/>
    <mergeCell ref="I2:J2"/>
    <mergeCell ref="K2:L2"/>
    <mergeCell ref="K15:L15"/>
    <mergeCell ref="B17:H17"/>
    <mergeCell ref="A2:A26"/>
    <mergeCell ref="A80:A104"/>
    <mergeCell ref="I80:J80"/>
    <mergeCell ref="K80:L80"/>
    <mergeCell ref="K93:L93"/>
    <mergeCell ref="B95:H95"/>
    <mergeCell ref="A54:A78"/>
    <mergeCell ref="I54:J54"/>
    <mergeCell ref="K54:L54"/>
    <mergeCell ref="K67:L67"/>
    <mergeCell ref="B69:H69"/>
    <mergeCell ref="A106:A130"/>
    <mergeCell ref="I106:J106"/>
    <mergeCell ref="K106:L106"/>
    <mergeCell ref="K119:L119"/>
    <mergeCell ref="B121:H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Kripke Lv</cp:lastModifiedBy>
  <dcterms:created xsi:type="dcterms:W3CDTF">2015-06-05T18:19:34Z</dcterms:created>
  <dcterms:modified xsi:type="dcterms:W3CDTF">2025-05-15T13:45:32Z</dcterms:modified>
</cp:coreProperties>
</file>