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4.xml" ContentType="application/vnd.openxmlformats-officedocument.drawing+xml"/>
  <Override PartName="/xl/comments5.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xml"/>
  <Override PartName="/xl/comments6.xml" ContentType="application/vnd.openxmlformats-officedocument.spreadsheetml.comments+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omments7.xml" ContentType="application/vnd.openxmlformats-officedocument.spreadsheetml.comments+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7.xml" ContentType="application/vnd.openxmlformats-officedocument.drawing+xml"/>
  <Override PartName="/xl/comments8.xml" ContentType="application/vnd.openxmlformats-officedocument.spreadsheetml.comment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8.xml" ContentType="application/vnd.openxmlformats-officedocument.drawing+xml"/>
  <Override PartName="/xl/comments9.xml" ContentType="application/vnd.openxmlformats-officedocument.spreadsheetml.comment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xr:revisionPtr revIDLastSave="1" documentId="11_A05E73782DC2F6CBE7C425CAA10D69BD7783C919" xr6:coauthVersionLast="47" xr6:coauthVersionMax="47" xr10:uidLastSave="{D424D3AC-A837-41C4-94E3-DB76F29F2898}"/>
  <bookViews>
    <workbookView xWindow="0" yWindow="0" windowWidth="0" windowHeight="0" xr2:uid="{00000000-000D-0000-FFFF-FFFF00000000}"/>
  </bookViews>
  <sheets>
    <sheet name="Cover" sheetId="1" r:id="rId1"/>
    <sheet name="BTC" sheetId="2" r:id="rId2"/>
    <sheet name="Macro" sheetId="3" r:id="rId3"/>
    <sheet name="Individual" sheetId="4" r:id="rId4"/>
    <sheet name="Corporate" sheetId="5" r:id="rId5"/>
    <sheet name="Institution" sheetId="6" r:id="rId6"/>
    <sheet name="Indebted Nation" sheetId="7" r:id="rId7"/>
    <sheet name="Wealthy Nation" sheetId="8" r:id="rId8"/>
    <sheet name="United States" sheetId="9" r:id="rId9"/>
  </sheets>
  <definedNames>
    <definedName name="_bdm.0049a8e20a8040eb889cd855b0eec9ed.edm" localSheetId="2">Macro!$AB$1</definedName>
    <definedName name="_bdm.013ec66741664470a674c680d2a86687.edm" localSheetId="4">Corporate!$AA$104</definedName>
    <definedName name="_bdm.013ec66741664470a674c680d2a86687.edm" localSheetId="7">'Wealthy Nation'!$AA$28</definedName>
    <definedName name="_bdm.013ec66741664470a674c680d2a86687.edm" localSheetId="8">'United States'!$AA$36</definedName>
    <definedName name="_bdm.013ec66741664470a674c680d2a86687.edm" localSheetId="6">'Indebted Nation'!$AA$28</definedName>
    <definedName name="_bdm.02ea3b0af15d47a1a5ace0e562eba5b3.edm" localSheetId="2">Macro!$AK$2</definedName>
    <definedName name="_bdm.0475e0b0bce544168b16aa2072a5c457.edm">Macro!$1:$1048576</definedName>
    <definedName name="_bdm.05c6b60aef6e4c2d90f191dd0c859e93.edm" localSheetId="2">Macro!$I$2</definedName>
    <definedName name="_bdm.05f11a4ea9c3421099ed927df15047dd.edm" localSheetId="2">Macro!$Z$2</definedName>
    <definedName name="_bdm.06f6f531d15a4f9fbac8f17280a3830e.edm" localSheetId="2">Macro!$AM$2</definedName>
    <definedName name="_bdm.0a5a74caf834457f959c9243df7a1ff2.edm" localSheetId="2">Macro!$K$2</definedName>
    <definedName name="_bdm.0c394c1720a04baca280f39cb6a6c9bb.edm" localSheetId="2">Macro!$AC$1</definedName>
    <definedName name="_bdm.124739df99da439dace9d84cc03decc7.edm" localSheetId="2">Macro!$AP$2</definedName>
    <definedName name="_bdm.137a032febba4015956a3fabc859b1ab.edm" localSheetId="2">Macro!$T$2</definedName>
    <definedName name="_bdm.14c5b48005d444018d7107ad6cc687ed.edm" localSheetId="2">Macro!$AA$1</definedName>
    <definedName name="_bdm.18bbd2a1e90b47cb86c8aafb2d8608e5.edm" localSheetId="2">Macro!$AC$2</definedName>
    <definedName name="_bdm.190afd5f77484ce79532bcf2a6e52402.edm" localSheetId="2">Macro!$L$2</definedName>
    <definedName name="_bdm.1a520171ec5b4388bd03a2f850014061.edm" localSheetId="2">Macro!$X$2</definedName>
    <definedName name="_bdm.1a567d03fc3f490ead484610614e3773.edm" localSheetId="2">Macro!$C$2</definedName>
    <definedName name="_bdm.265eab002bda48c4a5cc552159aebcb6.edm" localSheetId="2">Macro!$AI$1</definedName>
    <definedName name="_bdm.2667736f498c446c878d59ec1639b314.edm" localSheetId="2">Macro!$AL$1</definedName>
    <definedName name="_bdm.26beb6f9c018462c8c41868729ee3208.edm" localSheetId="2">Macro!$AN$2</definedName>
    <definedName name="_bdm.287d3308cea44610bb8f89dc22ae1ccf.edm" localSheetId="2">Macro!$AR$2</definedName>
    <definedName name="_bdm.29e9fef357654dc0bbbaa8e88a78b245.edm" localSheetId="2">Macro!$E$1</definedName>
    <definedName name="_bdm.2ab724a0a1dd4088addafb414d983e0e.edm" localSheetId="2">Macro!$AQ$1</definedName>
    <definedName name="_bdm.2b6c6c1ffc474926b9377c5cd3b262e0.edm" localSheetId="2">Macro!$O$1</definedName>
    <definedName name="_bdm.2f0c884b092344e8a28a5460d88a3216.edm" localSheetId="2">Macro!$AG$2</definedName>
    <definedName name="_bdm.30b989f20c22493e8025d90d19a437a7.edm" localSheetId="2">Macro!$U$1</definedName>
    <definedName name="_bdm.3337f0db7d79495c8ab765a5f4dec183.edm" localSheetId="2">Macro!$AE$1</definedName>
    <definedName name="_bdm.35219672dddd483783bc413f334114fe.edm" localSheetId="2">Macro!$D$2</definedName>
    <definedName name="_bdm.368dda4df99b42b49b8f89392baa040c.edm" localSheetId="2">Macro!$T$1</definedName>
    <definedName name="_bdm.378e86b4177340f985bbd0183bfbc5a6.edm" localSheetId="2">Macro!$H$1</definedName>
    <definedName name="_bdm.3a25d893726b4613b900bfc0c603b901.edm" localSheetId="2">Macro!$Q$1</definedName>
    <definedName name="_bdm.3e4383de02e846478301fa458a078e13.edm" localSheetId="2">Macro!$F$1</definedName>
    <definedName name="_bdm.41f6f46b5d0c479dbbb53a7dd6a7b1b1.edm" localSheetId="2">Macro!$M$1</definedName>
    <definedName name="_bdm.4487fde0b3ea4179981b804f6f1ae52f.edm" localSheetId="2">Macro!$V$1</definedName>
    <definedName name="_bdm.44dd05537e5f4b7c9aeb37bae310351e.edm" localSheetId="2">Macro!$Y$1</definedName>
    <definedName name="_bdm.47c2c8349d534da3873c3f5b8baa40cb.edm" localSheetId="2">Macro!$S$2</definedName>
    <definedName name="_bdm.4b0959a836824d86be6a3137d07dee63.edm" localSheetId="2">Macro!$B$1</definedName>
    <definedName name="_bdm.4be38086923447c1b9b21e04a9942565.edm" localSheetId="2">Macro!$G$1</definedName>
    <definedName name="_bdm.4d1da8974fb240d89136e3b54354227d.edm" localSheetId="2">Macro!$W$1</definedName>
    <definedName name="_bdm.514a6bc283ed4b5899e33a4efc11e200.edm" localSheetId="2">Macro!$Z$1</definedName>
    <definedName name="_bdm.54a4a49d383e471789c5da2f80310518.edm" localSheetId="2">Macro!$J$2</definedName>
    <definedName name="_bdm.5618f300b40c4d07afb32183103dd6f7.edm" localSheetId="2">Macro!$AO$2</definedName>
    <definedName name="_bdm.57fc037c67564df4bee99368cd1cefb0.edm" localSheetId="2">Macro!$W$2</definedName>
    <definedName name="_bdm.58cf434a20834c48ba435ce337264d51.edm" localSheetId="2">Macro!$AO$1</definedName>
    <definedName name="_bdm.5ae86ae13194461a994d883fb8d87ee7.edm" localSheetId="2">Macro!$F$2</definedName>
    <definedName name="_bdm.5ec456e9bee54b47a876d4cb89d9ac37.edm" localSheetId="2">Macro!$N$2</definedName>
    <definedName name="_bdm.666c87ddb84b43c69ebfe3afb10459cb.edm" localSheetId="2">Macro!$AH$2</definedName>
    <definedName name="_bdm.66aacc27493e44cebcbc0e4813d54ec5.edm" localSheetId="2">Macro!$X$1</definedName>
    <definedName name="_bdm.687acccd79424994abd534fb51df1392.edm" localSheetId="2">Macro!$AQ$2</definedName>
    <definedName name="_bdm.6a88fa1f97f0410e9a64fa090f8cf036.edm" localSheetId="2">Macro!$AR$1</definedName>
    <definedName name="_bdm.6dfce13b099f40dab32733e297a69888.edm" localSheetId="2">Macro!$B$2</definedName>
    <definedName name="_bdm.6e406564e0fc444fb593be320f311ba5.edm" localSheetId="2">Macro!$U$2</definedName>
    <definedName name="_bdm.72ba91f751424e81b1eccb204ff92c04.edm" localSheetId="2">Macro!$E$2</definedName>
    <definedName name="_bdm.77d5141f1b3f48bf9ac9f579973e1298.edm" localSheetId="2">Macro!$C$4</definedName>
    <definedName name="_bdm.796d1035697a4724a7bfc4b19f90cc10.edm" localSheetId="2">Macro!$P$2</definedName>
    <definedName name="_bdm.7be396a1751e4ecaac49a77da2ccc494.edm" localSheetId="2">Macro!$AI$2</definedName>
    <definedName name="_bdm.82be5cf196f14d3ab7e42b666867134a.edm" localSheetId="2">Macro!$AF$1</definedName>
    <definedName name="_bdm.8bbd3ee304354a37969dd4d484f9559a.edm" localSheetId="2">Macro!$R$1</definedName>
    <definedName name="_bdm.8e919867fd134c6bb152e7f132c14766.edm" localSheetId="2">Macro!$J$1</definedName>
    <definedName name="_bdm.905023897f774c02b2ab4c1a7f9f19a2.edm" localSheetId="2">Macro!$AF$2</definedName>
    <definedName name="_bdm.91281a1a5c4545b5b2b395cad7ec723e.edm" localSheetId="2">Macro!$N$1</definedName>
    <definedName name="_bdm.91e9e00cb03a478eac6926c0696a614a.edm" localSheetId="2">Macro!$G$2</definedName>
    <definedName name="_bdm.9279748a9f224ceba4167d6c18972be6.edm" localSheetId="2">Macro!$Q$2</definedName>
    <definedName name="_bdm.948d1c7ece31431a8aa1ffdc7266ed3e.edm" localSheetId="2">Macro!$R$2</definedName>
    <definedName name="_bdm.9be5477fbd2a4deebeb05c800e13fded.edm" localSheetId="2">Macro!$AJ$2</definedName>
    <definedName name="_bdm.a1e094a5e82042f7aabd9e3fac1ec8c5.edm" localSheetId="2">Macro!$AB$2</definedName>
    <definedName name="_bdm.a8557ce6855c413bb56366b0c87997bf.edm" localSheetId="2">Macro!$AD$2</definedName>
    <definedName name="_bdm.a87d355ac76640af9136198d73b921a4.edm" localSheetId="2">Macro!$AP$1</definedName>
    <definedName name="_bdm.a8de94a2977a4e1f8602eaf126bef98c.edm" localSheetId="2">Macro!$M$2</definedName>
    <definedName name="_bdm.aa9846a8ef614b2f8ec45c7af8d7a61c.edm" localSheetId="2">Macro!$O$2</definedName>
    <definedName name="_bdm.b1b41b1302ed45a2bdd74b7a4e3d426f.edm" localSheetId="2">Macro!$K$1</definedName>
    <definedName name="_bdm.b3a164f5dc4a421ea7d6b6bb60b079bc.edm" localSheetId="2">Macro!$AE$2</definedName>
    <definedName name="_bdm.be2a239385a04ea283cc535e63244754.edm" localSheetId="2">Macro!$D$1</definedName>
    <definedName name="_bdm.c06c5aa4e1894a929f64ba1705057c99.edm" localSheetId="2">Macro!$AA$2</definedName>
    <definedName name="_bdm.c5947e3962a24c358aee0b1fde60e64b.edm" localSheetId="7">'Wealthy Nation'!$1:$1048576</definedName>
    <definedName name="_bdm.c5947e3962a24c358aee0b1fde60e64b.edm" localSheetId="8">'United States'!$1:$1048576</definedName>
    <definedName name="_bdm.c5947e3962a24c358aee0b1fde60e64b.edm" localSheetId="6">'Indebted Nation'!$1:$1048576</definedName>
    <definedName name="_bdm.c5947e3962a24c358aee0b1fde60e64b.edm">Corporate!$1:$1048576</definedName>
    <definedName name="_bdm.cbd04834196d4810add66aab53fb427b.edm" localSheetId="2">Macro!$AL$2</definedName>
    <definedName name="_bdm.d1ed71397b204e7f9c793d6785d587fa.edm" localSheetId="2">Macro!$P$1</definedName>
    <definedName name="_bdm.d615688b912548f18c750b91c60813ca.edm" localSheetId="2">Macro!$AM$1</definedName>
    <definedName name="_bdm.d859fdbc6ca04bca92a0c66481ae7377.edm" localSheetId="2">Macro!$H$2</definedName>
    <definedName name="_bdm.e262decb413b41278181cf52d53ea035.edm" localSheetId="2">Macro!$AG$1</definedName>
    <definedName name="_bdm.e391ad267e704fc58bca6dda5e7101c2.edm" localSheetId="2">Macro!$Y$2</definedName>
    <definedName name="_bdm.e5165182868e42b4971cb9efc69c926d.edm" localSheetId="2">Macro!$AH$1</definedName>
    <definedName name="_bdm.eeaa878136d64660aceeec5ca6c358ea.edm" localSheetId="2">Macro!$AK$1</definedName>
    <definedName name="_bdm.ef03d31ed8cc47f4a188eded71e1aec5.edm" localSheetId="2">Macro!$V$2</definedName>
    <definedName name="_bdm.f3d9d5bf03624e788ad366482bddc6bb.edm" localSheetId="2">Macro!$AD$1</definedName>
    <definedName name="_bdm.f5436c485d454245bd50469ff9dbd191.edm" localSheetId="2">Macro!$AN$1</definedName>
    <definedName name="_bdm.fa413b3320f3438281fd67d93cbcc91e.edm" localSheetId="2">Macro!$L$1</definedName>
    <definedName name="_bdm.fcec1515bf474b859b5d6bc224330a68.edm" localSheetId="2">Macro!$AJ$1</definedName>
    <definedName name="CaseOptions">BTC!$E$6:$G$6</definedName>
    <definedName name="SelectedCase">BTC!$D$6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9" l="1"/>
  <c r="AE43" i="9"/>
  <c r="AD43" i="9"/>
  <c r="AC43" i="9"/>
  <c r="AB43" i="9"/>
  <c r="AA43" i="9"/>
  <c r="AE42" i="9"/>
  <c r="AD42" i="9"/>
  <c r="AC42" i="9"/>
  <c r="AB42" i="9"/>
  <c r="AA42" i="9"/>
  <c r="AE41" i="9"/>
  <c r="AD41" i="9"/>
  <c r="AC41" i="9"/>
  <c r="AB41" i="9"/>
  <c r="AA41" i="9"/>
  <c r="D40" i="9"/>
  <c r="D29" i="9"/>
  <c r="E29" i="9" s="1"/>
  <c r="D28" i="9"/>
  <c r="D17" i="9"/>
  <c r="D24" i="9" s="1"/>
  <c r="D16" i="9"/>
  <c r="AG16" i="9" s="1"/>
  <c r="V8" i="9"/>
  <c r="AJ6" i="9"/>
  <c r="D40" i="8"/>
  <c r="D26" i="8"/>
  <c r="D25" i="8"/>
  <c r="E25" i="8" s="1"/>
  <c r="D24" i="8"/>
  <c r="D21" i="8"/>
  <c r="D19" i="8"/>
  <c r="AG19" i="8" s="1"/>
  <c r="V10" i="8"/>
  <c r="O8" i="8"/>
  <c r="AJ6" i="8"/>
  <c r="D41" i="7"/>
  <c r="D26" i="7"/>
  <c r="D25" i="7"/>
  <c r="E25" i="7" s="1"/>
  <c r="D24" i="7"/>
  <c r="D21" i="7"/>
  <c r="D19" i="7"/>
  <c r="AH19" i="7" s="1"/>
  <c r="V10" i="7"/>
  <c r="O8" i="7"/>
  <c r="D30" i="6"/>
  <c r="D33" i="6" s="1"/>
  <c r="D17" i="6"/>
  <c r="AG17" i="6" s="1"/>
  <c r="V11" i="6"/>
  <c r="O10" i="6"/>
  <c r="AJ7" i="6"/>
  <c r="D119" i="5"/>
  <c r="D114" i="5"/>
  <c r="D102" i="5"/>
  <c r="D31" i="5"/>
  <c r="AH19" i="5"/>
  <c r="D19" i="5"/>
  <c r="AG19" i="5" s="1"/>
  <c r="V10" i="5"/>
  <c r="AJ7" i="5"/>
  <c r="D7" i="5"/>
  <c r="AE5" i="5"/>
  <c r="D28" i="4"/>
  <c r="D19" i="4"/>
  <c r="AG19" i="4" s="1"/>
  <c r="J15" i="4"/>
  <c r="O15" i="4" s="1"/>
  <c r="T15" i="4" s="1"/>
  <c r="Y14" i="4"/>
  <c r="T14" i="4"/>
  <c r="AA11" i="4"/>
  <c r="O9" i="4"/>
  <c r="AK6" i="4"/>
  <c r="AE4" i="4"/>
  <c r="C81" i="3"/>
  <c r="C80" i="3"/>
  <c r="C79" i="3"/>
  <c r="D76" i="3"/>
  <c r="E76" i="3" s="1"/>
  <c r="F76" i="3" s="1"/>
  <c r="G76" i="3" s="1"/>
  <c r="H76" i="3" s="1"/>
  <c r="I76" i="3" s="1"/>
  <c r="J76" i="3" s="1"/>
  <c r="K76" i="3" s="1"/>
  <c r="L76" i="3" s="1"/>
  <c r="M76" i="3" s="1"/>
  <c r="N76" i="3" s="1"/>
  <c r="O76" i="3" s="1"/>
  <c r="P76" i="3" s="1"/>
  <c r="Q76" i="3" s="1"/>
  <c r="R76" i="3" s="1"/>
  <c r="S76" i="3" s="1"/>
  <c r="T76" i="3" s="1"/>
  <c r="U76" i="3" s="1"/>
  <c r="V76" i="3" s="1"/>
  <c r="W76" i="3" s="1"/>
  <c r="X76" i="3" s="1"/>
  <c r="D75" i="3"/>
  <c r="E75" i="3" s="1"/>
  <c r="F75" i="3" s="1"/>
  <c r="G75" i="3" s="1"/>
  <c r="H75" i="3" s="1"/>
  <c r="I75" i="3" s="1"/>
  <c r="J75" i="3" s="1"/>
  <c r="K75" i="3" s="1"/>
  <c r="L75" i="3" s="1"/>
  <c r="M75" i="3" s="1"/>
  <c r="N75" i="3" s="1"/>
  <c r="O75" i="3" s="1"/>
  <c r="P75" i="3" s="1"/>
  <c r="Q75" i="3" s="1"/>
  <c r="R75" i="3" s="1"/>
  <c r="S75" i="3" s="1"/>
  <c r="T75" i="3" s="1"/>
  <c r="U75" i="3" s="1"/>
  <c r="V75" i="3" s="1"/>
  <c r="W75" i="3" s="1"/>
  <c r="X75" i="3" s="1"/>
  <c r="D66" i="3"/>
  <c r="E66" i="3" s="1"/>
  <c r="F66" i="3" s="1"/>
  <c r="G66" i="3" s="1"/>
  <c r="H66" i="3" s="1"/>
  <c r="I66" i="3" s="1"/>
  <c r="J66" i="3" s="1"/>
  <c r="K66" i="3" s="1"/>
  <c r="L66" i="3" s="1"/>
  <c r="M66" i="3" s="1"/>
  <c r="N66" i="3" s="1"/>
  <c r="O66" i="3" s="1"/>
  <c r="P66" i="3" s="1"/>
  <c r="Q66" i="3" s="1"/>
  <c r="R66" i="3" s="1"/>
  <c r="S66" i="3" s="1"/>
  <c r="T66" i="3" s="1"/>
  <c r="U66" i="3" s="1"/>
  <c r="V66" i="3" s="1"/>
  <c r="W66" i="3" s="1"/>
  <c r="X66" i="3" s="1"/>
  <c r="D65" i="3"/>
  <c r="E65" i="3" s="1"/>
  <c r="F65" i="3" s="1"/>
  <c r="G65" i="3" s="1"/>
  <c r="H65" i="3" s="1"/>
  <c r="I65" i="3" s="1"/>
  <c r="J65" i="3" s="1"/>
  <c r="K65" i="3" s="1"/>
  <c r="L65" i="3" s="1"/>
  <c r="M65" i="3" s="1"/>
  <c r="N65" i="3" s="1"/>
  <c r="O65" i="3" s="1"/>
  <c r="P65" i="3" s="1"/>
  <c r="Q65" i="3" s="1"/>
  <c r="R65" i="3" s="1"/>
  <c r="S65" i="3" s="1"/>
  <c r="T65" i="3" s="1"/>
  <c r="U65" i="3" s="1"/>
  <c r="V65" i="3" s="1"/>
  <c r="W65" i="3" s="1"/>
  <c r="X65" i="3" s="1"/>
  <c r="D64" i="3"/>
  <c r="E64" i="3" s="1"/>
  <c r="F64" i="3" s="1"/>
  <c r="G64" i="3" s="1"/>
  <c r="H64" i="3" s="1"/>
  <c r="I64" i="3" s="1"/>
  <c r="J64" i="3" s="1"/>
  <c r="K64" i="3" s="1"/>
  <c r="L64" i="3" s="1"/>
  <c r="M64" i="3" s="1"/>
  <c r="N64" i="3" s="1"/>
  <c r="O64" i="3" s="1"/>
  <c r="P64" i="3" s="1"/>
  <c r="Q64" i="3" s="1"/>
  <c r="R64" i="3" s="1"/>
  <c r="S64" i="3" s="1"/>
  <c r="T64" i="3" s="1"/>
  <c r="U64" i="3" s="1"/>
  <c r="V64" i="3" s="1"/>
  <c r="W64" i="3" s="1"/>
  <c r="X64" i="3" s="1"/>
  <c r="D63" i="3"/>
  <c r="E63" i="3" s="1"/>
  <c r="F63" i="3" s="1"/>
  <c r="G63" i="3" s="1"/>
  <c r="H63" i="3" s="1"/>
  <c r="I63" i="3" s="1"/>
  <c r="J63" i="3" s="1"/>
  <c r="K63" i="3" s="1"/>
  <c r="L63" i="3" s="1"/>
  <c r="M63" i="3" s="1"/>
  <c r="N63" i="3" s="1"/>
  <c r="O63" i="3" s="1"/>
  <c r="P63" i="3" s="1"/>
  <c r="Q63" i="3" s="1"/>
  <c r="R63" i="3" s="1"/>
  <c r="S63" i="3" s="1"/>
  <c r="T63" i="3" s="1"/>
  <c r="U63" i="3" s="1"/>
  <c r="V63" i="3" s="1"/>
  <c r="W63" i="3" s="1"/>
  <c r="X63" i="3" s="1"/>
  <c r="D50" i="3"/>
  <c r="E50" i="3" s="1"/>
  <c r="F50" i="3" s="1"/>
  <c r="G50" i="3" s="1"/>
  <c r="H50" i="3" s="1"/>
  <c r="I50" i="3" s="1"/>
  <c r="J50" i="3" s="1"/>
  <c r="K50" i="3" s="1"/>
  <c r="L50" i="3" s="1"/>
  <c r="M50" i="3" s="1"/>
  <c r="N50" i="3" s="1"/>
  <c r="O50" i="3" s="1"/>
  <c r="P50" i="3" s="1"/>
  <c r="Q50" i="3" s="1"/>
  <c r="R50" i="3" s="1"/>
  <c r="S50" i="3" s="1"/>
  <c r="T50" i="3" s="1"/>
  <c r="U50" i="3" s="1"/>
  <c r="V50" i="3" s="1"/>
  <c r="W50" i="3" s="1"/>
  <c r="X50" i="3" s="1"/>
  <c r="D49" i="3"/>
  <c r="E49" i="3" s="1"/>
  <c r="F49" i="3" s="1"/>
  <c r="G49" i="3" s="1"/>
  <c r="H49" i="3" s="1"/>
  <c r="I49" i="3" s="1"/>
  <c r="J49" i="3" s="1"/>
  <c r="K49" i="3" s="1"/>
  <c r="L49" i="3" s="1"/>
  <c r="M49" i="3" s="1"/>
  <c r="N49" i="3" s="1"/>
  <c r="O49" i="3" s="1"/>
  <c r="P49" i="3" s="1"/>
  <c r="Q49" i="3" s="1"/>
  <c r="R49" i="3" s="1"/>
  <c r="S49" i="3" s="1"/>
  <c r="T49" i="3" s="1"/>
  <c r="U49" i="3" s="1"/>
  <c r="V49" i="3" s="1"/>
  <c r="W49" i="3" s="1"/>
  <c r="X49" i="3" s="1"/>
  <c r="D48" i="3"/>
  <c r="E48" i="3" s="1"/>
  <c r="F48" i="3" s="1"/>
  <c r="G48" i="3" s="1"/>
  <c r="H48" i="3" s="1"/>
  <c r="I48" i="3" s="1"/>
  <c r="J48" i="3" s="1"/>
  <c r="K48" i="3" s="1"/>
  <c r="L48" i="3" s="1"/>
  <c r="M48" i="3" s="1"/>
  <c r="N48" i="3" s="1"/>
  <c r="O48" i="3" s="1"/>
  <c r="P48" i="3" s="1"/>
  <c r="Q48" i="3" s="1"/>
  <c r="R48" i="3" s="1"/>
  <c r="S48" i="3" s="1"/>
  <c r="T48" i="3" s="1"/>
  <c r="U48" i="3" s="1"/>
  <c r="V48" i="3" s="1"/>
  <c r="W48" i="3" s="1"/>
  <c r="X48" i="3" s="1"/>
  <c r="D47" i="3"/>
  <c r="E47" i="3" s="1"/>
  <c r="F47" i="3" s="1"/>
  <c r="G47" i="3" s="1"/>
  <c r="H47" i="3" s="1"/>
  <c r="I47" i="3" s="1"/>
  <c r="J47" i="3" s="1"/>
  <c r="K47" i="3" s="1"/>
  <c r="L47" i="3" s="1"/>
  <c r="M47" i="3" s="1"/>
  <c r="N47" i="3" s="1"/>
  <c r="O47" i="3" s="1"/>
  <c r="P47" i="3" s="1"/>
  <c r="Q47" i="3" s="1"/>
  <c r="R47" i="3" s="1"/>
  <c r="S47" i="3" s="1"/>
  <c r="T47" i="3" s="1"/>
  <c r="U47" i="3" s="1"/>
  <c r="V47" i="3" s="1"/>
  <c r="W47" i="3" s="1"/>
  <c r="X47" i="3" s="1"/>
  <c r="D46" i="3"/>
  <c r="E46" i="3" s="1"/>
  <c r="F46" i="3" s="1"/>
  <c r="G46" i="3" s="1"/>
  <c r="H46" i="3" s="1"/>
  <c r="I46" i="3" s="1"/>
  <c r="J46" i="3" s="1"/>
  <c r="K46" i="3" s="1"/>
  <c r="L46" i="3" s="1"/>
  <c r="M46" i="3" s="1"/>
  <c r="N46" i="3" s="1"/>
  <c r="O46" i="3" s="1"/>
  <c r="P46" i="3" s="1"/>
  <c r="Q46" i="3" s="1"/>
  <c r="R46" i="3" s="1"/>
  <c r="S46" i="3" s="1"/>
  <c r="T46" i="3" s="1"/>
  <c r="U46" i="3" s="1"/>
  <c r="V46" i="3" s="1"/>
  <c r="W46" i="3" s="1"/>
  <c r="X46" i="3" s="1"/>
  <c r="D45" i="3"/>
  <c r="E45" i="3" s="1"/>
  <c r="F45" i="3" s="1"/>
  <c r="G45" i="3" s="1"/>
  <c r="H45" i="3" s="1"/>
  <c r="I45" i="3" s="1"/>
  <c r="J45" i="3" s="1"/>
  <c r="K45" i="3" s="1"/>
  <c r="L45" i="3" s="1"/>
  <c r="M45" i="3" s="1"/>
  <c r="N45" i="3" s="1"/>
  <c r="O45" i="3" s="1"/>
  <c r="P45" i="3" s="1"/>
  <c r="Q45" i="3" s="1"/>
  <c r="R45" i="3" s="1"/>
  <c r="S45" i="3" s="1"/>
  <c r="T45" i="3" s="1"/>
  <c r="U45" i="3" s="1"/>
  <c r="V45" i="3" s="1"/>
  <c r="W45" i="3" s="1"/>
  <c r="X45" i="3" s="1"/>
  <c r="D42" i="3"/>
  <c r="E42" i="3" s="1"/>
  <c r="F42" i="3" s="1"/>
  <c r="G42" i="3" s="1"/>
  <c r="H42" i="3" s="1"/>
  <c r="I42" i="3" s="1"/>
  <c r="J42" i="3" s="1"/>
  <c r="K42" i="3" s="1"/>
  <c r="L42" i="3" s="1"/>
  <c r="M42" i="3" s="1"/>
  <c r="N42" i="3" s="1"/>
  <c r="O42" i="3" s="1"/>
  <c r="P42" i="3" s="1"/>
  <c r="Q42" i="3" s="1"/>
  <c r="R42" i="3" s="1"/>
  <c r="S42" i="3" s="1"/>
  <c r="T42" i="3" s="1"/>
  <c r="U42" i="3" s="1"/>
  <c r="V42" i="3" s="1"/>
  <c r="W42" i="3" s="1"/>
  <c r="X42" i="3" s="1"/>
  <c r="C41" i="3"/>
  <c r="D41" i="3" s="1"/>
  <c r="E41" i="3" s="1"/>
  <c r="F41" i="3" s="1"/>
  <c r="G41" i="3" s="1"/>
  <c r="H41" i="3" s="1"/>
  <c r="I41" i="3" s="1"/>
  <c r="J41" i="3" s="1"/>
  <c r="K41" i="3" s="1"/>
  <c r="L41" i="3" s="1"/>
  <c r="M41" i="3" s="1"/>
  <c r="N41" i="3" s="1"/>
  <c r="O41" i="3" s="1"/>
  <c r="P41" i="3" s="1"/>
  <c r="Q41" i="3" s="1"/>
  <c r="R41" i="3" s="1"/>
  <c r="S41" i="3" s="1"/>
  <c r="T41" i="3" s="1"/>
  <c r="U41" i="3" s="1"/>
  <c r="V41" i="3" s="1"/>
  <c r="W41" i="3" s="1"/>
  <c r="X41" i="3" s="1"/>
  <c r="C40" i="3"/>
  <c r="D40" i="3" s="1"/>
  <c r="AD21" i="3"/>
  <c r="AC21" i="3"/>
  <c r="AB21" i="3"/>
  <c r="AA21" i="3"/>
  <c r="Z21" i="3"/>
  <c r="C20" i="3"/>
  <c r="D17" i="3"/>
  <c r="B15" i="2"/>
  <c r="D9" i="2"/>
  <c r="D8" i="2"/>
  <c r="D7" i="2"/>
  <c r="D52" i="3" s="1"/>
  <c r="E52" i="3" s="1"/>
  <c r="F52" i="3" s="1"/>
  <c r="G52" i="3" s="1"/>
  <c r="H52" i="3" s="1"/>
  <c r="I52" i="3" s="1"/>
  <c r="J52" i="3" s="1"/>
  <c r="K52" i="3" s="1"/>
  <c r="L52" i="3" s="1"/>
  <c r="M52" i="3" s="1"/>
  <c r="N52" i="3" s="1"/>
  <c r="O52" i="3" s="1"/>
  <c r="P52" i="3" s="1"/>
  <c r="Q52" i="3" s="1"/>
  <c r="R52" i="3" s="1"/>
  <c r="S52" i="3" s="1"/>
  <c r="T52" i="3" s="1"/>
  <c r="U52" i="3" s="1"/>
  <c r="V52" i="3" s="1"/>
  <c r="W52" i="3" s="1"/>
  <c r="X52" i="3" s="1"/>
  <c r="K5" i="2"/>
  <c r="B16" i="2" l="1"/>
  <c r="E16" i="9"/>
  <c r="E19" i="8"/>
  <c r="E19" i="7"/>
  <c r="E17" i="6"/>
  <c r="E19" i="5"/>
  <c r="E19" i="4"/>
  <c r="E17" i="3"/>
  <c r="D32" i="9"/>
  <c r="D22" i="9"/>
  <c r="D22" i="8"/>
  <c r="D32" i="8" s="1"/>
  <c r="D22" i="7"/>
  <c r="D33" i="7" s="1"/>
  <c r="D20" i="6"/>
  <c r="D22" i="5"/>
  <c r="D24" i="4"/>
  <c r="C22" i="3"/>
  <c r="D20" i="3"/>
  <c r="D60" i="3"/>
  <c r="D28" i="3" s="1"/>
  <c r="D59" i="3"/>
  <c r="D27" i="3" s="1"/>
  <c r="D58" i="3"/>
  <c r="D57" i="3"/>
  <c r="D56" i="3"/>
  <c r="D55" i="3"/>
  <c r="E40" i="3"/>
  <c r="C87" i="3"/>
  <c r="C86" i="3"/>
  <c r="C85" i="3"/>
  <c r="C84" i="3"/>
  <c r="D89" i="3"/>
  <c r="C89" i="3"/>
  <c r="D88" i="3"/>
  <c r="C88" i="3"/>
  <c r="C83" i="3"/>
  <c r="C90" i="3" s="1"/>
  <c r="C37" i="3" s="1"/>
  <c r="AK7" i="4"/>
  <c r="AA15" i="4"/>
  <c r="D20" i="4" s="1"/>
  <c r="E20" i="4" s="1"/>
  <c r="AA14" i="4"/>
  <c r="D32" i="4" s="1"/>
  <c r="E32" i="4" s="1"/>
  <c r="AA13" i="4"/>
  <c r="AA12" i="4"/>
  <c r="Y124" i="5"/>
  <c r="X124" i="5"/>
  <c r="W124" i="5"/>
  <c r="V124" i="5"/>
  <c r="U124" i="5"/>
  <c r="T124" i="5"/>
  <c r="S124" i="5"/>
  <c r="R124" i="5"/>
  <c r="Q124" i="5"/>
  <c r="P124" i="5"/>
  <c r="O124" i="5"/>
  <c r="N124" i="5"/>
  <c r="M124" i="5"/>
  <c r="L124" i="5"/>
  <c r="K124" i="5"/>
  <c r="J124" i="5"/>
  <c r="I124" i="5"/>
  <c r="H124" i="5"/>
  <c r="G124" i="5"/>
  <c r="F124" i="5"/>
  <c r="E124" i="5"/>
  <c r="D124" i="5"/>
  <c r="AJ8" i="5"/>
  <c r="V15" i="5"/>
  <c r="V14" i="5"/>
  <c r="V13" i="5"/>
  <c r="V12" i="5"/>
  <c r="V11" i="5"/>
  <c r="D123" i="5"/>
  <c r="D125" i="5" s="1"/>
  <c r="E102" i="5"/>
  <c r="AJ8" i="6"/>
  <c r="V13" i="6"/>
  <c r="V12" i="6"/>
  <c r="E30" i="6"/>
  <c r="V15" i="7"/>
  <c r="V14" i="7"/>
  <c r="V12" i="7"/>
  <c r="V11" i="7"/>
  <c r="V13" i="7" s="1"/>
  <c r="D35" i="7"/>
  <c r="D27" i="7"/>
  <c r="E24" i="7"/>
  <c r="AA25" i="7"/>
  <c r="F25" i="7"/>
  <c r="G25" i="7" s="1"/>
  <c r="H25" i="7" s="1"/>
  <c r="I25" i="7" s="1"/>
  <c r="J25" i="7" s="1"/>
  <c r="AJ7" i="8"/>
  <c r="V15" i="8"/>
  <c r="V14" i="8"/>
  <c r="V12" i="8"/>
  <c r="V11" i="8"/>
  <c r="V13" i="8" s="1"/>
  <c r="D34" i="8"/>
  <c r="D27" i="8"/>
  <c r="E24" i="8"/>
  <c r="AA25" i="8"/>
  <c r="F25" i="8"/>
  <c r="G25" i="8" s="1"/>
  <c r="H25" i="8" s="1"/>
  <c r="I25" i="8" s="1"/>
  <c r="J25" i="8" s="1"/>
  <c r="AJ7" i="9"/>
  <c r="V12" i="9"/>
  <c r="V11" i="9"/>
  <c r="V10" i="9"/>
  <c r="V9" i="9"/>
  <c r="D39" i="9"/>
  <c r="E17" i="9"/>
  <c r="D31" i="9"/>
  <c r="E28" i="9"/>
  <c r="AA29" i="9"/>
  <c r="F29" i="9"/>
  <c r="G29" i="9" s="1"/>
  <c r="H29" i="9" s="1"/>
  <c r="I29" i="9" s="1"/>
  <c r="J29" i="9" s="1"/>
  <c r="AB29" i="9" l="1"/>
  <c r="K29" i="9"/>
  <c r="L29" i="9" s="1"/>
  <c r="M29" i="9" s="1"/>
  <c r="N29" i="9" s="1"/>
  <c r="O29" i="9" s="1"/>
  <c r="AA28" i="9"/>
  <c r="F28" i="9"/>
  <c r="D55" i="9"/>
  <c r="D56" i="9" s="1"/>
  <c r="D33" i="9"/>
  <c r="E54" i="9"/>
  <c r="D44" i="9"/>
  <c r="AJ8" i="9"/>
  <c r="AB25" i="8"/>
  <c r="K25" i="8"/>
  <c r="L25" i="8" s="1"/>
  <c r="M25" i="8" s="1"/>
  <c r="N25" i="8" s="1"/>
  <c r="O25" i="8" s="1"/>
  <c r="AA24" i="8"/>
  <c r="F24" i="8"/>
  <c r="D37" i="8"/>
  <c r="D36" i="8"/>
  <c r="D35" i="8"/>
  <c r="D28" i="8"/>
  <c r="D38" i="8"/>
  <c r="AG32" i="8"/>
  <c r="F29" i="8"/>
  <c r="E29" i="8"/>
  <c r="AA29" i="8" s="1"/>
  <c r="AJ8" i="8"/>
  <c r="AB25" i="7"/>
  <c r="K25" i="7"/>
  <c r="L25" i="7" s="1"/>
  <c r="M25" i="7" s="1"/>
  <c r="N25" i="7" s="1"/>
  <c r="O25" i="7" s="1"/>
  <c r="AA24" i="7"/>
  <c r="F24" i="7"/>
  <c r="D38" i="7"/>
  <c r="D37" i="7"/>
  <c r="D36" i="7"/>
  <c r="D28" i="7"/>
  <c r="D39" i="7"/>
  <c r="AH33" i="7"/>
  <c r="F29" i="7"/>
  <c r="E29" i="7"/>
  <c r="AA29" i="7" s="1"/>
  <c r="E32" i="6"/>
  <c r="AA30" i="6"/>
  <c r="D27" i="6"/>
  <c r="D26" i="6"/>
  <c r="D25" i="6"/>
  <c r="D24" i="6"/>
  <c r="D23" i="6"/>
  <c r="D22" i="6"/>
  <c r="AJ9" i="6"/>
  <c r="E123" i="5"/>
  <c r="AA102" i="5"/>
  <c r="F102" i="5"/>
  <c r="E31" i="5"/>
  <c r="D40" i="5"/>
  <c r="AJ9" i="5"/>
  <c r="D30" i="4"/>
  <c r="D29" i="4"/>
  <c r="D27" i="4"/>
  <c r="D26" i="4"/>
  <c r="AA32" i="4"/>
  <c r="F32" i="4"/>
  <c r="G32" i="4" s="1"/>
  <c r="H32" i="4" s="1"/>
  <c r="I32" i="4" s="1"/>
  <c r="J32" i="4" s="1"/>
  <c r="AA20" i="4"/>
  <c r="F20" i="4"/>
  <c r="AK8" i="4"/>
  <c r="E60" i="3"/>
  <c r="E59" i="3"/>
  <c r="E58" i="3"/>
  <c r="E72" i="3" s="1"/>
  <c r="E57" i="3"/>
  <c r="E71" i="3" s="1"/>
  <c r="E56" i="3"/>
  <c r="E70" i="3" s="1"/>
  <c r="E55" i="3"/>
  <c r="E69" i="3" s="1"/>
  <c r="F40" i="3"/>
  <c r="D69" i="3"/>
  <c r="E40" i="9" s="1"/>
  <c r="D23" i="3"/>
  <c r="D70" i="3"/>
  <c r="D24" i="3"/>
  <c r="D71" i="3"/>
  <c r="D25" i="3"/>
  <c r="D72" i="3"/>
  <c r="E28" i="4" s="1"/>
  <c r="D26" i="3"/>
  <c r="Z27" i="3"/>
  <c r="E27" i="3"/>
  <c r="Z28" i="3"/>
  <c r="E28" i="3"/>
  <c r="E22" i="9"/>
  <c r="AA22" i="9" s="1"/>
  <c r="E22" i="8"/>
  <c r="AA22" i="8" s="1"/>
  <c r="E22" i="7"/>
  <c r="AA22" i="7" s="1"/>
  <c r="E20" i="6"/>
  <c r="AA20" i="6" s="1"/>
  <c r="E22" i="5"/>
  <c r="AA22" i="5" s="1"/>
  <c r="E24" i="4"/>
  <c r="D22" i="3"/>
  <c r="Z20" i="3"/>
  <c r="E20" i="3"/>
  <c r="C29" i="3"/>
  <c r="AF22" i="3"/>
  <c r="D116" i="5"/>
  <c r="O8" i="5"/>
  <c r="D9" i="5" s="1"/>
  <c r="D132" i="5" s="1"/>
  <c r="D35" i="9"/>
  <c r="D34" i="9"/>
  <c r="F16" i="9"/>
  <c r="F18" i="9" s="1"/>
  <c r="F19" i="8"/>
  <c r="F31" i="8" s="1"/>
  <c r="F19" i="7"/>
  <c r="F31" i="7" s="1"/>
  <c r="F17" i="6"/>
  <c r="F19" i="5"/>
  <c r="F19" i="4"/>
  <c r="F17" i="3"/>
  <c r="E31" i="7"/>
  <c r="E31" i="8"/>
  <c r="E18" i="9"/>
  <c r="B17" i="2"/>
  <c r="B18" i="2" l="1"/>
  <c r="E32" i="9"/>
  <c r="G16" i="9"/>
  <c r="G18" i="9" s="1"/>
  <c r="G19" i="8"/>
  <c r="G31" i="8" s="1"/>
  <c r="G19" i="7"/>
  <c r="G31" i="7" s="1"/>
  <c r="G17" i="6"/>
  <c r="G19" i="5"/>
  <c r="G19" i="4"/>
  <c r="G17" i="3"/>
  <c r="F32" i="9"/>
  <c r="D108" i="5"/>
  <c r="C31" i="3"/>
  <c r="AF29" i="3"/>
  <c r="AF28" i="3"/>
  <c r="AF27" i="3"/>
  <c r="AF26" i="3"/>
  <c r="AF25" i="3"/>
  <c r="AF24" i="3"/>
  <c r="AF23" i="3"/>
  <c r="C38" i="3"/>
  <c r="F22" i="9"/>
  <c r="F22" i="8"/>
  <c r="F22" i="7"/>
  <c r="F20" i="6"/>
  <c r="F22" i="5"/>
  <c r="F24" i="4"/>
  <c r="E22" i="3"/>
  <c r="F20" i="3"/>
  <c r="D29" i="3"/>
  <c r="Z22" i="3"/>
  <c r="D83" i="3"/>
  <c r="AA24" i="4"/>
  <c r="E22" i="4"/>
  <c r="E89" i="3"/>
  <c r="E88" i="3"/>
  <c r="Z26" i="3"/>
  <c r="E26" i="3"/>
  <c r="D87" i="3"/>
  <c r="AA28" i="4"/>
  <c r="F28" i="4"/>
  <c r="Z25" i="3"/>
  <c r="E25" i="3"/>
  <c r="D86" i="3"/>
  <c r="Z24" i="3"/>
  <c r="E24" i="3"/>
  <c r="D85" i="3"/>
  <c r="Z23" i="3"/>
  <c r="E23" i="3"/>
  <c r="D84" i="3"/>
  <c r="AA40" i="9"/>
  <c r="F40" i="9"/>
  <c r="F60" i="3"/>
  <c r="F28" i="3" s="1"/>
  <c r="F59" i="3"/>
  <c r="F27" i="3" s="1"/>
  <c r="F58" i="3"/>
  <c r="F72" i="3" s="1"/>
  <c r="F57" i="3"/>
  <c r="F71" i="3" s="1"/>
  <c r="F56" i="3"/>
  <c r="F70" i="3" s="1"/>
  <c r="F55" i="3"/>
  <c r="F69" i="3" s="1"/>
  <c r="G40" i="3"/>
  <c r="AK9" i="4"/>
  <c r="F22" i="4"/>
  <c r="G20" i="4"/>
  <c r="AB32" i="4"/>
  <c r="K32" i="4"/>
  <c r="L32" i="4" s="1"/>
  <c r="M32" i="4" s="1"/>
  <c r="N32" i="4" s="1"/>
  <c r="O32" i="4" s="1"/>
  <c r="D31" i="4"/>
  <c r="AG26" i="4"/>
  <c r="D23" i="4"/>
  <c r="E23" i="4" s="1"/>
  <c r="D22" i="4"/>
  <c r="AG27" i="4"/>
  <c r="E27" i="4"/>
  <c r="AG29" i="4"/>
  <c r="E29" i="4"/>
  <c r="AG30" i="4"/>
  <c r="E30" i="4"/>
  <c r="AJ10" i="5"/>
  <c r="F123" i="5"/>
  <c r="F125" i="5" s="1"/>
  <c r="G102" i="5"/>
  <c r="F31" i="5"/>
  <c r="E125" i="5"/>
  <c r="AA123" i="5"/>
  <c r="AJ10" i="6"/>
  <c r="D28" i="6"/>
  <c r="AG22" i="6"/>
  <c r="D19" i="6"/>
  <c r="D18" i="6"/>
  <c r="D34" i="6"/>
  <c r="AG23" i="6"/>
  <c r="E23" i="6"/>
  <c r="AG24" i="6"/>
  <c r="E24" i="6"/>
  <c r="AG25" i="6"/>
  <c r="E25" i="6"/>
  <c r="AG26" i="6"/>
  <c r="E26" i="6"/>
  <c r="AG27" i="6"/>
  <c r="E27" i="6"/>
  <c r="AH44" i="7"/>
  <c r="AH42" i="7"/>
  <c r="D42" i="7"/>
  <c r="D43" i="7" s="1"/>
  <c r="D30" i="7"/>
  <c r="AH40" i="7"/>
  <c r="E32" i="7"/>
  <c r="AH41" i="7"/>
  <c r="AH43" i="7"/>
  <c r="G24" i="7"/>
  <c r="AC25" i="7"/>
  <c r="P25" i="7"/>
  <c r="Q25" i="7" s="1"/>
  <c r="R25" i="7" s="1"/>
  <c r="S25" i="7" s="1"/>
  <c r="T25" i="7" s="1"/>
  <c r="AJ9" i="8"/>
  <c r="AG43" i="8"/>
  <c r="AG41" i="8"/>
  <c r="D41" i="8"/>
  <c r="D42" i="8" s="1"/>
  <c r="D30" i="8"/>
  <c r="AG39" i="8"/>
  <c r="AG40" i="8"/>
  <c r="AG42" i="8"/>
  <c r="G24" i="8"/>
  <c r="AC25" i="8"/>
  <c r="P25" i="8"/>
  <c r="Q25" i="8" s="1"/>
  <c r="R25" i="8" s="1"/>
  <c r="S25" i="8" s="1"/>
  <c r="T25" i="8" s="1"/>
  <c r="AJ9" i="9"/>
  <c r="AG49" i="9"/>
  <c r="AG48" i="9"/>
  <c r="AG47" i="9"/>
  <c r="AG17" i="9"/>
  <c r="AG46" i="9"/>
  <c r="D36" i="9"/>
  <c r="G28" i="9"/>
  <c r="AC29" i="9"/>
  <c r="P29" i="9"/>
  <c r="Q29" i="9" s="1"/>
  <c r="R29" i="9" s="1"/>
  <c r="S29" i="9" s="1"/>
  <c r="T29" i="9" s="1"/>
  <c r="AD29" i="9" l="1"/>
  <c r="U29" i="9"/>
  <c r="V29" i="9" s="1"/>
  <c r="W29" i="9" s="1"/>
  <c r="X29" i="9" s="1"/>
  <c r="Y29" i="9" s="1"/>
  <c r="AE29" i="9" s="1"/>
  <c r="H28" i="9"/>
  <c r="D47" i="9"/>
  <c r="D48" i="9" s="1"/>
  <c r="D37" i="9"/>
  <c r="AJ10" i="9"/>
  <c r="AD25" i="8"/>
  <c r="U25" i="8"/>
  <c r="V25" i="8" s="1"/>
  <c r="W25" i="8" s="1"/>
  <c r="X25" i="8" s="1"/>
  <c r="Y25" i="8" s="1"/>
  <c r="AE25" i="8" s="1"/>
  <c r="H24" i="8"/>
  <c r="G29" i="8"/>
  <c r="D43" i="8"/>
  <c r="E40" i="8"/>
  <c r="D45" i="8"/>
  <c r="AJ10" i="8"/>
  <c r="AD25" i="7"/>
  <c r="U25" i="7"/>
  <c r="V25" i="7" s="1"/>
  <c r="W25" i="7" s="1"/>
  <c r="X25" i="7" s="1"/>
  <c r="Y25" i="7" s="1"/>
  <c r="AE25" i="7" s="1"/>
  <c r="H24" i="7"/>
  <c r="G29" i="7"/>
  <c r="D44" i="7"/>
  <c r="E41" i="7"/>
  <c r="D46" i="7"/>
  <c r="AA27" i="6"/>
  <c r="F27" i="6"/>
  <c r="G27" i="6" s="1"/>
  <c r="H27" i="6" s="1"/>
  <c r="I27" i="6" s="1"/>
  <c r="J27" i="6" s="1"/>
  <c r="AA26" i="6"/>
  <c r="F26" i="6"/>
  <c r="G26" i="6" s="1"/>
  <c r="H26" i="6" s="1"/>
  <c r="I26" i="6" s="1"/>
  <c r="J26" i="6" s="1"/>
  <c r="AA25" i="6"/>
  <c r="F25" i="6"/>
  <c r="G25" i="6" s="1"/>
  <c r="AA24" i="6"/>
  <c r="F24" i="6"/>
  <c r="G24" i="6" s="1"/>
  <c r="AA23" i="6"/>
  <c r="F23" i="6"/>
  <c r="G23" i="6" s="1"/>
  <c r="D36" i="6"/>
  <c r="AG28" i="6"/>
  <c r="AJ11" i="6"/>
  <c r="AA125" i="5"/>
  <c r="E40" i="5"/>
  <c r="G123" i="5"/>
  <c r="G125" i="5" s="1"/>
  <c r="H102" i="5"/>
  <c r="G31" i="5"/>
  <c r="F40" i="5"/>
  <c r="AJ11" i="5"/>
  <c r="AA30" i="4"/>
  <c r="F30" i="4"/>
  <c r="G30" i="4" s="1"/>
  <c r="AA29" i="4"/>
  <c r="F29" i="4"/>
  <c r="G29" i="4" s="1"/>
  <c r="AA27" i="4"/>
  <c r="F27" i="4"/>
  <c r="G27" i="4" s="1"/>
  <c r="AA23" i="4"/>
  <c r="F23" i="4"/>
  <c r="E26" i="4"/>
  <c r="D33" i="4"/>
  <c r="AG31" i="4"/>
  <c r="AG28" i="4"/>
  <c r="AC32" i="4"/>
  <c r="P32" i="4"/>
  <c r="Q32" i="4" s="1"/>
  <c r="R32" i="4" s="1"/>
  <c r="S32" i="4" s="1"/>
  <c r="T32" i="4" s="1"/>
  <c r="H20" i="4"/>
  <c r="AK10" i="4"/>
  <c r="G60" i="3"/>
  <c r="G59" i="3"/>
  <c r="G58" i="3"/>
  <c r="G72" i="3" s="1"/>
  <c r="G57" i="3"/>
  <c r="G71" i="3" s="1"/>
  <c r="G56" i="3"/>
  <c r="G70" i="3" s="1"/>
  <c r="G55" i="3"/>
  <c r="G69" i="3" s="1"/>
  <c r="H40" i="3"/>
  <c r="G27" i="3"/>
  <c r="F88" i="3"/>
  <c r="G28" i="3"/>
  <c r="F89" i="3"/>
  <c r="G40" i="9"/>
  <c r="H40" i="9" s="1"/>
  <c r="F23" i="3"/>
  <c r="E84" i="3"/>
  <c r="F24" i="3"/>
  <c r="E85" i="3"/>
  <c r="F25" i="3"/>
  <c r="E86" i="3"/>
  <c r="G28" i="4"/>
  <c r="H28" i="4" s="1"/>
  <c r="F26" i="3"/>
  <c r="E87" i="3"/>
  <c r="D90" i="3"/>
  <c r="D37" i="3" s="1"/>
  <c r="D38" i="3" s="1"/>
  <c r="D30" i="3"/>
  <c r="Z29" i="3"/>
  <c r="G22" i="9"/>
  <c r="G22" i="8"/>
  <c r="G22" i="7"/>
  <c r="G20" i="6"/>
  <c r="G22" i="5"/>
  <c r="G24" i="4"/>
  <c r="F22" i="3"/>
  <c r="G20" i="3"/>
  <c r="E29" i="3"/>
  <c r="E30" i="3" s="1"/>
  <c r="E83" i="3"/>
  <c r="E90" i="3" s="1"/>
  <c r="E37" i="3" s="1"/>
  <c r="E38" i="3" s="1"/>
  <c r="F26" i="4"/>
  <c r="F31" i="4" s="1"/>
  <c r="F33" i="4" s="1"/>
  <c r="C33" i="3"/>
  <c r="D33" i="3" s="1"/>
  <c r="D31" i="3"/>
  <c r="D133" i="5"/>
  <c r="H16" i="9"/>
  <c r="H18" i="9" s="1"/>
  <c r="H19" i="8"/>
  <c r="H31" i="8" s="1"/>
  <c r="H19" i="7"/>
  <c r="H31" i="7" s="1"/>
  <c r="H17" i="6"/>
  <c r="H19" i="5"/>
  <c r="H19" i="4"/>
  <c r="H17" i="3"/>
  <c r="G32" i="9"/>
  <c r="AA32" i="9"/>
  <c r="B19" i="2"/>
  <c r="B20" i="2" l="1"/>
  <c r="I16" i="9"/>
  <c r="I18" i="9" s="1"/>
  <c r="I19" i="8"/>
  <c r="I31" i="8" s="1"/>
  <c r="I19" i="7"/>
  <c r="I31" i="7" s="1"/>
  <c r="I17" i="6"/>
  <c r="I19" i="5"/>
  <c r="I19" i="4"/>
  <c r="I17" i="3"/>
  <c r="H32" i="9"/>
  <c r="E132" i="5"/>
  <c r="D45" i="5"/>
  <c r="D32" i="3"/>
  <c r="Z31" i="3"/>
  <c r="E31" i="3"/>
  <c r="D34" i="3"/>
  <c r="Z33" i="3"/>
  <c r="E33" i="3"/>
  <c r="H22" i="9"/>
  <c r="H22" i="8"/>
  <c r="H22" i="7"/>
  <c r="H20" i="6"/>
  <c r="H22" i="5"/>
  <c r="H24" i="4"/>
  <c r="G22" i="3"/>
  <c r="H20" i="3"/>
  <c r="F29" i="3"/>
  <c r="F30" i="3" s="1"/>
  <c r="F83" i="3"/>
  <c r="G22" i="4"/>
  <c r="G26" i="3"/>
  <c r="F87" i="3"/>
  <c r="G25" i="3"/>
  <c r="F86" i="3"/>
  <c r="G24" i="3"/>
  <c r="F85" i="3"/>
  <c r="G23" i="3"/>
  <c r="F84" i="3"/>
  <c r="G89" i="3"/>
  <c r="G88" i="3"/>
  <c r="H60" i="3"/>
  <c r="H28" i="3" s="1"/>
  <c r="H59" i="3"/>
  <c r="H27" i="3" s="1"/>
  <c r="H58" i="3"/>
  <c r="H72" i="3" s="1"/>
  <c r="I28" i="4" s="1"/>
  <c r="H57" i="3"/>
  <c r="H71" i="3" s="1"/>
  <c r="H56" i="3"/>
  <c r="H70" i="3" s="1"/>
  <c r="H55" i="3"/>
  <c r="H69" i="3" s="1"/>
  <c r="I40" i="9" s="1"/>
  <c r="I40" i="3"/>
  <c r="AK11" i="4"/>
  <c r="H22" i="4"/>
  <c r="I20" i="4"/>
  <c r="AD32" i="4"/>
  <c r="U32" i="4"/>
  <c r="V32" i="4" s="1"/>
  <c r="W32" i="4" s="1"/>
  <c r="X32" i="4" s="1"/>
  <c r="Y32" i="4" s="1"/>
  <c r="AE32" i="4" s="1"/>
  <c r="E31" i="4"/>
  <c r="AA26" i="4"/>
  <c r="G23" i="4"/>
  <c r="H27" i="4"/>
  <c r="I27" i="4" s="1"/>
  <c r="H29" i="4"/>
  <c r="I29" i="4" s="1"/>
  <c r="H30" i="4"/>
  <c r="I30" i="4" s="1"/>
  <c r="AJ12" i="5"/>
  <c r="H123" i="5"/>
  <c r="H125" i="5" s="1"/>
  <c r="I102" i="5"/>
  <c r="H31" i="5"/>
  <c r="G40" i="5"/>
  <c r="AJ12" i="6"/>
  <c r="H23" i="6"/>
  <c r="I23" i="6" s="1"/>
  <c r="H24" i="6"/>
  <c r="I24" i="6" s="1"/>
  <c r="H25" i="6"/>
  <c r="I25" i="6" s="1"/>
  <c r="AB26" i="6"/>
  <c r="K26" i="6"/>
  <c r="L26" i="6" s="1"/>
  <c r="M26" i="6" s="1"/>
  <c r="N26" i="6" s="1"/>
  <c r="O26" i="6" s="1"/>
  <c r="AB27" i="6"/>
  <c r="K27" i="6"/>
  <c r="L27" i="6" s="1"/>
  <c r="M27" i="6" s="1"/>
  <c r="N27" i="6" s="1"/>
  <c r="O27" i="6" s="1"/>
  <c r="AA41" i="7"/>
  <c r="E26" i="7"/>
  <c r="I24" i="7"/>
  <c r="H29" i="7"/>
  <c r="AJ11" i="8"/>
  <c r="AA40" i="8"/>
  <c r="E26" i="8"/>
  <c r="I24" i="8"/>
  <c r="H29" i="8"/>
  <c r="AJ11" i="9"/>
  <c r="D49" i="9"/>
  <c r="E46" i="9"/>
  <c r="D51" i="9"/>
  <c r="I28" i="9"/>
  <c r="J28" i="9" l="1"/>
  <c r="AA46" i="9"/>
  <c r="E30" i="9"/>
  <c r="AJ13" i="9"/>
  <c r="J24" i="8"/>
  <c r="I29" i="8"/>
  <c r="AA26" i="8"/>
  <c r="E27" i="8"/>
  <c r="AJ12" i="8"/>
  <c r="J24" i="7"/>
  <c r="I29" i="7"/>
  <c r="AA26" i="7"/>
  <c r="E27" i="7"/>
  <c r="AC27" i="6"/>
  <c r="P27" i="6"/>
  <c r="Q27" i="6" s="1"/>
  <c r="R27" i="6" s="1"/>
  <c r="S27" i="6" s="1"/>
  <c r="T27" i="6" s="1"/>
  <c r="AC26" i="6"/>
  <c r="P26" i="6"/>
  <c r="Q26" i="6" s="1"/>
  <c r="R26" i="6" s="1"/>
  <c r="S26" i="6" s="1"/>
  <c r="T26" i="6" s="1"/>
  <c r="AJ13" i="6"/>
  <c r="I123" i="5"/>
  <c r="I125" i="5" s="1"/>
  <c r="J102" i="5"/>
  <c r="I31" i="5"/>
  <c r="H40" i="5"/>
  <c r="AJ13" i="5"/>
  <c r="H23" i="4"/>
  <c r="G26" i="4"/>
  <c r="G31" i="4" s="1"/>
  <c r="G33" i="4" s="1"/>
  <c r="E33" i="4"/>
  <c r="AA33" i="4" s="1"/>
  <c r="AA31" i="4"/>
  <c r="J20" i="4"/>
  <c r="AK12" i="4"/>
  <c r="I60" i="3"/>
  <c r="I59" i="3"/>
  <c r="I58" i="3"/>
  <c r="I72" i="3" s="1"/>
  <c r="J25" i="6" s="1"/>
  <c r="I57" i="3"/>
  <c r="I71" i="3" s="1"/>
  <c r="I56" i="3"/>
  <c r="I70" i="3" s="1"/>
  <c r="I55" i="3"/>
  <c r="I69" i="3" s="1"/>
  <c r="J23" i="6" s="1"/>
  <c r="J40" i="3"/>
  <c r="J40" i="9"/>
  <c r="J28" i="4"/>
  <c r="I27" i="3"/>
  <c r="H88" i="3"/>
  <c r="I28" i="3"/>
  <c r="H89" i="3"/>
  <c r="H23" i="3"/>
  <c r="G84" i="3"/>
  <c r="H24" i="3"/>
  <c r="G85" i="3"/>
  <c r="H25" i="3"/>
  <c r="G86" i="3"/>
  <c r="H26" i="3"/>
  <c r="G87" i="3"/>
  <c r="F90" i="3"/>
  <c r="F37" i="3" s="1"/>
  <c r="F38" i="3" s="1"/>
  <c r="I22" i="9"/>
  <c r="I22" i="8"/>
  <c r="I22" i="7"/>
  <c r="I20" i="6"/>
  <c r="I22" i="5"/>
  <c r="I24" i="4"/>
  <c r="H22" i="3"/>
  <c r="I20" i="3"/>
  <c r="G29" i="3"/>
  <c r="G30" i="3" s="1"/>
  <c r="G83" i="3"/>
  <c r="G90" i="3" s="1"/>
  <c r="G37" i="3" s="1"/>
  <c r="G38" i="3" s="1"/>
  <c r="H26" i="4"/>
  <c r="H31" i="4" s="1"/>
  <c r="H33" i="4" s="1"/>
  <c r="E34" i="3"/>
  <c r="F33" i="3"/>
  <c r="E32" i="3"/>
  <c r="F31" i="3"/>
  <c r="AA132" i="5"/>
  <c r="E108" i="5"/>
  <c r="J16" i="9"/>
  <c r="J18" i="9" s="1"/>
  <c r="J19" i="8"/>
  <c r="J31" i="8" s="1"/>
  <c r="J19" i="7"/>
  <c r="J31" i="7" s="1"/>
  <c r="J17" i="6"/>
  <c r="J19" i="5"/>
  <c r="J19" i="4"/>
  <c r="J17" i="3"/>
  <c r="I32" i="9"/>
  <c r="B21" i="2"/>
  <c r="B22" i="2" l="1"/>
  <c r="K16" i="9"/>
  <c r="K18" i="9" s="1"/>
  <c r="K19" i="8"/>
  <c r="K31" i="8" s="1"/>
  <c r="K19" i="7"/>
  <c r="K31" i="7" s="1"/>
  <c r="K17" i="6"/>
  <c r="K19" i="5"/>
  <c r="K19" i="4"/>
  <c r="K17" i="3"/>
  <c r="J32" i="9"/>
  <c r="E133" i="5"/>
  <c r="F32" i="3"/>
  <c r="G31" i="3"/>
  <c r="F34" i="3"/>
  <c r="G33" i="3"/>
  <c r="J22" i="9"/>
  <c r="AB22" i="9" s="1"/>
  <c r="J22" i="8"/>
  <c r="AB22" i="8" s="1"/>
  <c r="J22" i="7"/>
  <c r="AB22" i="7" s="1"/>
  <c r="J20" i="6"/>
  <c r="AB20" i="6" s="1"/>
  <c r="J22" i="5"/>
  <c r="AB22" i="5" s="1"/>
  <c r="J24" i="4"/>
  <c r="I22" i="3"/>
  <c r="AA20" i="3"/>
  <c r="J20" i="3"/>
  <c r="H29" i="3"/>
  <c r="H30" i="3" s="1"/>
  <c r="H83" i="3"/>
  <c r="I22" i="4"/>
  <c r="I26" i="3"/>
  <c r="H87" i="3"/>
  <c r="I25" i="3"/>
  <c r="H86" i="3"/>
  <c r="I24" i="3"/>
  <c r="H85" i="3"/>
  <c r="I23" i="3"/>
  <c r="H84" i="3"/>
  <c r="AA28" i="3"/>
  <c r="I89" i="3"/>
  <c r="AA27" i="3"/>
  <c r="I88" i="3"/>
  <c r="AB28" i="4"/>
  <c r="AB40" i="9"/>
  <c r="J60" i="3"/>
  <c r="J28" i="3" s="1"/>
  <c r="J59" i="3"/>
  <c r="J27" i="3" s="1"/>
  <c r="J58" i="3"/>
  <c r="J72" i="3" s="1"/>
  <c r="K28" i="4" s="1"/>
  <c r="J57" i="3"/>
  <c r="J71" i="3" s="1"/>
  <c r="J56" i="3"/>
  <c r="J70" i="3" s="1"/>
  <c r="J55" i="3"/>
  <c r="J69" i="3" s="1"/>
  <c r="K40" i="9" s="1"/>
  <c r="K40" i="3"/>
  <c r="AB23" i="6"/>
  <c r="K23" i="6"/>
  <c r="J24" i="6"/>
  <c r="J27" i="4"/>
  <c r="AB25" i="6"/>
  <c r="K25" i="6"/>
  <c r="AK13" i="4"/>
  <c r="J22" i="4"/>
  <c r="AB20" i="4"/>
  <c r="K20" i="4"/>
  <c r="J30" i="4"/>
  <c r="J29" i="4"/>
  <c r="I23" i="4"/>
  <c r="AJ14" i="5"/>
  <c r="J123" i="5"/>
  <c r="AB102" i="5"/>
  <c r="K102" i="5"/>
  <c r="J31" i="5"/>
  <c r="I40" i="5"/>
  <c r="AJ14" i="6"/>
  <c r="AD26" i="6"/>
  <c r="U26" i="6"/>
  <c r="V26" i="6" s="1"/>
  <c r="W26" i="6" s="1"/>
  <c r="X26" i="6" s="1"/>
  <c r="Y26" i="6" s="1"/>
  <c r="AD27" i="6"/>
  <c r="U27" i="6"/>
  <c r="V27" i="6" s="1"/>
  <c r="W27" i="6" s="1"/>
  <c r="X27" i="6" s="1"/>
  <c r="Y27" i="6" s="1"/>
  <c r="E28" i="7"/>
  <c r="AA27" i="7"/>
  <c r="E36" i="7"/>
  <c r="E20" i="7"/>
  <c r="E37" i="7"/>
  <c r="E38" i="7"/>
  <c r="AB24" i="7"/>
  <c r="K24" i="7"/>
  <c r="J29" i="7"/>
  <c r="AB29" i="7" s="1"/>
  <c r="AJ14" i="8"/>
  <c r="E28" i="8"/>
  <c r="AA27" i="8"/>
  <c r="E35" i="8"/>
  <c r="E20" i="8"/>
  <c r="E36" i="8"/>
  <c r="E37" i="8"/>
  <c r="AB24" i="8"/>
  <c r="K24" i="8"/>
  <c r="J29" i="8"/>
  <c r="AB29" i="8" s="1"/>
  <c r="AJ14" i="9"/>
  <c r="AA30" i="9"/>
  <c r="E31" i="9"/>
  <c r="AB28" i="9"/>
  <c r="K28" i="9"/>
  <c r="L28" i="9" l="1"/>
  <c r="E55" i="9"/>
  <c r="E56" i="9" s="1"/>
  <c r="E33" i="9"/>
  <c r="AA31" i="9"/>
  <c r="AJ15" i="9"/>
  <c r="L24" i="8"/>
  <c r="K29" i="8"/>
  <c r="AA37" i="8"/>
  <c r="AA36" i="8"/>
  <c r="E32" i="8"/>
  <c r="AA32" i="8" s="1"/>
  <c r="AA20" i="8"/>
  <c r="E21" i="8"/>
  <c r="AA35" i="8"/>
  <c r="E41" i="8"/>
  <c r="E42" i="8" s="1"/>
  <c r="AA28" i="8"/>
  <c r="E30" i="8"/>
  <c r="AA30" i="8" s="1"/>
  <c r="AJ16" i="8"/>
  <c r="L24" i="7"/>
  <c r="K29" i="7"/>
  <c r="AA38" i="7"/>
  <c r="AA37" i="7"/>
  <c r="E33" i="7"/>
  <c r="AA33" i="7" s="1"/>
  <c r="AA20" i="7"/>
  <c r="E21" i="7"/>
  <c r="AA36" i="7"/>
  <c r="F32" i="7"/>
  <c r="E42" i="7"/>
  <c r="E43" i="7" s="1"/>
  <c r="AA28" i="7"/>
  <c r="E30" i="7"/>
  <c r="AA30" i="7" s="1"/>
  <c r="AE27" i="6"/>
  <c r="AE26" i="6"/>
  <c r="AJ15" i="6"/>
  <c r="K123" i="5"/>
  <c r="K125" i="5" s="1"/>
  <c r="L102" i="5"/>
  <c r="K31" i="5"/>
  <c r="J125" i="5"/>
  <c r="AB123" i="5"/>
  <c r="AJ15" i="5"/>
  <c r="J23" i="4"/>
  <c r="I26" i="4"/>
  <c r="I31" i="4" s="1"/>
  <c r="I33" i="4" s="1"/>
  <c r="AB29" i="4"/>
  <c r="K29" i="4"/>
  <c r="AB30" i="4"/>
  <c r="K30" i="4"/>
  <c r="L20" i="4"/>
  <c r="AK14" i="4"/>
  <c r="AB27" i="4"/>
  <c r="K27" i="4"/>
  <c r="AB24" i="6"/>
  <c r="K24" i="6"/>
  <c r="K60" i="3"/>
  <c r="K59" i="3"/>
  <c r="K58" i="3"/>
  <c r="K72" i="3" s="1"/>
  <c r="L25" i="6" s="1"/>
  <c r="K57" i="3"/>
  <c r="K71" i="3" s="1"/>
  <c r="K56" i="3"/>
  <c r="K70" i="3" s="1"/>
  <c r="K55" i="3"/>
  <c r="K69" i="3" s="1"/>
  <c r="L23" i="6" s="1"/>
  <c r="L40" i="3"/>
  <c r="L40" i="9"/>
  <c r="L28" i="4"/>
  <c r="K27" i="3"/>
  <c r="J88" i="3"/>
  <c r="K28" i="3"/>
  <c r="J89" i="3"/>
  <c r="AA23" i="3"/>
  <c r="J23" i="3"/>
  <c r="I84" i="3"/>
  <c r="AA24" i="3"/>
  <c r="J24" i="3"/>
  <c r="I85" i="3"/>
  <c r="AA25" i="3"/>
  <c r="J25" i="3"/>
  <c r="I86" i="3"/>
  <c r="AA26" i="3"/>
  <c r="J26" i="3"/>
  <c r="I87" i="3"/>
  <c r="H90" i="3"/>
  <c r="H37" i="3" s="1"/>
  <c r="H38" i="3" s="1"/>
  <c r="K22" i="9"/>
  <c r="K22" i="8"/>
  <c r="K22" i="7"/>
  <c r="K20" i="6"/>
  <c r="K22" i="5"/>
  <c r="K24" i="4"/>
  <c r="J22" i="3"/>
  <c r="K20" i="3"/>
  <c r="I29" i="3"/>
  <c r="AA22" i="3"/>
  <c r="I83" i="3"/>
  <c r="I90" i="3" s="1"/>
  <c r="I37" i="3" s="1"/>
  <c r="I38" i="3" s="1"/>
  <c r="J26" i="4"/>
  <c r="AB24" i="4"/>
  <c r="G34" i="3"/>
  <c r="H33" i="3"/>
  <c r="G32" i="3"/>
  <c r="H31" i="3"/>
  <c r="AA133" i="5"/>
  <c r="F132" i="5"/>
  <c r="E45" i="5"/>
  <c r="AB32" i="9"/>
  <c r="L16" i="9"/>
  <c r="L18" i="9" s="1"/>
  <c r="L19" i="8"/>
  <c r="L31" i="8" s="1"/>
  <c r="L19" i="7"/>
  <c r="L31" i="7" s="1"/>
  <c r="L17" i="6"/>
  <c r="L19" i="5"/>
  <c r="L19" i="4"/>
  <c r="L17" i="3"/>
  <c r="K32" i="9"/>
  <c r="B23" i="2"/>
  <c r="B24" i="2" l="1"/>
  <c r="M16" i="9"/>
  <c r="M18" i="9" s="1"/>
  <c r="M19" i="8"/>
  <c r="M31" i="8" s="1"/>
  <c r="M19" i="7"/>
  <c r="M31" i="7" s="1"/>
  <c r="M17" i="6"/>
  <c r="M19" i="5"/>
  <c r="M19" i="4"/>
  <c r="M17" i="3"/>
  <c r="L32" i="9"/>
  <c r="F108" i="5"/>
  <c r="H32" i="3"/>
  <c r="H34" i="3"/>
  <c r="J31" i="4"/>
  <c r="AB26" i="4"/>
  <c r="I30" i="3"/>
  <c r="AA29" i="3"/>
  <c r="L22" i="9"/>
  <c r="L22" i="8"/>
  <c r="L22" i="7"/>
  <c r="L20" i="6"/>
  <c r="L22" i="5"/>
  <c r="L24" i="4"/>
  <c r="K22" i="3"/>
  <c r="L20" i="3"/>
  <c r="J29" i="3"/>
  <c r="J30" i="3" s="1"/>
  <c r="J83" i="3"/>
  <c r="K22" i="4"/>
  <c r="K26" i="3"/>
  <c r="J87" i="3"/>
  <c r="K25" i="3"/>
  <c r="J86" i="3"/>
  <c r="K24" i="3"/>
  <c r="J85" i="3"/>
  <c r="K23" i="3"/>
  <c r="J84" i="3"/>
  <c r="K89" i="3"/>
  <c r="K88" i="3"/>
  <c r="L60" i="3"/>
  <c r="L28" i="3" s="1"/>
  <c r="L59" i="3"/>
  <c r="L27" i="3" s="1"/>
  <c r="L58" i="3"/>
  <c r="L72" i="3" s="1"/>
  <c r="M28" i="4" s="1"/>
  <c r="L57" i="3"/>
  <c r="L71" i="3" s="1"/>
  <c r="L56" i="3"/>
  <c r="L70" i="3" s="1"/>
  <c r="L55" i="3"/>
  <c r="L69" i="3" s="1"/>
  <c r="M40" i="9" s="1"/>
  <c r="M40" i="3"/>
  <c r="M23" i="6"/>
  <c r="M25" i="6"/>
  <c r="L24" i="6"/>
  <c r="M24" i="6" s="1"/>
  <c r="L27" i="4"/>
  <c r="AK15" i="4"/>
  <c r="L22" i="4"/>
  <c r="M20" i="4"/>
  <c r="L30" i="4"/>
  <c r="M30" i="4" s="1"/>
  <c r="L29" i="4"/>
  <c r="M29" i="4" s="1"/>
  <c r="AB23" i="4"/>
  <c r="K23" i="4"/>
  <c r="AJ16" i="5"/>
  <c r="AB125" i="5"/>
  <c r="J40" i="5"/>
  <c r="L123" i="5"/>
  <c r="L125" i="5" s="1"/>
  <c r="M102" i="5"/>
  <c r="L31" i="5"/>
  <c r="K40" i="5"/>
  <c r="AJ16" i="6"/>
  <c r="AA43" i="7"/>
  <c r="F41" i="7"/>
  <c r="E35" i="7"/>
  <c r="AA21" i="7"/>
  <c r="M24" i="7"/>
  <c r="L29" i="7"/>
  <c r="AJ17" i="8"/>
  <c r="AA42" i="8"/>
  <c r="F40" i="8"/>
  <c r="E34" i="8"/>
  <c r="AA21" i="8"/>
  <c r="M24" i="8"/>
  <c r="L29" i="8"/>
  <c r="AJ16" i="9"/>
  <c r="AA33" i="9"/>
  <c r="E19" i="9"/>
  <c r="M28" i="9"/>
  <c r="N28" i="9" l="1"/>
  <c r="E34" i="9"/>
  <c r="E20" i="9"/>
  <c r="E35" i="9" s="1"/>
  <c r="E21" i="9"/>
  <c r="AJ21" i="9"/>
  <c r="N24" i="8"/>
  <c r="M29" i="8"/>
  <c r="E38" i="8"/>
  <c r="AA34" i="8"/>
  <c r="E43" i="8"/>
  <c r="F26" i="8"/>
  <c r="F27" i="8" s="1"/>
  <c r="AJ18" i="8"/>
  <c r="N24" i="7"/>
  <c r="M29" i="7"/>
  <c r="E39" i="7"/>
  <c r="AA35" i="7"/>
  <c r="E44" i="7"/>
  <c r="F26" i="7"/>
  <c r="F27" i="7" s="1"/>
  <c r="AJ17" i="6"/>
  <c r="M123" i="5"/>
  <c r="M125" i="5" s="1"/>
  <c r="N102" i="5"/>
  <c r="M31" i="5"/>
  <c r="L40" i="5"/>
  <c r="AJ17" i="5"/>
  <c r="L23" i="4"/>
  <c r="K26" i="4"/>
  <c r="K31" i="4" s="1"/>
  <c r="K33" i="4" s="1"/>
  <c r="N20" i="4"/>
  <c r="AK16" i="4"/>
  <c r="M27" i="4"/>
  <c r="M60" i="3"/>
  <c r="M59" i="3"/>
  <c r="M58" i="3"/>
  <c r="M72" i="3" s="1"/>
  <c r="N25" i="6" s="1"/>
  <c r="M57" i="3"/>
  <c r="M71" i="3" s="1"/>
  <c r="N24" i="6" s="1"/>
  <c r="M56" i="3"/>
  <c r="M70" i="3" s="1"/>
  <c r="M55" i="3"/>
  <c r="M69" i="3" s="1"/>
  <c r="N23" i="6" s="1"/>
  <c r="N40" i="3"/>
  <c r="N40" i="9"/>
  <c r="N28" i="4"/>
  <c r="M27" i="3"/>
  <c r="L88" i="3"/>
  <c r="M28" i="3"/>
  <c r="L89" i="3"/>
  <c r="L23" i="3"/>
  <c r="K84" i="3"/>
  <c r="L24" i="3"/>
  <c r="K85" i="3"/>
  <c r="L25" i="3"/>
  <c r="K86" i="3"/>
  <c r="L26" i="3"/>
  <c r="K87" i="3"/>
  <c r="J90" i="3"/>
  <c r="J37" i="3" s="1"/>
  <c r="J38" i="3" s="1"/>
  <c r="M22" i="9"/>
  <c r="M22" i="8"/>
  <c r="M22" i="7"/>
  <c r="M20" i="6"/>
  <c r="M22" i="5"/>
  <c r="M24" i="4"/>
  <c r="L22" i="3"/>
  <c r="M20" i="3"/>
  <c r="K29" i="3"/>
  <c r="K30" i="3" s="1"/>
  <c r="K83" i="3"/>
  <c r="K90" i="3" s="1"/>
  <c r="K37" i="3" s="1"/>
  <c r="K38" i="3" s="1"/>
  <c r="L26" i="4"/>
  <c r="L31" i="4" s="1"/>
  <c r="L33" i="4" s="1"/>
  <c r="I31" i="3"/>
  <c r="I33" i="3"/>
  <c r="J33" i="4"/>
  <c r="AB33" i="4" s="1"/>
  <c r="AB31" i="4"/>
  <c r="F133" i="5"/>
  <c r="N16" i="9"/>
  <c r="N19" i="8"/>
  <c r="N19" i="7"/>
  <c r="N17" i="6"/>
  <c r="N19" i="5"/>
  <c r="N19" i="4"/>
  <c r="N17" i="3"/>
  <c r="C14" i="2"/>
  <c r="C15" i="2"/>
  <c r="D15" i="2" s="1"/>
  <c r="C16" i="2"/>
  <c r="D16" i="2" s="1"/>
  <c r="C17" i="2"/>
  <c r="D17" i="2" s="1"/>
  <c r="C18" i="2"/>
  <c r="D18" i="2" s="1"/>
  <c r="C19" i="2"/>
  <c r="D19" i="2" s="1"/>
  <c r="C20" i="2"/>
  <c r="D20" i="2" s="1"/>
  <c r="C21" i="2"/>
  <c r="D21" i="2" s="1"/>
  <c r="C22" i="2"/>
  <c r="D22" i="2" s="1"/>
  <c r="C23" i="2"/>
  <c r="D23" i="2" s="1"/>
  <c r="M32" i="9"/>
  <c r="B25" i="2"/>
  <c r="C24" i="2"/>
  <c r="D24" i="2" s="1"/>
  <c r="B26" i="2" l="1"/>
  <c r="O16" i="9"/>
  <c r="O18" i="9" s="1"/>
  <c r="O19" i="8"/>
  <c r="O31" i="8" s="1"/>
  <c r="O19" i="7"/>
  <c r="O31" i="7" s="1"/>
  <c r="O17" i="6"/>
  <c r="O19" i="5"/>
  <c r="O19" i="4"/>
  <c r="O17" i="3"/>
  <c r="AO5" i="4"/>
  <c r="AN5" i="4"/>
  <c r="AM5" i="4"/>
  <c r="AL5" i="4"/>
  <c r="AO6" i="4"/>
  <c r="AN6" i="4"/>
  <c r="AM6" i="4"/>
  <c r="AL6" i="4"/>
  <c r="AO7" i="4"/>
  <c r="AN7" i="4"/>
  <c r="AM7" i="4"/>
  <c r="AL7" i="4"/>
  <c r="AO8" i="4"/>
  <c r="AN8" i="4"/>
  <c r="AM8" i="4"/>
  <c r="AL8" i="4"/>
  <c r="AO9" i="4"/>
  <c r="AN9" i="4"/>
  <c r="AM9" i="4"/>
  <c r="AL9" i="4"/>
  <c r="AO10" i="4"/>
  <c r="AN10" i="4"/>
  <c r="AM10" i="4"/>
  <c r="AL10" i="4"/>
  <c r="AO11" i="4"/>
  <c r="AN11" i="4"/>
  <c r="AM11" i="4"/>
  <c r="AL11" i="4"/>
  <c r="AO12" i="4"/>
  <c r="AN12" i="4"/>
  <c r="AM12" i="4"/>
  <c r="AL12" i="4"/>
  <c r="AO13" i="4"/>
  <c r="AN13" i="4"/>
  <c r="AM13" i="4"/>
  <c r="AL13" i="4"/>
  <c r="AM14" i="4"/>
  <c r="AM15" i="4"/>
  <c r="AN6" i="6"/>
  <c r="AM6" i="6"/>
  <c r="AL6" i="6"/>
  <c r="AK6" i="6"/>
  <c r="AN33" i="7"/>
  <c r="AM33" i="7"/>
  <c r="AL33" i="7"/>
  <c r="AK33" i="7"/>
  <c r="AN32" i="7"/>
  <c r="AM32" i="7"/>
  <c r="AL32" i="7"/>
  <c r="AK32" i="7"/>
  <c r="AN31" i="7"/>
  <c r="AM31" i="7"/>
  <c r="AL31" i="7"/>
  <c r="AK31" i="7"/>
  <c r="N31" i="7"/>
  <c r="AN30" i="7"/>
  <c r="AM30" i="7"/>
  <c r="AL30" i="7"/>
  <c r="AK30" i="7"/>
  <c r="AN29" i="7"/>
  <c r="AM29" i="7"/>
  <c r="AL29" i="7"/>
  <c r="AK29" i="7"/>
  <c r="AN28" i="7"/>
  <c r="AM28" i="7"/>
  <c r="AL28" i="7"/>
  <c r="AK28" i="7"/>
  <c r="AN14" i="7"/>
  <c r="AM14" i="7"/>
  <c r="AL14" i="7"/>
  <c r="AK14" i="7"/>
  <c r="AN13" i="7"/>
  <c r="AM13" i="7"/>
  <c r="AL13" i="7"/>
  <c r="AK13" i="7"/>
  <c r="AN6" i="7"/>
  <c r="AL6" i="7"/>
  <c r="AK6" i="7"/>
  <c r="AN5" i="7"/>
  <c r="AM5" i="7"/>
  <c r="AL5" i="7"/>
  <c r="AK5" i="7"/>
  <c r="AN32" i="8"/>
  <c r="AM32" i="8"/>
  <c r="AL32" i="8"/>
  <c r="AK32" i="8"/>
  <c r="AN31" i="8"/>
  <c r="AM31" i="8"/>
  <c r="AL31" i="8"/>
  <c r="AK31" i="8"/>
  <c r="N31" i="8"/>
  <c r="AN30" i="8"/>
  <c r="AM30" i="8"/>
  <c r="AL30" i="8"/>
  <c r="AK30" i="8"/>
  <c r="AN29" i="8"/>
  <c r="AM29" i="8"/>
  <c r="AL29" i="8"/>
  <c r="AK29" i="8"/>
  <c r="AN28" i="8"/>
  <c r="AM28" i="8"/>
  <c r="AL28" i="8"/>
  <c r="AK28" i="8"/>
  <c r="AN15" i="8"/>
  <c r="AM15" i="8"/>
  <c r="AL15" i="8"/>
  <c r="AK15" i="8"/>
  <c r="AN13" i="8"/>
  <c r="AM13" i="8"/>
  <c r="AL13" i="8"/>
  <c r="AK13" i="8"/>
  <c r="AN5" i="8"/>
  <c r="AM5" i="8"/>
  <c r="AL5" i="8"/>
  <c r="AK5" i="8"/>
  <c r="AN6" i="8"/>
  <c r="AL6" i="8"/>
  <c r="AK6" i="8"/>
  <c r="AN37" i="9"/>
  <c r="AM37" i="9"/>
  <c r="AL37" i="9"/>
  <c r="AK37" i="9"/>
  <c r="AN36" i="9"/>
  <c r="AM36" i="9"/>
  <c r="AL36" i="9"/>
  <c r="AK36" i="9"/>
  <c r="AN35" i="9"/>
  <c r="AM35" i="9"/>
  <c r="AL35" i="9"/>
  <c r="AK35" i="9"/>
  <c r="AN34" i="9"/>
  <c r="AM34" i="9"/>
  <c r="AL34" i="9"/>
  <c r="AK34" i="9"/>
  <c r="AN33" i="9"/>
  <c r="AM33" i="9"/>
  <c r="AL33" i="9"/>
  <c r="AK33" i="9"/>
  <c r="AN32" i="9"/>
  <c r="AM32" i="9"/>
  <c r="AL32" i="9"/>
  <c r="AK32" i="9"/>
  <c r="AN26" i="9"/>
  <c r="AM26" i="9"/>
  <c r="AL26" i="9"/>
  <c r="AK26" i="9"/>
  <c r="AN23" i="9"/>
  <c r="AM23" i="9"/>
  <c r="AL23" i="9"/>
  <c r="AK23" i="9"/>
  <c r="AN20" i="9"/>
  <c r="AM20" i="9"/>
  <c r="AL20" i="9"/>
  <c r="AK20" i="9"/>
  <c r="AN19" i="9"/>
  <c r="AM19" i="9"/>
  <c r="AL19" i="9"/>
  <c r="AK19" i="9"/>
  <c r="AN18" i="9"/>
  <c r="AM18" i="9"/>
  <c r="AL18" i="9"/>
  <c r="AK18" i="9"/>
  <c r="N18" i="9"/>
  <c r="AN17" i="9"/>
  <c r="AM17" i="9"/>
  <c r="AL17" i="9"/>
  <c r="AK17" i="9"/>
  <c r="AN12" i="9"/>
  <c r="AM12" i="9"/>
  <c r="AL12" i="9"/>
  <c r="AK12" i="9"/>
  <c r="AN5" i="9"/>
  <c r="AM5" i="9"/>
  <c r="AL5" i="9"/>
  <c r="AK5" i="9"/>
  <c r="G132" i="5"/>
  <c r="F45" i="5"/>
  <c r="I34" i="3"/>
  <c r="AA33" i="3"/>
  <c r="J33" i="3"/>
  <c r="I32" i="3"/>
  <c r="AA31" i="3"/>
  <c r="J31" i="3"/>
  <c r="N22" i="9"/>
  <c r="N22" i="8"/>
  <c r="N22" i="7"/>
  <c r="N20" i="6"/>
  <c r="N22" i="5"/>
  <c r="N24" i="4"/>
  <c r="M22" i="3"/>
  <c r="N20" i="3"/>
  <c r="L29" i="3"/>
  <c r="L30" i="3" s="1"/>
  <c r="L83" i="3"/>
  <c r="M22" i="4"/>
  <c r="M26" i="3"/>
  <c r="L87" i="3"/>
  <c r="M25" i="3"/>
  <c r="L86" i="3"/>
  <c r="M24" i="3"/>
  <c r="L85" i="3"/>
  <c r="M23" i="3"/>
  <c r="L84" i="3"/>
  <c r="M89" i="3"/>
  <c r="M88" i="3"/>
  <c r="N60" i="3"/>
  <c r="N28" i="3" s="1"/>
  <c r="N59" i="3"/>
  <c r="N27" i="3" s="1"/>
  <c r="N58" i="3"/>
  <c r="N72" i="3" s="1"/>
  <c r="O28" i="4" s="1"/>
  <c r="N57" i="3"/>
  <c r="N71" i="3" s="1"/>
  <c r="N56" i="3"/>
  <c r="N70" i="3" s="1"/>
  <c r="N55" i="3"/>
  <c r="N69" i="3" s="1"/>
  <c r="O40" i="9" s="1"/>
  <c r="O40" i="3"/>
  <c r="O23" i="6"/>
  <c r="O24" i="6"/>
  <c r="O25" i="6"/>
  <c r="N27" i="4"/>
  <c r="AK17" i="4"/>
  <c r="N22" i="4"/>
  <c r="O20" i="4"/>
  <c r="N29" i="4"/>
  <c r="O29" i="4" s="1"/>
  <c r="N30" i="4"/>
  <c r="O30" i="4" s="1"/>
  <c r="M23" i="4"/>
  <c r="AJ18" i="5"/>
  <c r="N123" i="5"/>
  <c r="N125" i="5" s="1"/>
  <c r="O102" i="5"/>
  <c r="N31" i="5"/>
  <c r="M40" i="5"/>
  <c r="AJ18" i="6"/>
  <c r="F28" i="7"/>
  <c r="F38" i="7"/>
  <c r="F37" i="7"/>
  <c r="F36" i="7"/>
  <c r="F20" i="7"/>
  <c r="E46" i="7"/>
  <c r="AA39" i="7"/>
  <c r="O24" i="7"/>
  <c r="N29" i="7"/>
  <c r="AJ19" i="8"/>
  <c r="F28" i="8"/>
  <c r="F37" i="8"/>
  <c r="F36" i="8"/>
  <c r="F35" i="8"/>
  <c r="F20" i="8"/>
  <c r="E45" i="8"/>
  <c r="AA38" i="8"/>
  <c r="O24" i="8"/>
  <c r="N29" i="8"/>
  <c r="AJ22" i="9"/>
  <c r="E23" i="9"/>
  <c r="E24" i="9"/>
  <c r="AA34" i="9"/>
  <c r="E25" i="9"/>
  <c r="E36" i="9"/>
  <c r="O28" i="9"/>
  <c r="AC28" i="9" l="1"/>
  <c r="P28" i="9"/>
  <c r="E47" i="9"/>
  <c r="E48" i="9" s="1"/>
  <c r="AA36" i="9"/>
  <c r="E37" i="9"/>
  <c r="AA37" i="9" s="1"/>
  <c r="E39" i="9"/>
  <c r="E26" i="9"/>
  <c r="F17" i="9"/>
  <c r="AN6" i="9"/>
  <c r="AJ24" i="9"/>
  <c r="AC24" i="8"/>
  <c r="P24" i="8"/>
  <c r="O29" i="8"/>
  <c r="AC29" i="8" s="1"/>
  <c r="AA45" i="8"/>
  <c r="AM6" i="8"/>
  <c r="F32" i="8"/>
  <c r="F21" i="8"/>
  <c r="F41" i="8"/>
  <c r="F42" i="8" s="1"/>
  <c r="F30" i="8"/>
  <c r="AJ20" i="8"/>
  <c r="AC24" i="7"/>
  <c r="P24" i="7"/>
  <c r="O29" i="7"/>
  <c r="AC29" i="7" s="1"/>
  <c r="AA46" i="7"/>
  <c r="AM6" i="7"/>
  <c r="F33" i="7"/>
  <c r="F21" i="7"/>
  <c r="G32" i="7"/>
  <c r="F42" i="7"/>
  <c r="F43" i="7" s="1"/>
  <c r="F30" i="7"/>
  <c r="AJ19" i="6"/>
  <c r="O123" i="5"/>
  <c r="AC102" i="5"/>
  <c r="P102" i="5"/>
  <c r="O31" i="5"/>
  <c r="N40" i="5"/>
  <c r="AJ19" i="5"/>
  <c r="N23" i="4"/>
  <c r="AO14" i="4"/>
  <c r="M26" i="4"/>
  <c r="M31" i="4" s="1"/>
  <c r="AC30" i="4"/>
  <c r="AC29" i="4"/>
  <c r="AC20" i="4"/>
  <c r="P20" i="4"/>
  <c r="AK18" i="4"/>
  <c r="O27" i="4"/>
  <c r="AC25" i="6"/>
  <c r="AC24" i="6"/>
  <c r="AC23" i="6"/>
  <c r="O60" i="3"/>
  <c r="O59" i="3"/>
  <c r="O58" i="3"/>
  <c r="O72" i="3" s="1"/>
  <c r="P25" i="6" s="1"/>
  <c r="O57" i="3"/>
  <c r="O71" i="3" s="1"/>
  <c r="P24" i="6" s="1"/>
  <c r="O56" i="3"/>
  <c r="O70" i="3" s="1"/>
  <c r="O55" i="3"/>
  <c r="O69" i="3" s="1"/>
  <c r="P23" i="6" s="1"/>
  <c r="P40" i="3"/>
  <c r="AC40" i="9"/>
  <c r="P40" i="9"/>
  <c r="AC28" i="4"/>
  <c r="P28" i="4"/>
  <c r="AB27" i="3"/>
  <c r="O27" i="3"/>
  <c r="N88" i="3"/>
  <c r="AB28" i="3"/>
  <c r="O28" i="3"/>
  <c r="N89" i="3"/>
  <c r="N23" i="3"/>
  <c r="M84" i="3"/>
  <c r="N24" i="3"/>
  <c r="M85" i="3"/>
  <c r="N25" i="3"/>
  <c r="M86" i="3"/>
  <c r="N26" i="3"/>
  <c r="M87" i="3"/>
  <c r="L90" i="3"/>
  <c r="L37" i="3" s="1"/>
  <c r="L38" i="3" s="1"/>
  <c r="O22" i="9"/>
  <c r="AC22" i="9" s="1"/>
  <c r="O22" i="8"/>
  <c r="AC22" i="8" s="1"/>
  <c r="O22" i="7"/>
  <c r="AC22" i="7" s="1"/>
  <c r="O20" i="6"/>
  <c r="AC20" i="6" s="1"/>
  <c r="O22" i="5"/>
  <c r="AC22" i="5" s="1"/>
  <c r="O24" i="4"/>
  <c r="N22" i="3"/>
  <c r="AB20" i="3"/>
  <c r="O20" i="3"/>
  <c r="M29" i="3"/>
  <c r="M30" i="3" s="1"/>
  <c r="M83" i="3"/>
  <c r="M90" i="3" s="1"/>
  <c r="M37" i="3" s="1"/>
  <c r="M38" i="3" s="1"/>
  <c r="N26" i="4"/>
  <c r="N31" i="4" s="1"/>
  <c r="J32" i="3"/>
  <c r="K31" i="3"/>
  <c r="J34" i="3"/>
  <c r="K33" i="3"/>
  <c r="G108" i="5"/>
  <c r="N32" i="9"/>
  <c r="P16" i="9"/>
  <c r="P18" i="9" s="1"/>
  <c r="P19" i="8"/>
  <c r="P31" i="8" s="1"/>
  <c r="P19" i="7"/>
  <c r="P31" i="7" s="1"/>
  <c r="P17" i="6"/>
  <c r="P19" i="5"/>
  <c r="P19" i="4"/>
  <c r="P17" i="3"/>
  <c r="O32" i="9"/>
  <c r="AC32" i="9" s="1"/>
  <c r="B27" i="2"/>
  <c r="B28" i="2" l="1"/>
  <c r="Q16" i="9"/>
  <c r="Q18" i="9" s="1"/>
  <c r="Q19" i="8"/>
  <c r="Q31" i="8" s="1"/>
  <c r="Q19" i="7"/>
  <c r="Q31" i="7" s="1"/>
  <c r="Q17" i="6"/>
  <c r="Q19" i="5"/>
  <c r="Q19" i="4"/>
  <c r="Q17" i="3"/>
  <c r="P32" i="9"/>
  <c r="G133" i="5"/>
  <c r="K34" i="3"/>
  <c r="L33" i="3"/>
  <c r="K32" i="3"/>
  <c r="L31" i="3"/>
  <c r="N33" i="4"/>
  <c r="AN15" i="4" s="1"/>
  <c r="AL15" i="4"/>
  <c r="P22" i="9"/>
  <c r="P22" i="8"/>
  <c r="P22" i="7"/>
  <c r="P20" i="6"/>
  <c r="P22" i="5"/>
  <c r="P24" i="4"/>
  <c r="O22" i="3"/>
  <c r="P20" i="3"/>
  <c r="N29" i="3"/>
  <c r="AB22" i="3"/>
  <c r="N83" i="3"/>
  <c r="AC24" i="4"/>
  <c r="O22" i="4"/>
  <c r="AB26" i="3"/>
  <c r="O26" i="3"/>
  <c r="N87" i="3"/>
  <c r="AB25" i="3"/>
  <c r="O25" i="3"/>
  <c r="N86" i="3"/>
  <c r="AB24" i="3"/>
  <c r="O24" i="3"/>
  <c r="N85" i="3"/>
  <c r="AB23" i="3"/>
  <c r="O23" i="3"/>
  <c r="N84" i="3"/>
  <c r="O89" i="3"/>
  <c r="O88" i="3"/>
  <c r="P60" i="3"/>
  <c r="P28" i="3" s="1"/>
  <c r="P59" i="3"/>
  <c r="P27" i="3" s="1"/>
  <c r="P58" i="3"/>
  <c r="P72" i="3" s="1"/>
  <c r="Q28" i="4" s="1"/>
  <c r="P57" i="3"/>
  <c r="P71" i="3" s="1"/>
  <c r="P56" i="3"/>
  <c r="P70" i="3" s="1"/>
  <c r="P55" i="3"/>
  <c r="P69" i="3" s="1"/>
  <c r="Q40" i="9" s="1"/>
  <c r="Q40" i="3"/>
  <c r="Q23" i="6"/>
  <c r="Q24" i="6"/>
  <c r="Q25" i="6"/>
  <c r="AC27" i="4"/>
  <c r="P27" i="4"/>
  <c r="AK19" i="4"/>
  <c r="P22" i="4"/>
  <c r="Q20" i="4"/>
  <c r="P30" i="4"/>
  <c r="Q30" i="4" s="1"/>
  <c r="P29" i="4"/>
  <c r="Q29" i="4" s="1"/>
  <c r="M33" i="4"/>
  <c r="AN14" i="4" s="1"/>
  <c r="AL14" i="4"/>
  <c r="O23" i="4"/>
  <c r="AO15" i="4"/>
  <c r="AJ20" i="5"/>
  <c r="P123" i="5"/>
  <c r="P125" i="5" s="1"/>
  <c r="Q102" i="5"/>
  <c r="P31" i="5"/>
  <c r="O125" i="5"/>
  <c r="AC123" i="5"/>
  <c r="AJ20" i="6"/>
  <c r="G41" i="7"/>
  <c r="AL7" i="7"/>
  <c r="F35" i="7"/>
  <c r="AN7" i="7"/>
  <c r="Q24" i="7"/>
  <c r="P29" i="7"/>
  <c r="AJ21" i="8"/>
  <c r="G40" i="8"/>
  <c r="AL7" i="8"/>
  <c r="F34" i="8"/>
  <c r="AN7" i="8"/>
  <c r="Q24" i="8"/>
  <c r="P29" i="8"/>
  <c r="AJ25" i="9"/>
  <c r="F54" i="9"/>
  <c r="E44" i="9"/>
  <c r="AA39" i="9"/>
  <c r="E49" i="9"/>
  <c r="AA48" i="9"/>
  <c r="F46" i="9"/>
  <c r="AL6" i="9"/>
  <c r="Q28" i="9"/>
  <c r="R28" i="9" l="1"/>
  <c r="F30" i="9"/>
  <c r="F31" i="9" s="1"/>
  <c r="E51" i="9"/>
  <c r="AA44" i="9"/>
  <c r="AK6" i="9"/>
  <c r="AJ27" i="9"/>
  <c r="R24" i="8"/>
  <c r="Q29" i="8"/>
  <c r="F38" i="8"/>
  <c r="F43" i="8"/>
  <c r="G26" i="8"/>
  <c r="G27" i="8" s="1"/>
  <c r="AJ22" i="8"/>
  <c r="R24" i="7"/>
  <c r="Q29" i="7"/>
  <c r="F39" i="7"/>
  <c r="F44" i="7"/>
  <c r="G26" i="7"/>
  <c r="G27" i="7" s="1"/>
  <c r="AJ21" i="6"/>
  <c r="AC125" i="5"/>
  <c r="O40" i="5"/>
  <c r="Q123" i="5"/>
  <c r="Q125" i="5" s="1"/>
  <c r="R102" i="5"/>
  <c r="Q31" i="5"/>
  <c r="P40" i="5"/>
  <c r="AJ21" i="5"/>
  <c r="AC23" i="4"/>
  <c r="P23" i="4"/>
  <c r="O26" i="4"/>
  <c r="R20" i="4"/>
  <c r="AK20" i="4"/>
  <c r="Q27" i="4"/>
  <c r="Q60" i="3"/>
  <c r="Q59" i="3"/>
  <c r="Q58" i="3"/>
  <c r="Q72" i="3" s="1"/>
  <c r="R25" i="6" s="1"/>
  <c r="Q57" i="3"/>
  <c r="Q71" i="3" s="1"/>
  <c r="R24" i="6" s="1"/>
  <c r="Q56" i="3"/>
  <c r="Q70" i="3" s="1"/>
  <c r="Q55" i="3"/>
  <c r="Q69" i="3" s="1"/>
  <c r="R23" i="6" s="1"/>
  <c r="R40" i="3"/>
  <c r="R40" i="9"/>
  <c r="R28" i="4"/>
  <c r="Q27" i="3"/>
  <c r="P88" i="3"/>
  <c r="Q28" i="3"/>
  <c r="P89" i="3"/>
  <c r="P23" i="3"/>
  <c r="O84" i="3"/>
  <c r="P24" i="3"/>
  <c r="O85" i="3"/>
  <c r="P25" i="3"/>
  <c r="O86" i="3"/>
  <c r="P26" i="3"/>
  <c r="O87" i="3"/>
  <c r="N90" i="3"/>
  <c r="N37" i="3" s="1"/>
  <c r="N38" i="3" s="1"/>
  <c r="N30" i="3"/>
  <c r="AB29" i="3"/>
  <c r="Q22" i="9"/>
  <c r="Q22" i="8"/>
  <c r="Q22" i="7"/>
  <c r="Q20" i="6"/>
  <c r="Q22" i="5"/>
  <c r="Q24" i="4"/>
  <c r="P22" i="3"/>
  <c r="Q20" i="3"/>
  <c r="O29" i="3"/>
  <c r="O30" i="3" s="1"/>
  <c r="O83" i="3"/>
  <c r="O90" i="3" s="1"/>
  <c r="O37" i="3" s="1"/>
  <c r="O38" i="3" s="1"/>
  <c r="P26" i="4"/>
  <c r="P31" i="4" s="1"/>
  <c r="P33" i="4" s="1"/>
  <c r="L32" i="3"/>
  <c r="M31" i="3"/>
  <c r="L34" i="3"/>
  <c r="M33" i="3"/>
  <c r="H132" i="5"/>
  <c r="G45" i="5"/>
  <c r="R16" i="9"/>
  <c r="R18" i="9" s="1"/>
  <c r="R19" i="8"/>
  <c r="R31" i="8" s="1"/>
  <c r="R19" i="7"/>
  <c r="R31" i="7" s="1"/>
  <c r="R17" i="6"/>
  <c r="R19" i="5"/>
  <c r="R19" i="4"/>
  <c r="R17" i="3"/>
  <c r="Q32" i="9"/>
  <c r="B29" i="2"/>
  <c r="B30" i="2" l="1"/>
  <c r="S16" i="9"/>
  <c r="S18" i="9" s="1"/>
  <c r="S19" i="8"/>
  <c r="S31" i="8" s="1"/>
  <c r="S19" i="7"/>
  <c r="S31" i="7" s="1"/>
  <c r="S17" i="6"/>
  <c r="S19" i="5"/>
  <c r="S19" i="4"/>
  <c r="S17" i="3"/>
  <c r="R32" i="9"/>
  <c r="H108" i="5"/>
  <c r="M34" i="3"/>
  <c r="N33" i="3"/>
  <c r="M32" i="3"/>
  <c r="N31" i="3"/>
  <c r="R22" i="9"/>
  <c r="R22" i="8"/>
  <c r="R22" i="7"/>
  <c r="R20" i="6"/>
  <c r="R22" i="5"/>
  <c r="R24" i="4"/>
  <c r="Q22" i="3"/>
  <c r="R20" i="3"/>
  <c r="P29" i="3"/>
  <c r="P30" i="3" s="1"/>
  <c r="P83" i="3"/>
  <c r="Q22" i="4"/>
  <c r="Q26" i="3"/>
  <c r="P87" i="3"/>
  <c r="Q25" i="3"/>
  <c r="P86" i="3"/>
  <c r="Q24" i="3"/>
  <c r="P85" i="3"/>
  <c r="Q23" i="3"/>
  <c r="P84" i="3"/>
  <c r="Q89" i="3"/>
  <c r="Q88" i="3"/>
  <c r="R60" i="3"/>
  <c r="R28" i="3" s="1"/>
  <c r="R59" i="3"/>
  <c r="R27" i="3" s="1"/>
  <c r="R58" i="3"/>
  <c r="R72" i="3" s="1"/>
  <c r="S28" i="4" s="1"/>
  <c r="R57" i="3"/>
  <c r="R71" i="3" s="1"/>
  <c r="R56" i="3"/>
  <c r="R70" i="3" s="1"/>
  <c r="R55" i="3"/>
  <c r="R69" i="3" s="1"/>
  <c r="S40" i="9" s="1"/>
  <c r="S40" i="3"/>
  <c r="S23" i="6"/>
  <c r="S24" i="6"/>
  <c r="S25" i="6"/>
  <c r="R27" i="4"/>
  <c r="AK21" i="4"/>
  <c r="R22" i="4"/>
  <c r="S20" i="4"/>
  <c r="R29" i="4"/>
  <c r="S29" i="4" s="1"/>
  <c r="R30" i="4"/>
  <c r="S30" i="4" s="1"/>
  <c r="O31" i="4"/>
  <c r="AC26" i="4"/>
  <c r="Q23" i="4"/>
  <c r="AJ22" i="5"/>
  <c r="R123" i="5"/>
  <c r="R125" i="5" s="1"/>
  <c r="S102" i="5"/>
  <c r="R31" i="5"/>
  <c r="Q40" i="5"/>
  <c r="AJ22" i="6"/>
  <c r="G28" i="7"/>
  <c r="G36" i="7"/>
  <c r="G20" i="7"/>
  <c r="G37" i="7"/>
  <c r="G38" i="7"/>
  <c r="F46" i="7"/>
  <c r="AM7" i="7" s="1"/>
  <c r="AK7" i="7"/>
  <c r="S24" i="7"/>
  <c r="R29" i="7"/>
  <c r="AJ23" i="8"/>
  <c r="G28" i="8"/>
  <c r="G35" i="8"/>
  <c r="G20" i="8"/>
  <c r="G36" i="8"/>
  <c r="G37" i="8"/>
  <c r="F45" i="8"/>
  <c r="AM7" i="8" s="1"/>
  <c r="AK7" i="8"/>
  <c r="S24" i="8"/>
  <c r="R29" i="8"/>
  <c r="AJ28" i="9"/>
  <c r="AA51" i="9"/>
  <c r="AM6" i="9"/>
  <c r="F55" i="9"/>
  <c r="F56" i="9" s="1"/>
  <c r="F33" i="9"/>
  <c r="S28" i="9"/>
  <c r="T28" i="9" l="1"/>
  <c r="F19" i="9"/>
  <c r="AJ29" i="9"/>
  <c r="T24" i="8"/>
  <c r="S29" i="8"/>
  <c r="G32" i="8"/>
  <c r="G21" i="8"/>
  <c r="G41" i="8"/>
  <c r="G42" i="8" s="1"/>
  <c r="G30" i="8"/>
  <c r="AJ24" i="8"/>
  <c r="T24" i="7"/>
  <c r="S29" i="7"/>
  <c r="G33" i="7"/>
  <c r="G21" i="7"/>
  <c r="H32" i="7"/>
  <c r="G42" i="7"/>
  <c r="G43" i="7" s="1"/>
  <c r="G30" i="7"/>
  <c r="AJ23" i="6"/>
  <c r="S123" i="5"/>
  <c r="S125" i="5" s="1"/>
  <c r="T102" i="5"/>
  <c r="S31" i="5"/>
  <c r="R40" i="5"/>
  <c r="AJ23" i="5"/>
  <c r="R23" i="4"/>
  <c r="Q26" i="4"/>
  <c r="Q31" i="4" s="1"/>
  <c r="Q33" i="4" s="1"/>
  <c r="O33" i="4"/>
  <c r="AC33" i="4" s="1"/>
  <c r="AC31" i="4"/>
  <c r="T20" i="4"/>
  <c r="AK22" i="4"/>
  <c r="S27" i="4"/>
  <c r="S60" i="3"/>
  <c r="S59" i="3"/>
  <c r="S58" i="3"/>
  <c r="S72" i="3" s="1"/>
  <c r="T25" i="6" s="1"/>
  <c r="S57" i="3"/>
  <c r="S71" i="3" s="1"/>
  <c r="T24" i="6" s="1"/>
  <c r="S56" i="3"/>
  <c r="S70" i="3" s="1"/>
  <c r="S55" i="3"/>
  <c r="S69" i="3" s="1"/>
  <c r="T23" i="6" s="1"/>
  <c r="T40" i="3"/>
  <c r="T40" i="9"/>
  <c r="T28" i="4"/>
  <c r="S27" i="3"/>
  <c r="R88" i="3"/>
  <c r="S28" i="3"/>
  <c r="R89" i="3"/>
  <c r="R23" i="3"/>
  <c r="Q84" i="3"/>
  <c r="R24" i="3"/>
  <c r="Q85" i="3"/>
  <c r="R25" i="3"/>
  <c r="Q86" i="3"/>
  <c r="R26" i="3"/>
  <c r="Q87" i="3"/>
  <c r="P90" i="3"/>
  <c r="P37" i="3" s="1"/>
  <c r="P38" i="3" s="1"/>
  <c r="S22" i="9"/>
  <c r="S22" i="8"/>
  <c r="S22" i="7"/>
  <c r="S20" i="6"/>
  <c r="S22" i="5"/>
  <c r="S24" i="4"/>
  <c r="R22" i="3"/>
  <c r="S20" i="3"/>
  <c r="Q29" i="3"/>
  <c r="Q30" i="3" s="1"/>
  <c r="Q83" i="3"/>
  <c r="Q90" i="3" s="1"/>
  <c r="Q37" i="3" s="1"/>
  <c r="Q38" i="3" s="1"/>
  <c r="R26" i="4"/>
  <c r="R31" i="4" s="1"/>
  <c r="R33" i="4" s="1"/>
  <c r="N32" i="3"/>
  <c r="AB31" i="3"/>
  <c r="O31" i="3"/>
  <c r="N34" i="3"/>
  <c r="AB33" i="3"/>
  <c r="O33" i="3"/>
  <c r="H133" i="5"/>
  <c r="T16" i="9"/>
  <c r="T19" i="8"/>
  <c r="T19" i="7"/>
  <c r="T17" i="6"/>
  <c r="T19" i="5"/>
  <c r="T19" i="4"/>
  <c r="T17" i="3"/>
  <c r="C25" i="2"/>
  <c r="D25" i="2" s="1"/>
  <c r="C26" i="2"/>
  <c r="D26" i="2" s="1"/>
  <c r="C27" i="2"/>
  <c r="D27" i="2" s="1"/>
  <c r="C28" i="2"/>
  <c r="D28" i="2" s="1"/>
  <c r="C29" i="2"/>
  <c r="D29" i="2" s="1"/>
  <c r="S32" i="9"/>
  <c r="B31" i="2"/>
  <c r="C30" i="2"/>
  <c r="D30" i="2" s="1"/>
  <c r="B32" i="2" l="1"/>
  <c r="U16" i="9"/>
  <c r="U18" i="9" s="1"/>
  <c r="U19" i="8"/>
  <c r="U31" i="8" s="1"/>
  <c r="U19" i="7"/>
  <c r="U31" i="7" s="1"/>
  <c r="U17" i="6"/>
  <c r="U19" i="5"/>
  <c r="U19" i="4"/>
  <c r="U17" i="3"/>
  <c r="AO16" i="4"/>
  <c r="AN16" i="4"/>
  <c r="AM16" i="4"/>
  <c r="AL16" i="4"/>
  <c r="AO17" i="4"/>
  <c r="AN17" i="4"/>
  <c r="AM17" i="4"/>
  <c r="AL17" i="4"/>
  <c r="AO18" i="4"/>
  <c r="AN18" i="4"/>
  <c r="AM18" i="4"/>
  <c r="AL18" i="4"/>
  <c r="AO19" i="4"/>
  <c r="AN19" i="4"/>
  <c r="AM19" i="4"/>
  <c r="AL19" i="4"/>
  <c r="AM20" i="4"/>
  <c r="AM21" i="4"/>
  <c r="T31" i="7"/>
  <c r="T31" i="8"/>
  <c r="T18" i="9"/>
  <c r="I132" i="5"/>
  <c r="H45" i="5"/>
  <c r="O34" i="3"/>
  <c r="P33" i="3"/>
  <c r="O32" i="3"/>
  <c r="P31" i="3"/>
  <c r="T22" i="9"/>
  <c r="AD22" i="9" s="1"/>
  <c r="T22" i="8"/>
  <c r="AD22" i="8" s="1"/>
  <c r="T22" i="7"/>
  <c r="AD22" i="7" s="1"/>
  <c r="T20" i="6"/>
  <c r="AD20" i="6" s="1"/>
  <c r="T22" i="5"/>
  <c r="AD22" i="5" s="1"/>
  <c r="T24" i="4"/>
  <c r="S22" i="3"/>
  <c r="AC20" i="3"/>
  <c r="T20" i="3"/>
  <c r="R29" i="3"/>
  <c r="R30" i="3" s="1"/>
  <c r="R83" i="3"/>
  <c r="S22" i="4"/>
  <c r="S26" i="3"/>
  <c r="R87" i="3"/>
  <c r="S25" i="3"/>
  <c r="R86" i="3"/>
  <c r="S24" i="3"/>
  <c r="R85" i="3"/>
  <c r="S23" i="3"/>
  <c r="R84" i="3"/>
  <c r="AC28" i="3"/>
  <c r="S89" i="3"/>
  <c r="AC27" i="3"/>
  <c r="S88" i="3"/>
  <c r="AD28" i="4"/>
  <c r="AD40" i="9"/>
  <c r="T60" i="3"/>
  <c r="T28" i="3" s="1"/>
  <c r="T59" i="3"/>
  <c r="T27" i="3" s="1"/>
  <c r="T58" i="3"/>
  <c r="T72" i="3" s="1"/>
  <c r="U28" i="4" s="1"/>
  <c r="T57" i="3"/>
  <c r="T71" i="3" s="1"/>
  <c r="T56" i="3"/>
  <c r="T70" i="3" s="1"/>
  <c r="T55" i="3"/>
  <c r="T69" i="3" s="1"/>
  <c r="U40" i="9" s="1"/>
  <c r="U40" i="3"/>
  <c r="AD23" i="6"/>
  <c r="U23" i="6"/>
  <c r="AD24" i="6"/>
  <c r="U24" i="6"/>
  <c r="AD25" i="6"/>
  <c r="U25" i="6"/>
  <c r="T27" i="4"/>
  <c r="AK23" i="4"/>
  <c r="T22" i="4"/>
  <c r="AD20" i="4"/>
  <c r="U20" i="4"/>
  <c r="T30" i="4"/>
  <c r="T29" i="4"/>
  <c r="S23" i="4"/>
  <c r="AJ24" i="5"/>
  <c r="T123" i="5"/>
  <c r="AD102" i="5"/>
  <c r="U102" i="5"/>
  <c r="T31" i="5"/>
  <c r="S40" i="5"/>
  <c r="AJ24" i="6"/>
  <c r="H41" i="7"/>
  <c r="AL8" i="7"/>
  <c r="G35" i="7"/>
  <c r="AN8" i="7"/>
  <c r="AD24" i="7"/>
  <c r="U24" i="7"/>
  <c r="T29" i="7"/>
  <c r="AD29" i="7" s="1"/>
  <c r="AJ25" i="8"/>
  <c r="H40" i="8"/>
  <c r="AL8" i="8"/>
  <c r="G34" i="8"/>
  <c r="AN8" i="8"/>
  <c r="AD24" i="8"/>
  <c r="U24" i="8"/>
  <c r="T29" i="8"/>
  <c r="AD29" i="8" s="1"/>
  <c r="AJ30" i="9"/>
  <c r="F34" i="9"/>
  <c r="F20" i="9"/>
  <c r="F35" i="9" s="1"/>
  <c r="F21" i="9"/>
  <c r="AD28" i="9"/>
  <c r="U28" i="9"/>
  <c r="V28" i="9" l="1"/>
  <c r="F23" i="9"/>
  <c r="F24" i="9"/>
  <c r="F25" i="9"/>
  <c r="F36" i="9"/>
  <c r="AJ31" i="9"/>
  <c r="V24" i="8"/>
  <c r="U29" i="8"/>
  <c r="G38" i="8"/>
  <c r="G43" i="8"/>
  <c r="H26" i="8"/>
  <c r="H27" i="8" s="1"/>
  <c r="AJ26" i="8"/>
  <c r="V24" i="7"/>
  <c r="U29" i="7"/>
  <c r="G39" i="7"/>
  <c r="G44" i="7"/>
  <c r="H26" i="7"/>
  <c r="H27" i="7" s="1"/>
  <c r="AJ25" i="6"/>
  <c r="U123" i="5"/>
  <c r="U125" i="5" s="1"/>
  <c r="V102" i="5"/>
  <c r="U31" i="5"/>
  <c r="T125" i="5"/>
  <c r="AD123" i="5"/>
  <c r="AJ25" i="5"/>
  <c r="T23" i="4"/>
  <c r="AO20" i="4"/>
  <c r="S26" i="4"/>
  <c r="S31" i="4" s="1"/>
  <c r="AD29" i="4"/>
  <c r="U29" i="4"/>
  <c r="AD30" i="4"/>
  <c r="U30" i="4"/>
  <c r="V20" i="4"/>
  <c r="AK24" i="4"/>
  <c r="AD27" i="4"/>
  <c r="U27" i="4"/>
  <c r="U60" i="3"/>
  <c r="U59" i="3"/>
  <c r="U58" i="3"/>
  <c r="U72" i="3" s="1"/>
  <c r="V25" i="6" s="1"/>
  <c r="U57" i="3"/>
  <c r="U71" i="3" s="1"/>
  <c r="V24" i="6" s="1"/>
  <c r="U56" i="3"/>
  <c r="U70" i="3" s="1"/>
  <c r="U55" i="3"/>
  <c r="U69" i="3" s="1"/>
  <c r="V23" i="6" s="1"/>
  <c r="V40" i="3"/>
  <c r="V40" i="9"/>
  <c r="V28" i="4"/>
  <c r="U27" i="3"/>
  <c r="T88" i="3"/>
  <c r="U28" i="3"/>
  <c r="T89" i="3"/>
  <c r="AC23" i="3"/>
  <c r="T23" i="3"/>
  <c r="S84" i="3"/>
  <c r="AC24" i="3"/>
  <c r="T24" i="3"/>
  <c r="S85" i="3"/>
  <c r="AC25" i="3"/>
  <c r="T25" i="3"/>
  <c r="S86" i="3"/>
  <c r="AC26" i="3"/>
  <c r="T26" i="3"/>
  <c r="S87" i="3"/>
  <c r="R90" i="3"/>
  <c r="R37" i="3" s="1"/>
  <c r="R38" i="3" s="1"/>
  <c r="U22" i="9"/>
  <c r="U22" i="8"/>
  <c r="U22" i="7"/>
  <c r="U20" i="6"/>
  <c r="U22" i="5"/>
  <c r="U24" i="4"/>
  <c r="T22" i="3"/>
  <c r="U20" i="3"/>
  <c r="S29" i="3"/>
  <c r="AC22" i="3"/>
  <c r="S83" i="3"/>
  <c r="S90" i="3" s="1"/>
  <c r="S37" i="3" s="1"/>
  <c r="S38" i="3" s="1"/>
  <c r="T26" i="4"/>
  <c r="AD24" i="4"/>
  <c r="P32" i="3"/>
  <c r="Q31" i="3"/>
  <c r="P34" i="3"/>
  <c r="Q33" i="3"/>
  <c r="I108" i="5"/>
  <c r="T32" i="9"/>
  <c r="V16" i="9"/>
  <c r="V18" i="9" s="1"/>
  <c r="V19" i="8"/>
  <c r="V31" i="8" s="1"/>
  <c r="V19" i="7"/>
  <c r="V31" i="7" s="1"/>
  <c r="V17" i="6"/>
  <c r="V19" i="5"/>
  <c r="V19" i="4"/>
  <c r="V17" i="3"/>
  <c r="U32" i="9"/>
  <c r="B33" i="2"/>
  <c r="C32" i="2"/>
  <c r="B34" i="2" l="1"/>
  <c r="W16" i="9"/>
  <c r="W19" i="8"/>
  <c r="W19" i="7"/>
  <c r="W17" i="6"/>
  <c r="W19" i="5"/>
  <c r="W19" i="4"/>
  <c r="W17" i="3"/>
  <c r="C31" i="2"/>
  <c r="V32" i="9"/>
  <c r="AD32" i="9"/>
  <c r="I133" i="5"/>
  <c r="Q34" i="3"/>
  <c r="R33" i="3"/>
  <c r="Q32" i="3"/>
  <c r="R31" i="3"/>
  <c r="T31" i="4"/>
  <c r="AD26" i="4"/>
  <c r="S30" i="3"/>
  <c r="AC29" i="3"/>
  <c r="V22" i="9"/>
  <c r="V22" i="8"/>
  <c r="V22" i="7"/>
  <c r="V20" i="6"/>
  <c r="V22" i="5"/>
  <c r="V24" i="4"/>
  <c r="U22" i="3"/>
  <c r="V20" i="3"/>
  <c r="T29" i="3"/>
  <c r="T30" i="3" s="1"/>
  <c r="T83" i="3"/>
  <c r="U22" i="4"/>
  <c r="U26" i="3"/>
  <c r="T87" i="3"/>
  <c r="U25" i="3"/>
  <c r="T86" i="3"/>
  <c r="U24" i="3"/>
  <c r="T85" i="3"/>
  <c r="U23" i="3"/>
  <c r="T84" i="3"/>
  <c r="U89" i="3"/>
  <c r="U88" i="3"/>
  <c r="V60" i="3"/>
  <c r="V28" i="3" s="1"/>
  <c r="V59" i="3"/>
  <c r="V27" i="3" s="1"/>
  <c r="V58" i="3"/>
  <c r="V72" i="3" s="1"/>
  <c r="W28" i="4" s="1"/>
  <c r="V57" i="3"/>
  <c r="V71" i="3" s="1"/>
  <c r="V56" i="3"/>
  <c r="V70" i="3" s="1"/>
  <c r="V55" i="3"/>
  <c r="V69" i="3" s="1"/>
  <c r="W40" i="9" s="1"/>
  <c r="W40" i="3"/>
  <c r="W23" i="6"/>
  <c r="W24" i="6"/>
  <c r="W25" i="6"/>
  <c r="V27" i="4"/>
  <c r="AK25" i="4"/>
  <c r="V22" i="4"/>
  <c r="W20" i="4"/>
  <c r="V30" i="4"/>
  <c r="W30" i="4" s="1"/>
  <c r="V29" i="4"/>
  <c r="W29" i="4" s="1"/>
  <c r="S33" i="4"/>
  <c r="AN20" i="4" s="1"/>
  <c r="AL20" i="4"/>
  <c r="AD23" i="4"/>
  <c r="U23" i="4"/>
  <c r="AO21" i="4"/>
  <c r="AJ26" i="5"/>
  <c r="AD125" i="5"/>
  <c r="T40" i="5"/>
  <c r="V123" i="5"/>
  <c r="V125" i="5" s="1"/>
  <c r="W102" i="5"/>
  <c r="V31" i="5"/>
  <c r="U40" i="5"/>
  <c r="AJ26" i="6"/>
  <c r="H28" i="7"/>
  <c r="H38" i="7"/>
  <c r="H37" i="7"/>
  <c r="H36" i="7"/>
  <c r="H20" i="7"/>
  <c r="G46" i="7"/>
  <c r="AM8" i="7" s="1"/>
  <c r="AK8" i="7"/>
  <c r="W24" i="7"/>
  <c r="V29" i="7"/>
  <c r="AJ27" i="8"/>
  <c r="H28" i="8"/>
  <c r="H37" i="8"/>
  <c r="H36" i="8"/>
  <c r="H35" i="8"/>
  <c r="H20" i="8"/>
  <c r="G45" i="8"/>
  <c r="AM8" i="8" s="1"/>
  <c r="AK8" i="8"/>
  <c r="W24" i="8"/>
  <c r="V29" i="8"/>
  <c r="AJ38" i="9"/>
  <c r="F47" i="9"/>
  <c r="F48" i="9" s="1"/>
  <c r="F37" i="9"/>
  <c r="F39" i="9"/>
  <c r="F26" i="9"/>
  <c r="G17" i="9"/>
  <c r="AN7" i="9"/>
  <c r="W28" i="9"/>
  <c r="X28" i="9" l="1"/>
  <c r="G54" i="9"/>
  <c r="F44" i="9"/>
  <c r="F49" i="9"/>
  <c r="G46" i="9"/>
  <c r="AL7" i="9"/>
  <c r="AJ39" i="9"/>
  <c r="X24" i="8"/>
  <c r="W29" i="8"/>
  <c r="H32" i="8"/>
  <c r="H21" i="8"/>
  <c r="H41" i="8"/>
  <c r="H42" i="8" s="1"/>
  <c r="H30" i="8"/>
  <c r="AJ33" i="8"/>
  <c r="X24" i="7"/>
  <c r="W29" i="7"/>
  <c r="H33" i="7"/>
  <c r="H21" i="7"/>
  <c r="I32" i="7"/>
  <c r="H42" i="7"/>
  <c r="H43" i="7" s="1"/>
  <c r="H30" i="7"/>
  <c r="AJ27" i="6"/>
  <c r="W123" i="5"/>
  <c r="W125" i="5" s="1"/>
  <c r="X102" i="5"/>
  <c r="W31" i="5"/>
  <c r="V40" i="5"/>
  <c r="AJ27" i="5"/>
  <c r="V23" i="4"/>
  <c r="U26" i="4"/>
  <c r="U31" i="4" s="1"/>
  <c r="U33" i="4" s="1"/>
  <c r="X20" i="4"/>
  <c r="AK26" i="4"/>
  <c r="W27" i="4"/>
  <c r="W60" i="3"/>
  <c r="W59" i="3"/>
  <c r="W58" i="3"/>
  <c r="W72" i="3" s="1"/>
  <c r="X25" i="6" s="1"/>
  <c r="W57" i="3"/>
  <c r="W71" i="3" s="1"/>
  <c r="X24" i="6" s="1"/>
  <c r="W56" i="3"/>
  <c r="W70" i="3" s="1"/>
  <c r="W55" i="3"/>
  <c r="W69" i="3" s="1"/>
  <c r="X23" i="6" s="1"/>
  <c r="X40" i="3"/>
  <c r="X40" i="9"/>
  <c r="X28" i="4"/>
  <c r="W27" i="3"/>
  <c r="V88" i="3"/>
  <c r="W28" i="3"/>
  <c r="V89" i="3"/>
  <c r="V23" i="3"/>
  <c r="U84" i="3"/>
  <c r="V24" i="3"/>
  <c r="U85" i="3"/>
  <c r="V25" i="3"/>
  <c r="U86" i="3"/>
  <c r="V26" i="3"/>
  <c r="U87" i="3"/>
  <c r="T90" i="3"/>
  <c r="T37" i="3" s="1"/>
  <c r="T38" i="3" s="1"/>
  <c r="W22" i="9"/>
  <c r="W22" i="8"/>
  <c r="W22" i="7"/>
  <c r="W20" i="6"/>
  <c r="W22" i="5"/>
  <c r="W24" i="4"/>
  <c r="V22" i="3"/>
  <c r="W20" i="3"/>
  <c r="U29" i="3"/>
  <c r="U30" i="3" s="1"/>
  <c r="U83" i="3"/>
  <c r="U90" i="3" s="1"/>
  <c r="U37" i="3" s="1"/>
  <c r="U38" i="3" s="1"/>
  <c r="V26" i="4"/>
  <c r="V31" i="4" s="1"/>
  <c r="V33" i="4" s="1"/>
  <c r="T33" i="4"/>
  <c r="AD31" i="4"/>
  <c r="AL21" i="4"/>
  <c r="R32" i="3"/>
  <c r="S31" i="3"/>
  <c r="R34" i="3"/>
  <c r="S33" i="3"/>
  <c r="J132" i="5"/>
  <c r="I45" i="5"/>
  <c r="D31" i="2"/>
  <c r="D32" i="2"/>
  <c r="X16" i="9"/>
  <c r="X19" i="8"/>
  <c r="X19" i="7"/>
  <c r="X31" i="7" s="1"/>
  <c r="X17" i="6"/>
  <c r="X19" i="5"/>
  <c r="X19" i="4"/>
  <c r="X17" i="3"/>
  <c r="C33" i="2"/>
  <c r="D33" i="2" s="1"/>
  <c r="AO22" i="4"/>
  <c r="AN22" i="4"/>
  <c r="AM22" i="4"/>
  <c r="AL22" i="4"/>
  <c r="AO23" i="4"/>
  <c r="AN23" i="4"/>
  <c r="AM23" i="4"/>
  <c r="AL23" i="4"/>
  <c r="W31" i="7"/>
  <c r="W31" i="8"/>
  <c r="W18" i="9"/>
  <c r="B35" i="2"/>
  <c r="C34" i="2"/>
  <c r="D34" i="2" s="1"/>
  <c r="W32" i="9" l="1"/>
  <c r="Y16" i="9"/>
  <c r="Y19" i="8"/>
  <c r="Y19" i="7"/>
  <c r="Y17" i="6"/>
  <c r="AH17" i="6" s="1"/>
  <c r="Y19" i="5"/>
  <c r="Y19" i="4"/>
  <c r="AH19" i="4" s="1"/>
  <c r="AG17" i="3"/>
  <c r="AM24" i="4"/>
  <c r="AM25" i="4"/>
  <c r="X31" i="8"/>
  <c r="X18" i="9"/>
  <c r="AB132" i="5"/>
  <c r="J108" i="5"/>
  <c r="S34" i="3"/>
  <c r="AC33" i="3"/>
  <c r="T33" i="3"/>
  <c r="S32" i="3"/>
  <c r="AC31" i="3"/>
  <c r="T31" i="3"/>
  <c r="AD33" i="4"/>
  <c r="AN21" i="4"/>
  <c r="X22" i="9"/>
  <c r="X22" i="8"/>
  <c r="X22" i="7"/>
  <c r="X20" i="6"/>
  <c r="X22" i="5"/>
  <c r="X24" i="4"/>
  <c r="W22" i="3"/>
  <c r="X20" i="3"/>
  <c r="V29" i="3"/>
  <c r="V30" i="3" s="1"/>
  <c r="V83" i="3"/>
  <c r="W22" i="4"/>
  <c r="W26" i="3"/>
  <c r="V87" i="3"/>
  <c r="W25" i="3"/>
  <c r="V86" i="3"/>
  <c r="W24" i="3"/>
  <c r="V85" i="3"/>
  <c r="W23" i="3"/>
  <c r="V84" i="3"/>
  <c r="W89" i="3"/>
  <c r="W88" i="3"/>
  <c r="X60" i="3"/>
  <c r="X28" i="3" s="1"/>
  <c r="X59" i="3"/>
  <c r="X27" i="3" s="1"/>
  <c r="X58" i="3"/>
  <c r="X72" i="3" s="1"/>
  <c r="Y28" i="4" s="1"/>
  <c r="X57" i="3"/>
  <c r="X71" i="3" s="1"/>
  <c r="X56" i="3"/>
  <c r="X70" i="3" s="1"/>
  <c r="X55" i="3"/>
  <c r="X69" i="3" s="1"/>
  <c r="Y40" i="9" s="1"/>
  <c r="Y23" i="6"/>
  <c r="Y24" i="6"/>
  <c r="Y25" i="6"/>
  <c r="X27" i="4"/>
  <c r="AM26" i="4"/>
  <c r="X22" i="4"/>
  <c r="Y20" i="4"/>
  <c r="X29" i="4"/>
  <c r="Y29" i="4" s="1"/>
  <c r="X30" i="4"/>
  <c r="Y30" i="4" s="1"/>
  <c r="W23" i="4"/>
  <c r="X123" i="5"/>
  <c r="X125" i="5" s="1"/>
  <c r="Y102" i="5"/>
  <c r="X31" i="5"/>
  <c r="W40" i="5"/>
  <c r="I41" i="7"/>
  <c r="AL9" i="7"/>
  <c r="H35" i="7"/>
  <c r="AN9" i="7"/>
  <c r="Y24" i="7"/>
  <c r="X29" i="7"/>
  <c r="I40" i="8"/>
  <c r="AL9" i="8"/>
  <c r="H34" i="8"/>
  <c r="AN9" i="8"/>
  <c r="Y24" i="8"/>
  <c r="X29" i="8"/>
  <c r="G30" i="9"/>
  <c r="G31" i="9" s="1"/>
  <c r="F51" i="9"/>
  <c r="AM7" i="9" s="1"/>
  <c r="AK7" i="9"/>
  <c r="Y28" i="9"/>
  <c r="AE28" i="9" l="1"/>
  <c r="G55" i="9"/>
  <c r="G56" i="9" s="1"/>
  <c r="G33" i="9"/>
  <c r="AE24" i="8"/>
  <c r="Y29" i="8"/>
  <c r="AE29" i="8" s="1"/>
  <c r="H38" i="8"/>
  <c r="H43" i="8"/>
  <c r="I26" i="8"/>
  <c r="I27" i="8" s="1"/>
  <c r="AE24" i="7"/>
  <c r="Y29" i="7"/>
  <c r="AE29" i="7" s="1"/>
  <c r="H39" i="7"/>
  <c r="H44" i="7"/>
  <c r="I26" i="7"/>
  <c r="I27" i="7" s="1"/>
  <c r="Y123" i="5"/>
  <c r="AE102" i="5"/>
  <c r="Y31" i="5"/>
  <c r="X40" i="5"/>
  <c r="X23" i="4"/>
  <c r="AO24" i="4"/>
  <c r="W26" i="4"/>
  <c r="W31" i="4" s="1"/>
  <c r="AE30" i="4"/>
  <c r="AE29" i="4"/>
  <c r="AE20" i="4"/>
  <c r="Y27" i="4"/>
  <c r="AE25" i="6"/>
  <c r="AE24" i="6"/>
  <c r="AE23" i="6"/>
  <c r="AE40" i="9"/>
  <c r="AE28" i="4"/>
  <c r="AD27" i="3"/>
  <c r="X88" i="3"/>
  <c r="AL13" i="3"/>
  <c r="AD28" i="3"/>
  <c r="X89" i="3"/>
  <c r="AL15" i="3" a="1"/>
  <c r="AL15" i="3" s="1"/>
  <c r="X23" i="3"/>
  <c r="W84" i="3"/>
  <c r="X24" i="3"/>
  <c r="W85" i="3"/>
  <c r="X25" i="3"/>
  <c r="W86" i="3"/>
  <c r="X26" i="3"/>
  <c r="W87" i="3"/>
  <c r="V90" i="3"/>
  <c r="V37" i="3" s="1"/>
  <c r="V38" i="3" s="1"/>
  <c r="Y22" i="9"/>
  <c r="AE22" i="9" s="1"/>
  <c r="Y22" i="8"/>
  <c r="AE22" i="8" s="1"/>
  <c r="Y22" i="7"/>
  <c r="AE22" i="7" s="1"/>
  <c r="Y20" i="6"/>
  <c r="AE20" i="6" s="1"/>
  <c r="Y22" i="5"/>
  <c r="AE22" i="5" s="1"/>
  <c r="Y24" i="4"/>
  <c r="X22" i="3"/>
  <c r="AD20" i="3"/>
  <c r="K8" i="2" s="1"/>
  <c r="K6" i="2"/>
  <c r="C35" i="2"/>
  <c r="D35" i="2" s="1"/>
  <c r="W29" i="3"/>
  <c r="W30" i="3" s="1"/>
  <c r="W83" i="3"/>
  <c r="W90" i="3" s="1"/>
  <c r="W37" i="3" s="1"/>
  <c r="W38" i="3" s="1"/>
  <c r="X26" i="4"/>
  <c r="X31" i="4" s="1"/>
  <c r="T32" i="3"/>
  <c r="U31" i="3"/>
  <c r="T34" i="3"/>
  <c r="U33" i="3"/>
  <c r="J133" i="5"/>
  <c r="X32" i="9"/>
  <c r="Y31" i="7"/>
  <c r="AI19" i="7"/>
  <c r="Y31" i="8"/>
  <c r="AH19" i="8"/>
  <c r="Y18" i="9"/>
  <c r="AH16" i="9"/>
  <c r="Y32" i="9" l="1"/>
  <c r="AB133" i="5"/>
  <c r="K132" i="5"/>
  <c r="J45" i="5"/>
  <c r="U34" i="3"/>
  <c r="V33" i="3"/>
  <c r="U32" i="3"/>
  <c r="V31" i="3"/>
  <c r="X33" i="4"/>
  <c r="AN25" i="4" s="1"/>
  <c r="AL25" i="4"/>
  <c r="X29" i="3"/>
  <c r="AG22" i="3"/>
  <c r="K9" i="2" s="1"/>
  <c r="AD22" i="3"/>
  <c r="K7" i="2"/>
  <c r="X83" i="3"/>
  <c r="AL8" i="3"/>
  <c r="AE24" i="4"/>
  <c r="Y22" i="4"/>
  <c r="AG26" i="3"/>
  <c r="AD26" i="3"/>
  <c r="X87" i="3"/>
  <c r="AL12" i="3"/>
  <c r="AG25" i="3"/>
  <c r="AD25" i="3"/>
  <c r="X86" i="3"/>
  <c r="AL11" i="3"/>
  <c r="AG24" i="3"/>
  <c r="AD24" i="3"/>
  <c r="X85" i="3"/>
  <c r="AL10" i="3"/>
  <c r="AG23" i="3"/>
  <c r="AD23" i="3"/>
  <c r="X84" i="3"/>
  <c r="AL9" i="3"/>
  <c r="AE27" i="4"/>
  <c r="W33" i="4"/>
  <c r="AN24" i="4" s="1"/>
  <c r="AL24" i="4"/>
  <c r="Y23" i="4"/>
  <c r="AO25" i="4"/>
  <c r="AE31" i="5"/>
  <c r="Y125" i="5"/>
  <c r="AE123" i="5"/>
  <c r="I28" i="7"/>
  <c r="I36" i="7"/>
  <c r="I20" i="7"/>
  <c r="I37" i="7"/>
  <c r="I38" i="7"/>
  <c r="H46" i="7"/>
  <c r="AM9" i="7" s="1"/>
  <c r="AK9" i="7"/>
  <c r="I28" i="8"/>
  <c r="I35" i="8"/>
  <c r="I20" i="8"/>
  <c r="I36" i="8"/>
  <c r="I37" i="8"/>
  <c r="H45" i="8"/>
  <c r="AM9" i="8" s="1"/>
  <c r="AK9" i="8"/>
  <c r="G19" i="9"/>
  <c r="G34" i="9" l="1"/>
  <c r="G20" i="9"/>
  <c r="G35" i="9" s="1"/>
  <c r="G21" i="9"/>
  <c r="I32" i="8"/>
  <c r="I21" i="8"/>
  <c r="I41" i="8"/>
  <c r="I42" i="8" s="1"/>
  <c r="I30" i="8"/>
  <c r="I33" i="7"/>
  <c r="I21" i="7"/>
  <c r="J32" i="7"/>
  <c r="I42" i="7"/>
  <c r="I43" i="7" s="1"/>
  <c r="I30" i="7"/>
  <c r="AE125" i="5"/>
  <c r="Y40" i="5"/>
  <c r="E65" i="4"/>
  <c r="AE23" i="4"/>
  <c r="AO26" i="4"/>
  <c r="Y26" i="4"/>
  <c r="AL16" i="3"/>
  <c r="AM8" i="3"/>
  <c r="X90" i="3"/>
  <c r="X37" i="3" s="1"/>
  <c r="X38" i="3" s="1"/>
  <c r="X30" i="3"/>
  <c r="AG29" i="3"/>
  <c r="AD29" i="3"/>
  <c r="AG27" i="3"/>
  <c r="AG28" i="3"/>
  <c r="V32" i="3"/>
  <c r="W31" i="3"/>
  <c r="V34" i="3"/>
  <c r="W33" i="3"/>
  <c r="K108" i="5"/>
  <c r="AE32" i="9"/>
  <c r="K133" i="5" l="1"/>
  <c r="W34" i="3"/>
  <c r="X33" i="3"/>
  <c r="W32" i="3"/>
  <c r="X31" i="3"/>
  <c r="AM16" i="3"/>
  <c r="AM15" i="3"/>
  <c r="AM13" i="3"/>
  <c r="AM9" i="3"/>
  <c r="AM10" i="3"/>
  <c r="AM11" i="3"/>
  <c r="AM12" i="3"/>
  <c r="Y31" i="4"/>
  <c r="AH26" i="4"/>
  <c r="AE26" i="4"/>
  <c r="AE40" i="5"/>
  <c r="J41" i="7"/>
  <c r="AL10" i="7"/>
  <c r="I35" i="7"/>
  <c r="AN10" i="7"/>
  <c r="J40" i="8"/>
  <c r="AL10" i="8"/>
  <c r="I34" i="8"/>
  <c r="AN10" i="8"/>
  <c r="G23" i="9"/>
  <c r="G24" i="9"/>
  <c r="G25" i="9"/>
  <c r="G36" i="9"/>
  <c r="G47" i="9" l="1"/>
  <c r="G48" i="9" s="1"/>
  <c r="G37" i="9"/>
  <c r="G39" i="9"/>
  <c r="G26" i="9"/>
  <c r="H17" i="9"/>
  <c r="AN8" i="9"/>
  <c r="I38" i="8"/>
  <c r="I43" i="8"/>
  <c r="AB40" i="8"/>
  <c r="J26" i="8"/>
  <c r="I39" i="7"/>
  <c r="I44" i="7"/>
  <c r="AB41" i="7"/>
  <c r="J26" i="7"/>
  <c r="Y33" i="4"/>
  <c r="AH31" i="4"/>
  <c r="AE31" i="4"/>
  <c r="AL26" i="4"/>
  <c r="AH30" i="4"/>
  <c r="AH29" i="4"/>
  <c r="AH28" i="4"/>
  <c r="AH27" i="4"/>
  <c r="X32" i="3"/>
  <c r="AD31" i="3"/>
  <c r="X34" i="3"/>
  <c r="AD33" i="3"/>
  <c r="L132" i="5"/>
  <c r="K45" i="5"/>
  <c r="L108" i="5" l="1"/>
  <c r="C65" i="4"/>
  <c r="AE33" i="4"/>
  <c r="D65" i="4" s="1"/>
  <c r="AN26" i="4"/>
  <c r="AB26" i="7"/>
  <c r="J27" i="7"/>
  <c r="I46" i="7"/>
  <c r="AM10" i="7" s="1"/>
  <c r="AK10" i="7"/>
  <c r="AB26" i="8"/>
  <c r="J27" i="8"/>
  <c r="I45" i="8"/>
  <c r="AM10" i="8" s="1"/>
  <c r="AK10" i="8"/>
  <c r="H54" i="9"/>
  <c r="G44" i="9"/>
  <c r="G49" i="9"/>
  <c r="H46" i="9"/>
  <c r="AL8" i="9"/>
  <c r="H30" i="9" l="1"/>
  <c r="H31" i="9" s="1"/>
  <c r="G51" i="9"/>
  <c r="AM8" i="9" s="1"/>
  <c r="AK8" i="9"/>
  <c r="J28" i="8"/>
  <c r="AB27" i="8"/>
  <c r="J37" i="8"/>
  <c r="J36" i="8"/>
  <c r="J35" i="8"/>
  <c r="J20" i="8"/>
  <c r="J28" i="7"/>
  <c r="AB27" i="7"/>
  <c r="J38" i="7"/>
  <c r="J37" i="7"/>
  <c r="J36" i="7"/>
  <c r="J20" i="7"/>
  <c r="L133" i="5"/>
  <c r="M132" i="5" l="1"/>
  <c r="L45" i="5"/>
  <c r="J33" i="7"/>
  <c r="AB33" i="7" s="1"/>
  <c r="AB20" i="7"/>
  <c r="J21" i="7"/>
  <c r="AB36" i="7"/>
  <c r="K32" i="7"/>
  <c r="AB37" i="7"/>
  <c r="AB38" i="7"/>
  <c r="J42" i="7"/>
  <c r="J43" i="7" s="1"/>
  <c r="AB28" i="7"/>
  <c r="J30" i="7"/>
  <c r="AB30" i="7" s="1"/>
  <c r="J32" i="8"/>
  <c r="AB32" i="8" s="1"/>
  <c r="AB20" i="8"/>
  <c r="J21" i="8"/>
  <c r="AB35" i="8"/>
  <c r="AB36" i="8"/>
  <c r="AB37" i="8"/>
  <c r="J41" i="8"/>
  <c r="J42" i="8" s="1"/>
  <c r="AB28" i="8"/>
  <c r="J30" i="8"/>
  <c r="AB30" i="8" s="1"/>
  <c r="H55" i="9"/>
  <c r="H56" i="9" s="1"/>
  <c r="H33" i="9"/>
  <c r="H19" i="9" l="1"/>
  <c r="AB42" i="8"/>
  <c r="K40" i="8"/>
  <c r="AL11" i="8"/>
  <c r="J34" i="8"/>
  <c r="AB21" i="8"/>
  <c r="AN11" i="8"/>
  <c r="AB43" i="7"/>
  <c r="K41" i="7"/>
  <c r="AL11" i="7"/>
  <c r="J35" i="7"/>
  <c r="AB21" i="7"/>
  <c r="AN11" i="7"/>
  <c r="M108" i="5"/>
  <c r="M133" i="5" l="1"/>
  <c r="J39" i="7"/>
  <c r="AB35" i="7"/>
  <c r="J44" i="7"/>
  <c r="K26" i="7"/>
  <c r="K27" i="7" s="1"/>
  <c r="J38" i="8"/>
  <c r="AB34" i="8"/>
  <c r="J43" i="8"/>
  <c r="K26" i="8"/>
  <c r="K27" i="8" s="1"/>
  <c r="H34" i="9"/>
  <c r="H20" i="9"/>
  <c r="H35" i="9" s="1"/>
  <c r="H21" i="9"/>
  <c r="H23" i="9" l="1"/>
  <c r="H24" i="9"/>
  <c r="H25" i="9"/>
  <c r="H36" i="9"/>
  <c r="K28" i="8"/>
  <c r="K35" i="8"/>
  <c r="K20" i="8"/>
  <c r="K36" i="8"/>
  <c r="K37" i="8"/>
  <c r="J45" i="8"/>
  <c r="AB38" i="8"/>
  <c r="AK11" i="8"/>
  <c r="K28" i="7"/>
  <c r="K36" i="7"/>
  <c r="K20" i="7"/>
  <c r="K37" i="7"/>
  <c r="K38" i="7"/>
  <c r="J46" i="7"/>
  <c r="AB39" i="7"/>
  <c r="AK11" i="7"/>
  <c r="N132" i="5"/>
  <c r="M45" i="5"/>
  <c r="N108" i="5" l="1"/>
  <c r="AB46" i="7"/>
  <c r="AM11" i="7"/>
  <c r="K33" i="7"/>
  <c r="K21" i="7"/>
  <c r="L32" i="7"/>
  <c r="K42" i="7"/>
  <c r="K43" i="7" s="1"/>
  <c r="K30" i="7"/>
  <c r="AB45" i="8"/>
  <c r="AM11" i="8"/>
  <c r="K32" i="8"/>
  <c r="K21" i="8"/>
  <c r="K41" i="8"/>
  <c r="K42" i="8" s="1"/>
  <c r="K30" i="8"/>
  <c r="H47" i="9"/>
  <c r="H48" i="9" s="1"/>
  <c r="H37" i="9"/>
  <c r="H39" i="9"/>
  <c r="H26" i="9"/>
  <c r="I17" i="9"/>
  <c r="AN9" i="9"/>
  <c r="I54" i="9" l="1"/>
  <c r="H44" i="9"/>
  <c r="H49" i="9"/>
  <c r="I46" i="9"/>
  <c r="AL9" i="9"/>
  <c r="L40" i="8"/>
  <c r="AL12" i="8"/>
  <c r="K34" i="8"/>
  <c r="AN12" i="8"/>
  <c r="L41" i="7"/>
  <c r="AL12" i="7"/>
  <c r="K35" i="7"/>
  <c r="AN12" i="7"/>
  <c r="N133" i="5"/>
  <c r="O132" i="5" l="1"/>
  <c r="N45" i="5"/>
  <c r="K39" i="7"/>
  <c r="K44" i="7"/>
  <c r="L26" i="7"/>
  <c r="L27" i="7" s="1"/>
  <c r="K38" i="8"/>
  <c r="K43" i="8"/>
  <c r="L26" i="8"/>
  <c r="L27" i="8" s="1"/>
  <c r="I30" i="9"/>
  <c r="I31" i="9" s="1"/>
  <c r="H51" i="9"/>
  <c r="AM9" i="9" s="1"/>
  <c r="AK9" i="9"/>
  <c r="I55" i="9" l="1"/>
  <c r="I56" i="9" s="1"/>
  <c r="I33" i="9"/>
  <c r="L28" i="8"/>
  <c r="L37" i="8"/>
  <c r="L36" i="8"/>
  <c r="L35" i="8"/>
  <c r="L20" i="8"/>
  <c r="K45" i="8"/>
  <c r="AM12" i="8" s="1"/>
  <c r="AK12" i="8"/>
  <c r="L28" i="7"/>
  <c r="L38" i="7"/>
  <c r="L37" i="7"/>
  <c r="L36" i="7"/>
  <c r="L20" i="7"/>
  <c r="K46" i="7"/>
  <c r="AM12" i="7" s="1"/>
  <c r="AK12" i="7"/>
  <c r="AC132" i="5"/>
  <c r="O108" i="5"/>
  <c r="O133" i="5" l="1"/>
  <c r="L33" i="7"/>
  <c r="L21" i="7"/>
  <c r="M32" i="7"/>
  <c r="L42" i="7"/>
  <c r="L43" i="7" s="1"/>
  <c r="L30" i="7"/>
  <c r="L32" i="8"/>
  <c r="L21" i="8"/>
  <c r="L41" i="8"/>
  <c r="L42" i="8" s="1"/>
  <c r="L30" i="8"/>
  <c r="I19" i="9"/>
  <c r="I34" i="9" l="1"/>
  <c r="I20" i="9"/>
  <c r="I35" i="9" s="1"/>
  <c r="I21" i="9"/>
  <c r="M40" i="8"/>
  <c r="AL14" i="8"/>
  <c r="L34" i="8"/>
  <c r="AN14" i="8"/>
  <c r="M41" i="7"/>
  <c r="AL15" i="7"/>
  <c r="L35" i="7"/>
  <c r="AN15" i="7"/>
  <c r="AC133" i="5"/>
  <c r="P132" i="5"/>
  <c r="O45" i="5"/>
  <c r="P108" i="5" l="1"/>
  <c r="L39" i="7"/>
  <c r="L44" i="7"/>
  <c r="M26" i="7"/>
  <c r="M27" i="7" s="1"/>
  <c r="L38" i="8"/>
  <c r="L43" i="8"/>
  <c r="M26" i="8"/>
  <c r="M27" i="8" s="1"/>
  <c r="I23" i="9"/>
  <c r="I24" i="9"/>
  <c r="I25" i="9"/>
  <c r="I36" i="9"/>
  <c r="I47" i="9" l="1"/>
  <c r="I48" i="9" s="1"/>
  <c r="I37" i="9"/>
  <c r="I39" i="9"/>
  <c r="I26" i="9"/>
  <c r="J17" i="9"/>
  <c r="AN10" i="9"/>
  <c r="M28" i="8"/>
  <c r="M35" i="8"/>
  <c r="M20" i="8"/>
  <c r="M36" i="8"/>
  <c r="M37" i="8"/>
  <c r="L45" i="8"/>
  <c r="AM14" i="8" s="1"/>
  <c r="AK14" i="8"/>
  <c r="M28" i="7"/>
  <c r="M36" i="7"/>
  <c r="M20" i="7"/>
  <c r="M37" i="7"/>
  <c r="M38" i="7"/>
  <c r="L46" i="7"/>
  <c r="AM15" i="7" s="1"/>
  <c r="AK15" i="7"/>
  <c r="P133" i="5"/>
  <c r="Q132" i="5" l="1"/>
  <c r="P45" i="5"/>
  <c r="M33" i="7"/>
  <c r="M21" i="7"/>
  <c r="N32" i="7"/>
  <c r="M42" i="7"/>
  <c r="M43" i="7" s="1"/>
  <c r="M30" i="7"/>
  <c r="M32" i="8"/>
  <c r="M21" i="8"/>
  <c r="M41" i="8"/>
  <c r="M42" i="8" s="1"/>
  <c r="M30" i="8"/>
  <c r="J54" i="9"/>
  <c r="I44" i="9"/>
  <c r="I49" i="9"/>
  <c r="J46" i="9"/>
  <c r="AL10" i="9"/>
  <c r="AB46" i="9" l="1"/>
  <c r="J30" i="9"/>
  <c r="I51" i="9"/>
  <c r="AM10" i="9" s="1"/>
  <c r="AK10" i="9"/>
  <c r="N40" i="8"/>
  <c r="AL16" i="8"/>
  <c r="M34" i="8"/>
  <c r="AN16" i="8"/>
  <c r="N41" i="7"/>
  <c r="AL16" i="7"/>
  <c r="M35" i="7"/>
  <c r="AN16" i="7"/>
  <c r="Q108" i="5"/>
  <c r="Q133" i="5" l="1"/>
  <c r="M39" i="7"/>
  <c r="M44" i="7"/>
  <c r="N26" i="7"/>
  <c r="N27" i="7" s="1"/>
  <c r="M38" i="8"/>
  <c r="M43" i="8"/>
  <c r="N26" i="8"/>
  <c r="N27" i="8" s="1"/>
  <c r="AB30" i="9"/>
  <c r="J31" i="9"/>
  <c r="J55" i="9" l="1"/>
  <c r="J56" i="9" s="1"/>
  <c r="J33" i="9"/>
  <c r="AB31" i="9"/>
  <c r="N28" i="8"/>
  <c r="N37" i="8"/>
  <c r="N36" i="8"/>
  <c r="N35" i="8"/>
  <c r="N20" i="8"/>
  <c r="M45" i="8"/>
  <c r="AM16" i="8" s="1"/>
  <c r="AK16" i="8"/>
  <c r="N28" i="7"/>
  <c r="N38" i="7"/>
  <c r="N37" i="7"/>
  <c r="N36" i="7"/>
  <c r="N20" i="7"/>
  <c r="M46" i="7"/>
  <c r="AM16" i="7" s="1"/>
  <c r="AK16" i="7"/>
  <c r="R132" i="5"/>
  <c r="Q45" i="5"/>
  <c r="R108" i="5" l="1"/>
  <c r="N33" i="7"/>
  <c r="N21" i="7"/>
  <c r="O32" i="7"/>
  <c r="N42" i="7"/>
  <c r="N43" i="7" s="1"/>
  <c r="N30" i="7"/>
  <c r="N32" i="8"/>
  <c r="N21" i="8"/>
  <c r="N41" i="8"/>
  <c r="N42" i="8" s="1"/>
  <c r="N30" i="8"/>
  <c r="AB33" i="9"/>
  <c r="J19" i="9"/>
  <c r="J34" i="9" l="1"/>
  <c r="J20" i="9"/>
  <c r="J35" i="9" s="1"/>
  <c r="J21" i="9"/>
  <c r="O40" i="8"/>
  <c r="AL17" i="8"/>
  <c r="N34" i="8"/>
  <c r="AN17" i="8"/>
  <c r="O41" i="7"/>
  <c r="AL17" i="7"/>
  <c r="N35" i="7"/>
  <c r="AN17" i="7"/>
  <c r="R133" i="5"/>
  <c r="S132" i="5" l="1"/>
  <c r="R45" i="5"/>
  <c r="N39" i="7"/>
  <c r="N44" i="7"/>
  <c r="AC41" i="7"/>
  <c r="O26" i="7"/>
  <c r="N38" i="8"/>
  <c r="N43" i="8"/>
  <c r="AC40" i="8"/>
  <c r="O26" i="8"/>
  <c r="J23" i="9"/>
  <c r="J24" i="9"/>
  <c r="AB34" i="9"/>
  <c r="J25" i="9"/>
  <c r="J36" i="9"/>
  <c r="J47" i="9" l="1"/>
  <c r="J48" i="9" s="1"/>
  <c r="AB36" i="9"/>
  <c r="J37" i="9"/>
  <c r="AB37" i="9" s="1"/>
  <c r="J39" i="9"/>
  <c r="J26" i="9"/>
  <c r="K17" i="9"/>
  <c r="AN11" i="9"/>
  <c r="AC26" i="8"/>
  <c r="O27" i="8"/>
  <c r="N45" i="8"/>
  <c r="AM17" i="8" s="1"/>
  <c r="AK17" i="8"/>
  <c r="AC26" i="7"/>
  <c r="O27" i="7"/>
  <c r="N46" i="7"/>
  <c r="AM17" i="7" s="1"/>
  <c r="AK17" i="7"/>
  <c r="S108" i="5"/>
  <c r="S133" i="5" l="1"/>
  <c r="O28" i="7"/>
  <c r="AC27" i="7"/>
  <c r="O36" i="7"/>
  <c r="O20" i="7"/>
  <c r="O37" i="7"/>
  <c r="O38" i="7"/>
  <c r="O28" i="8"/>
  <c r="AC27" i="8"/>
  <c r="O35" i="8"/>
  <c r="O20" i="8"/>
  <c r="O36" i="8"/>
  <c r="O37" i="8"/>
  <c r="K54" i="9"/>
  <c r="J44" i="9"/>
  <c r="AB39" i="9"/>
  <c r="J49" i="9"/>
  <c r="AB48" i="9"/>
  <c r="K46" i="9"/>
  <c r="AL11" i="9"/>
  <c r="K30" i="9" l="1"/>
  <c r="K31" i="9" s="1"/>
  <c r="J51" i="9"/>
  <c r="AB44" i="9"/>
  <c r="AK11" i="9"/>
  <c r="AC37" i="8"/>
  <c r="AC36" i="8"/>
  <c r="O32" i="8"/>
  <c r="AC32" i="8" s="1"/>
  <c r="AC20" i="8"/>
  <c r="O21" i="8"/>
  <c r="AC35" i="8"/>
  <c r="O41" i="8"/>
  <c r="O42" i="8" s="1"/>
  <c r="AC28" i="8"/>
  <c r="O30" i="8"/>
  <c r="AC30" i="8" s="1"/>
  <c r="AC38" i="7"/>
  <c r="AC37" i="7"/>
  <c r="O33" i="7"/>
  <c r="AC33" i="7" s="1"/>
  <c r="AC20" i="7"/>
  <c r="O21" i="7"/>
  <c r="AC36" i="7"/>
  <c r="P32" i="7"/>
  <c r="O42" i="7"/>
  <c r="O43" i="7" s="1"/>
  <c r="AC28" i="7"/>
  <c r="O30" i="7"/>
  <c r="AC30" i="7" s="1"/>
  <c r="T132" i="5"/>
  <c r="S45" i="5"/>
  <c r="AD132" i="5" l="1"/>
  <c r="T108" i="5"/>
  <c r="AC43" i="7"/>
  <c r="P41" i="7"/>
  <c r="AL18" i="7"/>
  <c r="O35" i="7"/>
  <c r="AC21" i="7"/>
  <c r="AN18" i="7"/>
  <c r="AC42" i="8"/>
  <c r="P40" i="8"/>
  <c r="AL18" i="8"/>
  <c r="O34" i="8"/>
  <c r="AC21" i="8"/>
  <c r="AN18" i="8"/>
  <c r="AB51" i="9"/>
  <c r="AM11" i="9"/>
  <c r="K55" i="9"/>
  <c r="K56" i="9" s="1"/>
  <c r="K33" i="9"/>
  <c r="K19" i="9" l="1"/>
  <c r="O38" i="8"/>
  <c r="AC34" i="8"/>
  <c r="O43" i="8"/>
  <c r="P26" i="8"/>
  <c r="P27" i="8" s="1"/>
  <c r="O39" i="7"/>
  <c r="AC35" i="7"/>
  <c r="O44" i="7"/>
  <c r="P26" i="7"/>
  <c r="P27" i="7" s="1"/>
  <c r="T133" i="5"/>
  <c r="AD133" i="5" l="1"/>
  <c r="U132" i="5"/>
  <c r="T45" i="5"/>
  <c r="P28" i="7"/>
  <c r="P38" i="7"/>
  <c r="P37" i="7"/>
  <c r="P36" i="7"/>
  <c r="P20" i="7"/>
  <c r="O46" i="7"/>
  <c r="AC39" i="7"/>
  <c r="AK18" i="7"/>
  <c r="P28" i="8"/>
  <c r="P37" i="8"/>
  <c r="P36" i="8"/>
  <c r="P35" i="8"/>
  <c r="P20" i="8"/>
  <c r="O45" i="8"/>
  <c r="AC38" i="8"/>
  <c r="AK18" i="8"/>
  <c r="K34" i="9"/>
  <c r="K20" i="9"/>
  <c r="K35" i="9" s="1"/>
  <c r="K21" i="9"/>
  <c r="K23" i="9" l="1"/>
  <c r="K24" i="9"/>
  <c r="K25" i="9"/>
  <c r="K36" i="9"/>
  <c r="AC45" i="8"/>
  <c r="AM18" i="8"/>
  <c r="P32" i="8"/>
  <c r="P21" i="8"/>
  <c r="P41" i="8"/>
  <c r="P42" i="8" s="1"/>
  <c r="P30" i="8"/>
  <c r="AC46" i="7"/>
  <c r="AM18" i="7"/>
  <c r="P33" i="7"/>
  <c r="P21" i="7"/>
  <c r="Q32" i="7"/>
  <c r="P42" i="7"/>
  <c r="P43" i="7" s="1"/>
  <c r="P30" i="7"/>
  <c r="U108" i="5"/>
  <c r="U133" i="5" l="1"/>
  <c r="Q41" i="7"/>
  <c r="AL19" i="7"/>
  <c r="P35" i="7"/>
  <c r="AN19" i="7"/>
  <c r="Q40" i="8"/>
  <c r="AL19" i="8"/>
  <c r="P34" i="8"/>
  <c r="AN19" i="8"/>
  <c r="K47" i="9"/>
  <c r="K48" i="9" s="1"/>
  <c r="K37" i="9"/>
  <c r="K39" i="9"/>
  <c r="K26" i="9"/>
  <c r="L17" i="9"/>
  <c r="AN13" i="9"/>
  <c r="L54" i="9" l="1"/>
  <c r="K44" i="9"/>
  <c r="K49" i="9"/>
  <c r="L46" i="9"/>
  <c r="AL13" i="9"/>
  <c r="P38" i="8"/>
  <c r="P43" i="8"/>
  <c r="Q26" i="8"/>
  <c r="Q27" i="8" s="1"/>
  <c r="P39" i="7"/>
  <c r="P44" i="7"/>
  <c r="Q26" i="7"/>
  <c r="Q27" i="7" s="1"/>
  <c r="V132" i="5"/>
  <c r="U45" i="5"/>
  <c r="V108" i="5" l="1"/>
  <c r="Q28" i="7"/>
  <c r="Q36" i="7"/>
  <c r="Q20" i="7"/>
  <c r="Q37" i="7"/>
  <c r="Q38" i="7"/>
  <c r="P46" i="7"/>
  <c r="AM19" i="7" s="1"/>
  <c r="AK19" i="7"/>
  <c r="Q28" i="8"/>
  <c r="Q35" i="8"/>
  <c r="Q20" i="8"/>
  <c r="Q36" i="8"/>
  <c r="Q37" i="8"/>
  <c r="P45" i="8"/>
  <c r="AM19" i="8" s="1"/>
  <c r="AK19" i="8"/>
  <c r="L30" i="9"/>
  <c r="L31" i="9" s="1"/>
  <c r="K51" i="9"/>
  <c r="AM13" i="9" s="1"/>
  <c r="AK13" i="9"/>
  <c r="L55" i="9" l="1"/>
  <c r="L56" i="9" s="1"/>
  <c r="L33" i="9"/>
  <c r="Q32" i="8"/>
  <c r="Q21" i="8"/>
  <c r="Q41" i="8"/>
  <c r="Q42" i="8" s="1"/>
  <c r="Q30" i="8"/>
  <c r="Q33" i="7"/>
  <c r="Q21" i="7"/>
  <c r="R32" i="7"/>
  <c r="Q42" i="7"/>
  <c r="Q43" i="7" s="1"/>
  <c r="Q30" i="7"/>
  <c r="V133" i="5"/>
  <c r="W132" i="5" l="1"/>
  <c r="V45" i="5"/>
  <c r="R41" i="7"/>
  <c r="AL20" i="7"/>
  <c r="Q35" i="7"/>
  <c r="AN20" i="7"/>
  <c r="R40" i="8"/>
  <c r="AL20" i="8"/>
  <c r="Q34" i="8"/>
  <c r="AN20" i="8"/>
  <c r="L19" i="9"/>
  <c r="L34" i="9" l="1"/>
  <c r="L20" i="9"/>
  <c r="L35" i="9" s="1"/>
  <c r="L21" i="9"/>
  <c r="Q38" i="8"/>
  <c r="Q43" i="8"/>
  <c r="R26" i="8"/>
  <c r="R27" i="8" s="1"/>
  <c r="Q39" i="7"/>
  <c r="Q44" i="7"/>
  <c r="R26" i="7"/>
  <c r="R27" i="7" s="1"/>
  <c r="W108" i="5"/>
  <c r="W133" i="5" l="1"/>
  <c r="R28" i="7"/>
  <c r="R38" i="7"/>
  <c r="R37" i="7"/>
  <c r="R36" i="7"/>
  <c r="R20" i="7"/>
  <c r="Q46" i="7"/>
  <c r="AM20" i="7" s="1"/>
  <c r="AK20" i="7"/>
  <c r="R28" i="8"/>
  <c r="R37" i="8"/>
  <c r="R36" i="8"/>
  <c r="R35" i="8"/>
  <c r="R20" i="8"/>
  <c r="Q45" i="8"/>
  <c r="AM20" i="8" s="1"/>
  <c r="AK20" i="8"/>
  <c r="L23" i="9"/>
  <c r="L24" i="9"/>
  <c r="L25" i="9"/>
  <c r="L36" i="9"/>
  <c r="L47" i="9" l="1"/>
  <c r="L48" i="9" s="1"/>
  <c r="L37" i="9"/>
  <c r="L39" i="9"/>
  <c r="L26" i="9"/>
  <c r="M17" i="9"/>
  <c r="AN14" i="9"/>
  <c r="R32" i="8"/>
  <c r="R21" i="8"/>
  <c r="R41" i="8"/>
  <c r="R42" i="8" s="1"/>
  <c r="R30" i="8"/>
  <c r="R33" i="7"/>
  <c r="R21" i="7"/>
  <c r="S32" i="7"/>
  <c r="R42" i="7"/>
  <c r="R43" i="7" s="1"/>
  <c r="R30" i="7"/>
  <c r="X132" i="5"/>
  <c r="W45" i="5"/>
  <c r="X108" i="5" l="1"/>
  <c r="S41" i="7"/>
  <c r="AL21" i="7"/>
  <c r="R35" i="7"/>
  <c r="AN21" i="7"/>
  <c r="S40" i="8"/>
  <c r="AL21" i="8"/>
  <c r="R34" i="8"/>
  <c r="AN21" i="8"/>
  <c r="M54" i="9"/>
  <c r="L44" i="9"/>
  <c r="L49" i="9"/>
  <c r="M46" i="9"/>
  <c r="AL14" i="9"/>
  <c r="M30" i="9" l="1"/>
  <c r="M31" i="9" s="1"/>
  <c r="L51" i="9"/>
  <c r="AM14" i="9" s="1"/>
  <c r="AK14" i="9"/>
  <c r="R38" i="8"/>
  <c r="R43" i="8"/>
  <c r="S26" i="8"/>
  <c r="S27" i="8" s="1"/>
  <c r="R39" i="7"/>
  <c r="R44" i="7"/>
  <c r="S26" i="7"/>
  <c r="S27" i="7" s="1"/>
  <c r="X133" i="5"/>
  <c r="Y132" i="5" l="1"/>
  <c r="X45" i="5"/>
  <c r="S28" i="7"/>
  <c r="S36" i="7"/>
  <c r="S20" i="7"/>
  <c r="S37" i="7"/>
  <c r="S38" i="7"/>
  <c r="R46" i="7"/>
  <c r="AM21" i="7" s="1"/>
  <c r="AK21" i="7"/>
  <c r="S28" i="8"/>
  <c r="S35" i="8"/>
  <c r="S20" i="8"/>
  <c r="S36" i="8"/>
  <c r="S37" i="8"/>
  <c r="R45" i="8"/>
  <c r="AM21" i="8" s="1"/>
  <c r="AK21" i="8"/>
  <c r="M55" i="9"/>
  <c r="M56" i="9" s="1"/>
  <c r="M33" i="9"/>
  <c r="M19" i="9" l="1"/>
  <c r="S32" i="8"/>
  <c r="S21" i="8"/>
  <c r="S41" i="8"/>
  <c r="S42" i="8" s="1"/>
  <c r="S30" i="8"/>
  <c r="S33" i="7"/>
  <c r="S21" i="7"/>
  <c r="T32" i="7"/>
  <c r="S42" i="7"/>
  <c r="S43" i="7" s="1"/>
  <c r="S30" i="7"/>
  <c r="AE132" i="5"/>
  <c r="Y108" i="5"/>
  <c r="Y133" i="5" l="1"/>
  <c r="T41" i="7"/>
  <c r="AL22" i="7"/>
  <c r="S35" i="7"/>
  <c r="AN22" i="7"/>
  <c r="T40" i="8"/>
  <c r="AL22" i="8"/>
  <c r="S34" i="8"/>
  <c r="AN22" i="8"/>
  <c r="M34" i="9"/>
  <c r="M20" i="9"/>
  <c r="M35" i="9" s="1"/>
  <c r="M21" i="9"/>
  <c r="M23" i="9" l="1"/>
  <c r="M24" i="9"/>
  <c r="M25" i="9"/>
  <c r="M36" i="9"/>
  <c r="S38" i="8"/>
  <c r="S43" i="8"/>
  <c r="AD40" i="8"/>
  <c r="T26" i="8"/>
  <c r="S39" i="7"/>
  <c r="S44" i="7"/>
  <c r="AD41" i="7"/>
  <c r="T26" i="7"/>
  <c r="AE133" i="5"/>
  <c r="Y45" i="5"/>
  <c r="AE45" i="5" s="1"/>
  <c r="AD26" i="7" l="1"/>
  <c r="T27" i="7"/>
  <c r="S46" i="7"/>
  <c r="AM22" i="7" s="1"/>
  <c r="AK22" i="7"/>
  <c r="AD26" i="8"/>
  <c r="T27" i="8"/>
  <c r="S45" i="8"/>
  <c r="AM22" i="8" s="1"/>
  <c r="AK22" i="8"/>
  <c r="M47" i="9"/>
  <c r="M48" i="9" s="1"/>
  <c r="M37" i="9"/>
  <c r="M39" i="9"/>
  <c r="M26" i="9"/>
  <c r="N17" i="9"/>
  <c r="AN15" i="9"/>
  <c r="N54" i="9" l="1"/>
  <c r="M44" i="9"/>
  <c r="M49" i="9"/>
  <c r="N46" i="9"/>
  <c r="AL15" i="9"/>
  <c r="T28" i="8"/>
  <c r="AD27" i="8"/>
  <c r="T37" i="8"/>
  <c r="T36" i="8"/>
  <c r="T35" i="8"/>
  <c r="T20" i="8"/>
  <c r="T28" i="7"/>
  <c r="AD27" i="7"/>
  <c r="T38" i="7"/>
  <c r="T37" i="7"/>
  <c r="T36" i="7"/>
  <c r="T20" i="7"/>
  <c r="T33" i="7" l="1"/>
  <c r="AD33" i="7" s="1"/>
  <c r="AD20" i="7"/>
  <c r="T21" i="7"/>
  <c r="AD36" i="7"/>
  <c r="U32" i="7"/>
  <c r="AD37" i="7"/>
  <c r="AD38" i="7"/>
  <c r="T42" i="7"/>
  <c r="T43" i="7" s="1"/>
  <c r="AD28" i="7"/>
  <c r="T30" i="7"/>
  <c r="AD30" i="7" s="1"/>
  <c r="T32" i="8"/>
  <c r="AD32" i="8" s="1"/>
  <c r="AD20" i="8"/>
  <c r="T21" i="8"/>
  <c r="AD35" i="8"/>
  <c r="AD36" i="8"/>
  <c r="AD37" i="8"/>
  <c r="T41" i="8"/>
  <c r="T42" i="8" s="1"/>
  <c r="AD28" i="8"/>
  <c r="T30" i="8"/>
  <c r="AD30" i="8" s="1"/>
  <c r="N30" i="9"/>
  <c r="N31" i="9" s="1"/>
  <c r="M51" i="9"/>
  <c r="AM15" i="9" s="1"/>
  <c r="AK15" i="9"/>
  <c r="N55" i="9" l="1"/>
  <c r="N56" i="9" s="1"/>
  <c r="N33" i="9"/>
  <c r="AD42" i="8"/>
  <c r="U40" i="8"/>
  <c r="AL23" i="8"/>
  <c r="T34" i="8"/>
  <c r="AD21" i="8"/>
  <c r="AN23" i="8"/>
  <c r="AD43" i="7"/>
  <c r="U41" i="7"/>
  <c r="AL23" i="7"/>
  <c r="T35" i="7"/>
  <c r="AD21" i="7"/>
  <c r="AN23" i="7"/>
  <c r="T39" i="7" l="1"/>
  <c r="AD35" i="7"/>
  <c r="T44" i="7"/>
  <c r="U26" i="7"/>
  <c r="U27" i="7" s="1"/>
  <c r="T38" i="8"/>
  <c r="AD34" i="8"/>
  <c r="T43" i="8"/>
  <c r="U26" i="8"/>
  <c r="U27" i="8" s="1"/>
  <c r="N19" i="9"/>
  <c r="N34" i="9" l="1"/>
  <c r="N20" i="9"/>
  <c r="N35" i="9" s="1"/>
  <c r="N21" i="9"/>
  <c r="U28" i="8"/>
  <c r="U35" i="8"/>
  <c r="U20" i="8"/>
  <c r="U36" i="8"/>
  <c r="U37" i="8"/>
  <c r="T45" i="8"/>
  <c r="AD38" i="8"/>
  <c r="AK23" i="8"/>
  <c r="U28" i="7"/>
  <c r="U36" i="7"/>
  <c r="U20" i="7"/>
  <c r="U37" i="7"/>
  <c r="U38" i="7"/>
  <c r="T46" i="7"/>
  <c r="AD39" i="7"/>
  <c r="AK23" i="7"/>
  <c r="AD46" i="7" l="1"/>
  <c r="AM23" i="7"/>
  <c r="U33" i="7"/>
  <c r="U21" i="7"/>
  <c r="V32" i="7"/>
  <c r="U42" i="7"/>
  <c r="U43" i="7" s="1"/>
  <c r="U30" i="7"/>
  <c r="AD45" i="8"/>
  <c r="AM23" i="8"/>
  <c r="U32" i="8"/>
  <c r="U21" i="8"/>
  <c r="U41" i="8"/>
  <c r="U42" i="8" s="1"/>
  <c r="U30" i="8"/>
  <c r="N23" i="9"/>
  <c r="N24" i="9"/>
  <c r="N25" i="9"/>
  <c r="N36" i="9"/>
  <c r="N47" i="9" l="1"/>
  <c r="N48" i="9" s="1"/>
  <c r="N37" i="9"/>
  <c r="N39" i="9"/>
  <c r="N26" i="9"/>
  <c r="O17" i="9"/>
  <c r="AN16" i="9"/>
  <c r="V40" i="8"/>
  <c r="AL24" i="8"/>
  <c r="U34" i="8"/>
  <c r="AN24" i="8"/>
  <c r="V41" i="7"/>
  <c r="AL24" i="7"/>
  <c r="U35" i="7"/>
  <c r="AN24" i="7"/>
  <c r="U39" i="7" l="1"/>
  <c r="U44" i="7"/>
  <c r="V26" i="7"/>
  <c r="V27" i="7" s="1"/>
  <c r="U38" i="8"/>
  <c r="U43" i="8"/>
  <c r="V26" i="8"/>
  <c r="V27" i="8" s="1"/>
  <c r="O54" i="9"/>
  <c r="N44" i="9"/>
  <c r="N49" i="9"/>
  <c r="O46" i="9"/>
  <c r="AL16" i="9"/>
  <c r="AC46" i="9" l="1"/>
  <c r="O30" i="9"/>
  <c r="N51" i="9"/>
  <c r="AM16" i="9" s="1"/>
  <c r="AK16" i="9"/>
  <c r="V28" i="8"/>
  <c r="V37" i="8"/>
  <c r="V36" i="8"/>
  <c r="V35" i="8"/>
  <c r="V20" i="8"/>
  <c r="U45" i="8"/>
  <c r="AM24" i="8" s="1"/>
  <c r="AK24" i="8"/>
  <c r="V28" i="7"/>
  <c r="V38" i="7"/>
  <c r="V37" i="7"/>
  <c r="V36" i="7"/>
  <c r="V20" i="7"/>
  <c r="U46" i="7"/>
  <c r="AM24" i="7" s="1"/>
  <c r="AK24" i="7"/>
  <c r="V33" i="7" l="1"/>
  <c r="V21" i="7"/>
  <c r="W32" i="7"/>
  <c r="V42" i="7"/>
  <c r="V43" i="7" s="1"/>
  <c r="V30" i="7"/>
  <c r="V32" i="8"/>
  <c r="V21" i="8"/>
  <c r="V41" i="8"/>
  <c r="V42" i="8" s="1"/>
  <c r="V30" i="8"/>
  <c r="AC30" i="9"/>
  <c r="O31" i="9"/>
  <c r="O55" i="9" l="1"/>
  <c r="O56" i="9" s="1"/>
  <c r="O33" i="9"/>
  <c r="AC31" i="9"/>
  <c r="W40" i="8"/>
  <c r="AL25" i="8"/>
  <c r="V34" i="8"/>
  <c r="AN25" i="8"/>
  <c r="W41" i="7"/>
  <c r="AL25" i="7"/>
  <c r="V35" i="7"/>
  <c r="AN25" i="7"/>
  <c r="V39" i="7" l="1"/>
  <c r="V44" i="7"/>
  <c r="W26" i="7"/>
  <c r="W27" i="7" s="1"/>
  <c r="V38" i="8"/>
  <c r="V43" i="8"/>
  <c r="W26" i="8"/>
  <c r="W27" i="8" s="1"/>
  <c r="AC33" i="9"/>
  <c r="O19" i="9"/>
  <c r="O34" i="9" l="1"/>
  <c r="O20" i="9"/>
  <c r="O35" i="9" s="1"/>
  <c r="O21" i="9"/>
  <c r="W28" i="8"/>
  <c r="W35" i="8"/>
  <c r="W20" i="8"/>
  <c r="W36" i="8"/>
  <c r="W37" i="8"/>
  <c r="V45" i="8"/>
  <c r="AM25" i="8" s="1"/>
  <c r="AK25" i="8"/>
  <c r="W28" i="7"/>
  <c r="W36" i="7"/>
  <c r="W20" i="7"/>
  <c r="W37" i="7"/>
  <c r="W38" i="7"/>
  <c r="V46" i="7"/>
  <c r="AM25" i="7" s="1"/>
  <c r="AK25" i="7"/>
  <c r="W33" i="7" l="1"/>
  <c r="W21" i="7"/>
  <c r="X32" i="7"/>
  <c r="W42" i="7"/>
  <c r="W43" i="7" s="1"/>
  <c r="W30" i="7"/>
  <c r="W32" i="8"/>
  <c r="W21" i="8"/>
  <c r="W41" i="8"/>
  <c r="W42" i="8" s="1"/>
  <c r="W30" i="8"/>
  <c r="O23" i="9"/>
  <c r="O24" i="9"/>
  <c r="AC34" i="9"/>
  <c r="O25" i="9"/>
  <c r="O36" i="9"/>
  <c r="O47" i="9" l="1"/>
  <c r="O48" i="9" s="1"/>
  <c r="AC36" i="9"/>
  <c r="O37" i="9"/>
  <c r="AC37" i="9" s="1"/>
  <c r="O39" i="9"/>
  <c r="O26" i="9"/>
  <c r="P17" i="9"/>
  <c r="AN21" i="9"/>
  <c r="X40" i="8"/>
  <c r="AL26" i="8"/>
  <c r="W34" i="8"/>
  <c r="AN26" i="8"/>
  <c r="X41" i="7"/>
  <c r="AL26" i="7"/>
  <c r="W35" i="7"/>
  <c r="AN26" i="7"/>
  <c r="W39" i="7" l="1"/>
  <c r="W44" i="7"/>
  <c r="X26" i="7"/>
  <c r="X27" i="7" s="1"/>
  <c r="W38" i="8"/>
  <c r="W43" i="8"/>
  <c r="X26" i="8"/>
  <c r="X27" i="8" s="1"/>
  <c r="P54" i="9"/>
  <c r="O44" i="9"/>
  <c r="AC39" i="9"/>
  <c r="O49" i="9"/>
  <c r="AC48" i="9"/>
  <c r="P46" i="9"/>
  <c r="AL21" i="9"/>
  <c r="P30" i="9" l="1"/>
  <c r="P31" i="9" s="1"/>
  <c r="O51" i="9"/>
  <c r="AC44" i="9"/>
  <c r="AK21" i="9"/>
  <c r="X28" i="8"/>
  <c r="X37" i="8"/>
  <c r="X36" i="8"/>
  <c r="X35" i="8"/>
  <c r="X20" i="8"/>
  <c r="W45" i="8"/>
  <c r="AM26" i="8" s="1"/>
  <c r="AK26" i="8"/>
  <c r="X28" i="7"/>
  <c r="X38" i="7"/>
  <c r="X37" i="7"/>
  <c r="X36" i="7"/>
  <c r="X20" i="7"/>
  <c r="W46" i="7"/>
  <c r="AM26" i="7" s="1"/>
  <c r="AK26" i="7"/>
  <c r="X33" i="7" l="1"/>
  <c r="X21" i="7"/>
  <c r="Y32" i="7"/>
  <c r="AE32" i="7" s="1"/>
  <c r="X42" i="7"/>
  <c r="X43" i="7" s="1"/>
  <c r="X30" i="7"/>
  <c r="X32" i="8"/>
  <c r="X21" i="8"/>
  <c r="X41" i="8"/>
  <c r="X42" i="8" s="1"/>
  <c r="X30" i="8"/>
  <c r="AC51" i="9"/>
  <c r="AM21" i="9"/>
  <c r="P55" i="9"/>
  <c r="P56" i="9" s="1"/>
  <c r="P33" i="9"/>
  <c r="P19" i="9" l="1"/>
  <c r="Y40" i="8"/>
  <c r="AL27" i="8"/>
  <c r="X34" i="8"/>
  <c r="AN27" i="8"/>
  <c r="Y41" i="7"/>
  <c r="AL27" i="7"/>
  <c r="X35" i="7"/>
  <c r="AN27" i="7"/>
  <c r="X39" i="7" l="1"/>
  <c r="X44" i="7"/>
  <c r="AE41" i="7"/>
  <c r="Y26" i="7"/>
  <c r="X38" i="8"/>
  <c r="X43" i="8"/>
  <c r="AE40" i="8"/>
  <c r="Y26" i="8"/>
  <c r="P34" i="9"/>
  <c r="P20" i="9"/>
  <c r="P35" i="9" s="1"/>
  <c r="P21" i="9"/>
  <c r="P23" i="9" l="1"/>
  <c r="P24" i="9"/>
  <c r="P25" i="9"/>
  <c r="P36" i="9"/>
  <c r="AE26" i="8"/>
  <c r="Y27" i="8"/>
  <c r="X45" i="8"/>
  <c r="AM27" i="8" s="1"/>
  <c r="AK27" i="8"/>
  <c r="AE26" i="7"/>
  <c r="Y27" i="7"/>
  <c r="X46" i="7"/>
  <c r="AM27" i="7" s="1"/>
  <c r="AK27" i="7"/>
  <c r="Y28" i="7" l="1"/>
  <c r="AE27" i="7"/>
  <c r="Y36" i="7"/>
  <c r="Y20" i="7"/>
  <c r="Y37" i="7"/>
  <c r="Y38" i="7"/>
  <c r="Y28" i="8"/>
  <c r="AE27" i="8"/>
  <c r="Y35" i="8"/>
  <c r="Y20" i="8"/>
  <c r="Y36" i="8"/>
  <c r="Y37" i="8"/>
  <c r="P47" i="9"/>
  <c r="P48" i="9" s="1"/>
  <c r="P37" i="9"/>
  <c r="P39" i="9"/>
  <c r="P26" i="9"/>
  <c r="Q17" i="9"/>
  <c r="AN22" i="9"/>
  <c r="Q54" i="9" l="1"/>
  <c r="P44" i="9"/>
  <c r="P49" i="9"/>
  <c r="Q46" i="9"/>
  <c r="AL22" i="9"/>
  <c r="AE37" i="8"/>
  <c r="AE36" i="8"/>
  <c r="Y32" i="8"/>
  <c r="AE32" i="8" s="1"/>
  <c r="Y21" i="8"/>
  <c r="AE35" i="8"/>
  <c r="Y41" i="8"/>
  <c r="Y42" i="8" s="1"/>
  <c r="AE28" i="8"/>
  <c r="Y30" i="8"/>
  <c r="AE30" i="8" s="1"/>
  <c r="AE38" i="7"/>
  <c r="AE37" i="7"/>
  <c r="Y33" i="7"/>
  <c r="AE33" i="7" s="1"/>
  <c r="Y21" i="7"/>
  <c r="AE36" i="7"/>
  <c r="Y42" i="7"/>
  <c r="Y43" i="7" s="1"/>
  <c r="AE28" i="7"/>
  <c r="Y30" i="7"/>
  <c r="AE30" i="7" s="1"/>
  <c r="AE43" i="7" l="1"/>
  <c r="AL34" i="7"/>
  <c r="E79" i="7"/>
  <c r="Y35" i="7"/>
  <c r="AE21" i="7"/>
  <c r="AN34" i="7"/>
  <c r="AE42" i="8"/>
  <c r="AL33" i="8"/>
  <c r="E78" i="8"/>
  <c r="Y34" i="8"/>
  <c r="AE21" i="8"/>
  <c r="AN33" i="8"/>
  <c r="Q30" i="9"/>
  <c r="Q31" i="9" s="1"/>
  <c r="P51" i="9"/>
  <c r="AM22" i="9" s="1"/>
  <c r="AK22" i="9"/>
  <c r="Q55" i="9" l="1"/>
  <c r="Q56" i="9" s="1"/>
  <c r="Q33" i="9"/>
  <c r="Y38" i="8"/>
  <c r="AE34" i="8"/>
  <c r="AH32" i="8"/>
  <c r="Y43" i="8"/>
  <c r="Y39" i="7"/>
  <c r="AE35" i="7"/>
  <c r="AI33" i="7"/>
  <c r="Y44" i="7"/>
  <c r="Y46" i="7" l="1"/>
  <c r="AI44" i="7"/>
  <c r="AI42" i="7"/>
  <c r="AE39" i="7"/>
  <c r="D79" i="7" s="1"/>
  <c r="AK34" i="7"/>
  <c r="AI43" i="7"/>
  <c r="AI41" i="7"/>
  <c r="AI40" i="7"/>
  <c r="Y45" i="8"/>
  <c r="AH43" i="8"/>
  <c r="AH41" i="8"/>
  <c r="AE38" i="8"/>
  <c r="AK33" i="8"/>
  <c r="AH42" i="8"/>
  <c r="AH40" i="8"/>
  <c r="AH39" i="8"/>
  <c r="Q19" i="9"/>
  <c r="Q34" i="9" l="1"/>
  <c r="Q20" i="9"/>
  <c r="Q35" i="9" s="1"/>
  <c r="Q21" i="9"/>
  <c r="C78" i="8"/>
  <c r="AE45" i="8"/>
  <c r="D78" i="8" s="1"/>
  <c r="AM33" i="8"/>
  <c r="C79" i="7"/>
  <c r="AM34" i="7"/>
  <c r="Q23" i="9" l="1"/>
  <c r="Q24" i="9"/>
  <c r="Q25" i="9"/>
  <c r="Q36" i="9"/>
  <c r="Q47" i="9" l="1"/>
  <c r="Q48" i="9" s="1"/>
  <c r="Q37" i="9"/>
  <c r="Q39" i="9"/>
  <c r="Q26" i="9"/>
  <c r="R17" i="9"/>
  <c r="AN24" i="9"/>
  <c r="R54" i="9" l="1"/>
  <c r="Q44" i="9"/>
  <c r="Q49" i="9"/>
  <c r="R46" i="9"/>
  <c r="AL24" i="9"/>
  <c r="R30" i="9" l="1"/>
  <c r="R31" i="9" s="1"/>
  <c r="Q51" i="9"/>
  <c r="AM24" i="9" s="1"/>
  <c r="AK24" i="9"/>
  <c r="R55" i="9" l="1"/>
  <c r="R56" i="9" s="1"/>
  <c r="R33" i="9"/>
  <c r="R19" i="9" l="1"/>
  <c r="R34" i="9" l="1"/>
  <c r="R20" i="9"/>
  <c r="R35" i="9" s="1"/>
  <c r="R21" i="9"/>
  <c r="R23" i="9" l="1"/>
  <c r="R24" i="9"/>
  <c r="R25" i="9"/>
  <c r="R36" i="9"/>
  <c r="R47" i="9" l="1"/>
  <c r="R48" i="9" s="1"/>
  <c r="R37" i="9"/>
  <c r="R39" i="9"/>
  <c r="R26" i="9"/>
  <c r="S17" i="9"/>
  <c r="AN25" i="9"/>
  <c r="S54" i="9" l="1"/>
  <c r="R44" i="9"/>
  <c r="R49" i="9"/>
  <c r="S46" i="9"/>
  <c r="AL25" i="9"/>
  <c r="S30" i="9" l="1"/>
  <c r="S31" i="9" s="1"/>
  <c r="R51" i="9"/>
  <c r="AM25" i="9" s="1"/>
  <c r="AK25" i="9"/>
  <c r="S55" i="9" l="1"/>
  <c r="S56" i="9" s="1"/>
  <c r="S33" i="9"/>
  <c r="S19" i="9" l="1"/>
  <c r="S34" i="9" l="1"/>
  <c r="S20" i="9"/>
  <c r="S35" i="9" s="1"/>
  <c r="S21" i="9"/>
  <c r="S23" i="9" l="1"/>
  <c r="S24" i="9"/>
  <c r="S25" i="9"/>
  <c r="S36" i="9"/>
  <c r="S47" i="9" l="1"/>
  <c r="S48" i="9" s="1"/>
  <c r="S37" i="9"/>
  <c r="S39" i="9"/>
  <c r="S26" i="9"/>
  <c r="T17" i="9"/>
  <c r="AN27" i="9"/>
  <c r="T54" i="9" l="1"/>
  <c r="S44" i="9"/>
  <c r="S49" i="9"/>
  <c r="T46" i="9"/>
  <c r="AL27" i="9"/>
  <c r="AD46" i="9" l="1"/>
  <c r="T30" i="9"/>
  <c r="S51" i="9"/>
  <c r="AM27" i="9" s="1"/>
  <c r="AK27" i="9"/>
  <c r="AD30" i="9" l="1"/>
  <c r="T31" i="9"/>
  <c r="T55" i="9" l="1"/>
  <c r="T56" i="9" s="1"/>
  <c r="T33" i="9"/>
  <c r="AD31" i="9"/>
  <c r="AD33" i="9" l="1"/>
  <c r="T19" i="9"/>
  <c r="T34" i="9" l="1"/>
  <c r="T20" i="9"/>
  <c r="T35" i="9" s="1"/>
  <c r="T21" i="9"/>
  <c r="T23" i="9" l="1"/>
  <c r="T24" i="9"/>
  <c r="AD34" i="9"/>
  <c r="T25" i="9"/>
  <c r="T36" i="9"/>
  <c r="T47" i="9" l="1"/>
  <c r="T48" i="9" s="1"/>
  <c r="AD36" i="9"/>
  <c r="T37" i="9"/>
  <c r="AD37" i="9" s="1"/>
  <c r="T39" i="9"/>
  <c r="T26" i="9"/>
  <c r="U17" i="9"/>
  <c r="AN28" i="9"/>
  <c r="U54" i="9" l="1"/>
  <c r="T44" i="9"/>
  <c r="AD39" i="9"/>
  <c r="T49" i="9"/>
  <c r="AD48" i="9"/>
  <c r="U46" i="9"/>
  <c r="AL28" i="9"/>
  <c r="U30" i="9" l="1"/>
  <c r="U31" i="9" s="1"/>
  <c r="T51" i="9"/>
  <c r="AD44" i="9"/>
  <c r="AK28" i="9"/>
  <c r="AD51" i="9" l="1"/>
  <c r="AM28" i="9"/>
  <c r="U55" i="9"/>
  <c r="U56" i="9" s="1"/>
  <c r="U33" i="9"/>
  <c r="U19" i="9" l="1"/>
  <c r="U34" i="9" l="1"/>
  <c r="U20" i="9"/>
  <c r="U35" i="9" s="1"/>
  <c r="U21" i="9"/>
  <c r="U23" i="9" l="1"/>
  <c r="U24" i="9"/>
  <c r="U25" i="9"/>
  <c r="U36" i="9"/>
  <c r="U47" i="9" l="1"/>
  <c r="U48" i="9" s="1"/>
  <c r="U37" i="9"/>
  <c r="U39" i="9"/>
  <c r="U26" i="9"/>
  <c r="V17" i="9"/>
  <c r="AN29" i="9"/>
  <c r="V54" i="9" l="1"/>
  <c r="U44" i="9"/>
  <c r="U49" i="9"/>
  <c r="V46" i="9"/>
  <c r="AL29" i="9"/>
  <c r="V30" i="9" l="1"/>
  <c r="V31" i="9" s="1"/>
  <c r="U51" i="9"/>
  <c r="AM29" i="9" s="1"/>
  <c r="AK29" i="9"/>
  <c r="V55" i="9" l="1"/>
  <c r="V56" i="9" s="1"/>
  <c r="V33" i="9"/>
  <c r="V19" i="9" l="1"/>
  <c r="V34" i="9" l="1"/>
  <c r="V20" i="9"/>
  <c r="V35" i="9" s="1"/>
  <c r="V21" i="9"/>
  <c r="V23" i="9" l="1"/>
  <c r="V24" i="9"/>
  <c r="V25" i="9"/>
  <c r="V36" i="9"/>
  <c r="V47" i="9" l="1"/>
  <c r="V48" i="9" s="1"/>
  <c r="V37" i="9"/>
  <c r="V39" i="9"/>
  <c r="V26" i="9"/>
  <c r="W17" i="9"/>
  <c r="AN30" i="9"/>
  <c r="W54" i="9" l="1"/>
  <c r="V44" i="9"/>
  <c r="V49" i="9"/>
  <c r="W46" i="9"/>
  <c r="AL30" i="9"/>
  <c r="W30" i="9" l="1"/>
  <c r="W31" i="9" s="1"/>
  <c r="V51" i="9"/>
  <c r="AM30" i="9" s="1"/>
  <c r="AK30" i="9"/>
  <c r="W55" i="9" l="1"/>
  <c r="W56" i="9" s="1"/>
  <c r="W33" i="9"/>
  <c r="W19" i="9" l="1"/>
  <c r="W34" i="9" l="1"/>
  <c r="W20" i="9"/>
  <c r="W35" i="9" s="1"/>
  <c r="W21" i="9"/>
  <c r="W23" i="9" l="1"/>
  <c r="W24" i="9"/>
  <c r="W25" i="9"/>
  <c r="W36" i="9"/>
  <c r="W47" i="9" l="1"/>
  <c r="W48" i="9" s="1"/>
  <c r="W37" i="9"/>
  <c r="W39" i="9"/>
  <c r="W26" i="9"/>
  <c r="X17" i="9"/>
  <c r="AN31" i="9"/>
  <c r="X54" i="9" l="1"/>
  <c r="W44" i="9"/>
  <c r="W49" i="9"/>
  <c r="X46" i="9"/>
  <c r="AL31" i="9"/>
  <c r="X30" i="9" l="1"/>
  <c r="X31" i="9" s="1"/>
  <c r="W51" i="9"/>
  <c r="AM31" i="9" s="1"/>
  <c r="AK31" i="9"/>
  <c r="X55" i="9" l="1"/>
  <c r="X56" i="9" s="1"/>
  <c r="X33" i="9"/>
  <c r="X19" i="9" l="1"/>
  <c r="X34" i="9" l="1"/>
  <c r="X20" i="9"/>
  <c r="X35" i="9" s="1"/>
  <c r="X21" i="9"/>
  <c r="X23" i="9" l="1"/>
  <c r="X24" i="9"/>
  <c r="X25" i="9"/>
  <c r="X36" i="9"/>
  <c r="X47" i="9" l="1"/>
  <c r="X48" i="9" s="1"/>
  <c r="X37" i="9"/>
  <c r="X39" i="9"/>
  <c r="X26" i="9"/>
  <c r="Y17" i="9"/>
  <c r="AN38" i="9"/>
  <c r="Y54" i="9" l="1"/>
  <c r="X44" i="9"/>
  <c r="X49" i="9"/>
  <c r="Y46" i="9"/>
  <c r="AL38" i="9"/>
  <c r="AE46" i="9" l="1"/>
  <c r="Y30" i="9"/>
  <c r="X51" i="9"/>
  <c r="AM38" i="9" s="1"/>
  <c r="AK38" i="9"/>
  <c r="AE30" i="9" l="1"/>
  <c r="Y31" i="9"/>
  <c r="Y55" i="9" l="1"/>
  <c r="Y56" i="9" s="1"/>
  <c r="Y33" i="9"/>
  <c r="AE31" i="9"/>
  <c r="AE33" i="9" l="1"/>
  <c r="Y19" i="9"/>
  <c r="Y34" i="9" l="1"/>
  <c r="Y20" i="9"/>
  <c r="Y35" i="9" s="1"/>
  <c r="Y21" i="9"/>
  <c r="Y23" i="9" l="1"/>
  <c r="Y24" i="9"/>
  <c r="AE34" i="9"/>
  <c r="Y25" i="9"/>
  <c r="Y36" i="9"/>
  <c r="Y47" i="9" l="1"/>
  <c r="Y48" i="9" s="1"/>
  <c r="AE36" i="9"/>
  <c r="Y37" i="9"/>
  <c r="AE37" i="9" s="1"/>
  <c r="E89" i="9"/>
  <c r="Y39" i="9"/>
  <c r="Y26" i="9"/>
  <c r="AN39" i="9"/>
  <c r="Y44" i="9" l="1"/>
  <c r="AE39" i="9"/>
  <c r="Y49" i="9"/>
  <c r="AE48" i="9"/>
  <c r="AL39" i="9"/>
  <c r="Y51" i="9" l="1"/>
  <c r="AH49" i="9"/>
  <c r="AH48" i="9"/>
  <c r="AH47" i="9"/>
  <c r="AE44" i="9"/>
  <c r="D89" i="9" s="1"/>
  <c r="AH17" i="9"/>
  <c r="AK39" i="9"/>
  <c r="AH46" i="9"/>
  <c r="C89" i="9" l="1"/>
  <c r="AM39" i="9"/>
  <c r="X37" i="5"/>
  <c r="X32" i="5"/>
  <c r="W37" i="5"/>
  <c r="W32" i="5"/>
  <c r="AM26" i="6"/>
  <c r="X36" i="6"/>
  <c r="X28" i="6"/>
  <c r="AK26" i="6"/>
  <c r="AN26" i="6"/>
  <c r="X19" i="6"/>
  <c r="AM25" i="6"/>
  <c r="W36" i="6"/>
  <c r="W28" i="6"/>
  <c r="AK25" i="6"/>
  <c r="AN25" i="6"/>
  <c r="W19" i="6"/>
  <c r="AK26" i="5"/>
  <c r="X48" i="5"/>
  <c r="X143" i="5"/>
  <c r="X144" i="5"/>
  <c r="AP26" i="5"/>
  <c r="X21" i="5"/>
  <c r="AK25" i="5"/>
  <c r="W48" i="5"/>
  <c r="W143" i="5"/>
  <c r="W144" i="5"/>
  <c r="AP25" i="5"/>
  <c r="W21" i="5"/>
  <c r="AM24" i="6"/>
  <c r="V36" i="6"/>
  <c r="V28" i="6"/>
  <c r="AK24" i="6"/>
  <c r="AN24" i="6"/>
  <c r="V19" i="6"/>
  <c r="AM23" i="6"/>
  <c r="U36" i="6"/>
  <c r="U28" i="6"/>
  <c r="AK23" i="6"/>
  <c r="AN23" i="6"/>
  <c r="U19" i="6"/>
  <c r="AK24" i="5"/>
  <c r="V48" i="5"/>
  <c r="V143" i="5"/>
  <c r="V144" i="5"/>
  <c r="AP24" i="5"/>
  <c r="V21" i="5"/>
  <c r="AK23" i="5"/>
  <c r="U48" i="5"/>
  <c r="U143" i="5"/>
  <c r="U144" i="5"/>
  <c r="AP23" i="5"/>
  <c r="U21" i="5"/>
  <c r="V37" i="5"/>
  <c r="V32" i="5"/>
  <c r="U37" i="5"/>
  <c r="U32" i="5"/>
  <c r="T37" i="5"/>
  <c r="T32" i="5"/>
  <c r="S37" i="5"/>
  <c r="S32" i="5"/>
  <c r="AM21" i="6"/>
  <c r="S36" i="6"/>
  <c r="S28" i="6"/>
  <c r="AK21" i="6"/>
  <c r="AN21" i="6"/>
  <c r="S19" i="6"/>
  <c r="AM20" i="6"/>
  <c r="R36" i="6"/>
  <c r="R28" i="6"/>
  <c r="AK20" i="6"/>
  <c r="AN20" i="6"/>
  <c r="R19" i="6"/>
  <c r="AM19" i="6"/>
  <c r="Q36" i="6"/>
  <c r="Q28" i="6"/>
  <c r="AK19" i="6"/>
  <c r="AN19" i="6"/>
  <c r="Q19" i="6"/>
  <c r="AM18" i="6"/>
  <c r="P36" i="6"/>
  <c r="P28" i="6"/>
  <c r="AK18" i="6"/>
  <c r="AN18" i="6"/>
  <c r="P19" i="6"/>
  <c r="AK22" i="5"/>
  <c r="T48" i="5"/>
  <c r="AD143" i="5"/>
  <c r="T143" i="5"/>
  <c r="T144" i="5"/>
  <c r="AK21" i="5"/>
  <c r="S48" i="5"/>
  <c r="S143" i="5"/>
  <c r="S144" i="5"/>
  <c r="AP21" i="5"/>
  <c r="S21" i="5"/>
  <c r="AK20" i="5"/>
  <c r="R48" i="5"/>
  <c r="R143" i="5"/>
  <c r="R144" i="5"/>
  <c r="AP20" i="5"/>
  <c r="R21" i="5"/>
  <c r="AK19" i="5"/>
  <c r="Q48" i="5"/>
  <c r="Q143" i="5"/>
  <c r="Q144" i="5"/>
  <c r="AP19" i="5"/>
  <c r="Q21" i="5"/>
  <c r="AK18" i="5"/>
  <c r="P48" i="5"/>
  <c r="P143" i="5"/>
  <c r="P144" i="5"/>
  <c r="AP18" i="5"/>
  <c r="P21" i="5"/>
  <c r="AK17" i="5"/>
  <c r="O48" i="5"/>
  <c r="AC143" i="5"/>
  <c r="O143" i="5"/>
  <c r="O144" i="5"/>
  <c r="R37" i="5"/>
  <c r="R32" i="5"/>
  <c r="Q37" i="5"/>
  <c r="Q32" i="5"/>
  <c r="P37" i="5"/>
  <c r="P32" i="5"/>
  <c r="O37" i="5"/>
  <c r="O32" i="5"/>
  <c r="N37" i="5"/>
  <c r="N32" i="5"/>
  <c r="M37" i="5"/>
  <c r="M32" i="5"/>
  <c r="AM16" i="6"/>
  <c r="N36" i="6"/>
  <c r="N28" i="6"/>
  <c r="AK16" i="6"/>
  <c r="AN16" i="6"/>
  <c r="N19" i="6"/>
  <c r="AM15" i="6"/>
  <c r="M36" i="6"/>
  <c r="M28" i="6"/>
  <c r="AK15" i="6"/>
  <c r="AN15" i="6"/>
  <c r="M19" i="6"/>
  <c r="AM14" i="6"/>
  <c r="L36" i="6"/>
  <c r="L28" i="6"/>
  <c r="AK14" i="6"/>
  <c r="AN14" i="6"/>
  <c r="L19" i="6"/>
  <c r="AM13" i="6"/>
  <c r="K36" i="6"/>
  <c r="K28" i="6"/>
  <c r="AK13" i="6"/>
  <c r="AN13" i="6"/>
  <c r="K19" i="6"/>
  <c r="AM11" i="6"/>
  <c r="I36" i="6"/>
  <c r="I28" i="6"/>
  <c r="AK11" i="6"/>
  <c r="AN11" i="6"/>
  <c r="I19" i="6"/>
  <c r="AM10" i="6"/>
  <c r="H36" i="6"/>
  <c r="H28" i="6"/>
  <c r="AK10" i="6"/>
  <c r="AN10" i="6"/>
  <c r="H19" i="6"/>
  <c r="AM9" i="6"/>
  <c r="G36" i="6"/>
  <c r="G28" i="6"/>
  <c r="AK9" i="6"/>
  <c r="AN9" i="6"/>
  <c r="G19" i="6"/>
  <c r="AM8" i="6"/>
  <c r="F36" i="6"/>
  <c r="F28" i="6"/>
  <c r="AK8" i="6"/>
  <c r="AN8" i="6"/>
  <c r="F19" i="6"/>
  <c r="AK16" i="5"/>
  <c r="N48" i="5"/>
  <c r="N143" i="5"/>
  <c r="N144" i="5"/>
  <c r="AP16" i="5"/>
  <c r="N21" i="5"/>
  <c r="AK15" i="5"/>
  <c r="M48" i="5"/>
  <c r="M143" i="5"/>
  <c r="M144" i="5"/>
  <c r="AP15" i="5"/>
  <c r="M21" i="5"/>
  <c r="AK14" i="5"/>
  <c r="L48" i="5"/>
  <c r="L143" i="5"/>
  <c r="L144" i="5"/>
  <c r="AP14" i="5"/>
  <c r="L21" i="5"/>
  <c r="AK13" i="5"/>
  <c r="K48" i="5"/>
  <c r="K143" i="5"/>
  <c r="K144" i="5"/>
  <c r="AP13" i="5"/>
  <c r="K21" i="5"/>
  <c r="AK12" i="5"/>
  <c r="J48" i="5"/>
  <c r="AB143" i="5"/>
  <c r="J143" i="5"/>
  <c r="J144" i="5"/>
  <c r="AK11" i="5"/>
  <c r="I48" i="5"/>
  <c r="I143" i="5"/>
  <c r="I144" i="5"/>
  <c r="AP11" i="5"/>
  <c r="I21" i="5"/>
  <c r="AK10" i="5"/>
  <c r="H48" i="5"/>
  <c r="H143" i="5"/>
  <c r="H144" i="5"/>
  <c r="AP10" i="5"/>
  <c r="H21" i="5"/>
  <c r="AK9" i="5"/>
  <c r="G48" i="5"/>
  <c r="G143" i="5"/>
  <c r="G144" i="5"/>
  <c r="AP9" i="5"/>
  <c r="G21" i="5"/>
  <c r="AK8" i="5"/>
  <c r="F48" i="5"/>
  <c r="F143" i="5"/>
  <c r="F144" i="5"/>
  <c r="AP8" i="5"/>
  <c r="F21" i="5"/>
  <c r="AK7" i="5"/>
  <c r="E48" i="5"/>
  <c r="AA143" i="5"/>
  <c r="E143" i="5"/>
  <c r="E144" i="5"/>
  <c r="AK6" i="5"/>
  <c r="D48" i="5"/>
  <c r="D143" i="5"/>
  <c r="AP6" i="5"/>
  <c r="D21" i="5"/>
  <c r="L37" i="5"/>
  <c r="L32" i="5"/>
  <c r="K37" i="5"/>
  <c r="K32" i="5"/>
  <c r="J37" i="5"/>
  <c r="J32" i="5"/>
  <c r="I37" i="5"/>
  <c r="I32" i="5"/>
  <c r="H37" i="5"/>
  <c r="H32" i="5"/>
  <c r="G37" i="5"/>
  <c r="G32" i="5"/>
  <c r="F37" i="5"/>
  <c r="F32" i="5"/>
  <c r="E37" i="5"/>
  <c r="E32" i="5"/>
  <c r="D37" i="5"/>
  <c r="D32" i="5"/>
  <c r="AO6" i="5"/>
  <c r="AM6" i="5"/>
  <c r="D24" i="5"/>
  <c r="D42" i="5"/>
  <c r="AO7" i="5"/>
  <c r="AM7" i="5"/>
  <c r="E24" i="5"/>
  <c r="E42" i="5"/>
  <c r="AO8" i="5"/>
  <c r="AM8" i="5"/>
  <c r="F24" i="5"/>
  <c r="F42" i="5"/>
  <c r="AO9" i="5"/>
  <c r="AM9" i="5"/>
  <c r="G24" i="5"/>
  <c r="G42" i="5"/>
  <c r="AO10" i="5"/>
  <c r="AM10" i="5"/>
  <c r="H24" i="5"/>
  <c r="H42" i="5"/>
  <c r="AO11" i="5"/>
  <c r="AM11" i="5"/>
  <c r="I24" i="5"/>
  <c r="I42" i="5"/>
  <c r="AO12" i="5"/>
  <c r="AM12" i="5"/>
  <c r="J24" i="5"/>
  <c r="J42" i="5"/>
  <c r="AO13" i="5"/>
  <c r="AM13" i="5"/>
  <c r="K24" i="5"/>
  <c r="K42" i="5"/>
  <c r="AO14" i="5"/>
  <c r="AM14" i="5"/>
  <c r="L24" i="5"/>
  <c r="L42" i="5"/>
  <c r="AO15" i="5"/>
  <c r="AM15" i="5"/>
  <c r="M24" i="5"/>
  <c r="M42" i="5"/>
  <c r="AO16" i="5"/>
  <c r="AM16" i="5"/>
  <c r="N24" i="5"/>
  <c r="N42" i="5"/>
  <c r="AO17" i="5"/>
  <c r="AM17" i="5"/>
  <c r="O24" i="5"/>
  <c r="O42" i="5"/>
  <c r="AO18" i="5"/>
  <c r="AM18" i="5"/>
  <c r="P24" i="5"/>
  <c r="P42" i="5"/>
  <c r="AO19" i="5"/>
  <c r="AM19" i="5"/>
  <c r="Q24" i="5"/>
  <c r="Q42" i="5"/>
  <c r="AA20" i="5"/>
  <c r="E20" i="5"/>
  <c r="E36" i="5"/>
  <c r="E111" i="5"/>
  <c r="AA111" i="5"/>
  <c r="AB20" i="5"/>
  <c r="J20" i="5"/>
  <c r="J36" i="5"/>
  <c r="J111" i="5"/>
  <c r="AB111" i="5"/>
  <c r="AC20" i="5"/>
  <c r="O20" i="5"/>
  <c r="O36" i="5"/>
  <c r="O111" i="5"/>
  <c r="AC111" i="5"/>
  <c r="AD20" i="5"/>
  <c r="T20" i="5"/>
  <c r="T36" i="5"/>
  <c r="T111" i="5"/>
  <c r="AD111" i="5"/>
  <c r="AO20" i="5"/>
  <c r="AM20" i="5"/>
  <c r="R24" i="5"/>
  <c r="R42" i="5"/>
  <c r="AP7" i="5"/>
  <c r="E21" i="5"/>
  <c r="AA21" i="5"/>
  <c r="AP12" i="5"/>
  <c r="J21" i="5"/>
  <c r="AB21" i="5"/>
  <c r="AP17" i="5"/>
  <c r="O21" i="5"/>
  <c r="AC21" i="5"/>
  <c r="AP22" i="5"/>
  <c r="T21" i="5"/>
  <c r="AD21" i="5"/>
  <c r="AO21" i="5"/>
  <c r="AM21" i="5"/>
  <c r="S24" i="5"/>
  <c r="S42" i="5"/>
  <c r="AO22" i="5"/>
  <c r="AM22" i="5"/>
  <c r="T24" i="5"/>
  <c r="T42" i="5"/>
  <c r="AO23" i="5"/>
  <c r="AM23" i="5"/>
  <c r="U24" i="5"/>
  <c r="U42" i="5"/>
  <c r="AO24" i="5"/>
  <c r="AM24" i="5"/>
  <c r="V24" i="5"/>
  <c r="V42" i="5"/>
  <c r="AO25" i="5"/>
  <c r="AM25" i="5"/>
  <c r="W24" i="5"/>
  <c r="W42" i="5"/>
  <c r="AO26" i="5"/>
  <c r="AM26" i="5"/>
  <c r="X24" i="5"/>
  <c r="X42" i="5"/>
  <c r="AE27" i="5"/>
  <c r="Y27" i="5"/>
  <c r="AO27" i="5"/>
  <c r="AM27" i="5"/>
  <c r="D128" i="5"/>
  <c r="D33" i="5"/>
  <c r="F128" i="5"/>
  <c r="F104" i="5"/>
  <c r="F33" i="5"/>
  <c r="G128" i="5"/>
  <c r="G104" i="5"/>
  <c r="G33" i="5"/>
  <c r="H128" i="5"/>
  <c r="H104" i="5"/>
  <c r="H33" i="5"/>
  <c r="I128" i="5"/>
  <c r="I104" i="5"/>
  <c r="I33" i="5"/>
  <c r="K128" i="5"/>
  <c r="K104" i="5"/>
  <c r="K33" i="5"/>
  <c r="L128" i="5"/>
  <c r="L104" i="5"/>
  <c r="L33" i="5"/>
  <c r="M128" i="5"/>
  <c r="M104" i="5"/>
  <c r="M33" i="5"/>
  <c r="N128" i="5"/>
  <c r="N104" i="5"/>
  <c r="N33" i="5"/>
  <c r="P128" i="5"/>
  <c r="P104" i="5"/>
  <c r="P33" i="5"/>
  <c r="Q128" i="5"/>
  <c r="Q104" i="5"/>
  <c r="Q33" i="5"/>
  <c r="R128" i="5"/>
  <c r="R104" i="5"/>
  <c r="R33" i="5"/>
  <c r="S128" i="5"/>
  <c r="S104" i="5"/>
  <c r="S33" i="5"/>
  <c r="U128" i="5"/>
  <c r="U104" i="5"/>
  <c r="U33" i="5"/>
  <c r="V128" i="5"/>
  <c r="V104" i="5"/>
  <c r="V33" i="5"/>
  <c r="W128" i="5"/>
  <c r="W104" i="5"/>
  <c r="W33" i="5"/>
  <c r="X128" i="5"/>
  <c r="X104" i="5"/>
  <c r="X33" i="5"/>
  <c r="AE33" i="5"/>
  <c r="Y33" i="5"/>
  <c r="Y104" i="5"/>
  <c r="AE104" i="5"/>
  <c r="D130" i="5"/>
  <c r="D134" i="5"/>
  <c r="D107" i="5"/>
  <c r="D34" i="5"/>
  <c r="F34" i="5"/>
  <c r="F107" i="5"/>
  <c r="F130" i="5"/>
  <c r="F134" i="5"/>
  <c r="F135" i="5"/>
  <c r="G34" i="5"/>
  <c r="G107" i="5"/>
  <c r="G130" i="5"/>
  <c r="G134" i="5"/>
  <c r="G135" i="5"/>
  <c r="H34" i="5"/>
  <c r="H107" i="5"/>
  <c r="H130" i="5"/>
  <c r="H134" i="5"/>
  <c r="H135" i="5"/>
  <c r="I34" i="5"/>
  <c r="I107" i="5"/>
  <c r="I130" i="5"/>
  <c r="I134" i="5"/>
  <c r="I135" i="5"/>
  <c r="K34" i="5"/>
  <c r="K107" i="5"/>
  <c r="K130" i="5"/>
  <c r="K134" i="5"/>
  <c r="K135" i="5"/>
  <c r="L34" i="5"/>
  <c r="L107" i="5"/>
  <c r="L130" i="5"/>
  <c r="L134" i="5"/>
  <c r="L135" i="5"/>
  <c r="M34" i="5"/>
  <c r="M107" i="5"/>
  <c r="M130" i="5"/>
  <c r="M134" i="5"/>
  <c r="M135" i="5"/>
  <c r="N34" i="5"/>
  <c r="N107" i="5"/>
  <c r="N130" i="5"/>
  <c r="N134" i="5"/>
  <c r="N135" i="5"/>
  <c r="P34" i="5"/>
  <c r="P107" i="5"/>
  <c r="P130" i="5"/>
  <c r="P134" i="5"/>
  <c r="P135" i="5"/>
  <c r="Q34" i="5"/>
  <c r="Q107" i="5"/>
  <c r="Q130" i="5"/>
  <c r="Q134" i="5"/>
  <c r="Q135" i="5"/>
  <c r="R34" i="5"/>
  <c r="R107" i="5"/>
  <c r="R130" i="5"/>
  <c r="R134" i="5"/>
  <c r="R135" i="5"/>
  <c r="S34" i="5"/>
  <c r="S107" i="5"/>
  <c r="S130" i="5"/>
  <c r="S134" i="5"/>
  <c r="S135" i="5"/>
  <c r="U34" i="5"/>
  <c r="U107" i="5"/>
  <c r="U130" i="5"/>
  <c r="U134" i="5"/>
  <c r="U135" i="5"/>
  <c r="V34" i="5"/>
  <c r="V107" i="5"/>
  <c r="V130" i="5"/>
  <c r="V134" i="5"/>
  <c r="V135" i="5"/>
  <c r="W34" i="5"/>
  <c r="W107" i="5"/>
  <c r="W130" i="5"/>
  <c r="W134" i="5"/>
  <c r="W135" i="5"/>
  <c r="X34" i="5"/>
  <c r="X107" i="5"/>
  <c r="X130" i="5"/>
  <c r="X134" i="5"/>
  <c r="X135" i="5"/>
  <c r="AE34" i="5"/>
  <c r="Y34" i="5"/>
  <c r="AE115" i="5"/>
  <c r="Y107" i="5"/>
  <c r="AE107" i="5"/>
  <c r="AE35" i="5"/>
  <c r="Y35" i="5"/>
  <c r="D20" i="5"/>
  <c r="D36" i="5"/>
  <c r="F112" i="5"/>
  <c r="F20" i="5"/>
  <c r="F110" i="5"/>
  <c r="F111" i="5"/>
  <c r="F36" i="5"/>
  <c r="G112" i="5"/>
  <c r="G20" i="5"/>
  <c r="G110" i="5"/>
  <c r="G111" i="5"/>
  <c r="G36" i="5"/>
  <c r="H112" i="5"/>
  <c r="H20" i="5"/>
  <c r="H110" i="5"/>
  <c r="H111" i="5"/>
  <c r="H36" i="5"/>
  <c r="I112" i="5"/>
  <c r="I20" i="5"/>
  <c r="I110" i="5"/>
  <c r="I111" i="5"/>
  <c r="I36" i="5"/>
  <c r="K112" i="5"/>
  <c r="K20" i="5"/>
  <c r="K110" i="5"/>
  <c r="K111" i="5"/>
  <c r="K36" i="5"/>
  <c r="L112" i="5"/>
  <c r="L20" i="5"/>
  <c r="L110" i="5"/>
  <c r="L111" i="5"/>
  <c r="L36" i="5"/>
  <c r="M112" i="5"/>
  <c r="M20" i="5"/>
  <c r="M110" i="5"/>
  <c r="M111" i="5"/>
  <c r="M36" i="5"/>
  <c r="N112" i="5"/>
  <c r="N20" i="5"/>
  <c r="N110" i="5"/>
  <c r="N111" i="5"/>
  <c r="N36" i="5"/>
  <c r="P112" i="5"/>
  <c r="P20" i="5"/>
  <c r="P110" i="5"/>
  <c r="P111" i="5"/>
  <c r="P36" i="5"/>
  <c r="Q112" i="5"/>
  <c r="Q20" i="5"/>
  <c r="Q110" i="5"/>
  <c r="Q111" i="5"/>
  <c r="Q36" i="5"/>
  <c r="R112" i="5"/>
  <c r="R20" i="5"/>
  <c r="R110" i="5"/>
  <c r="R111" i="5"/>
  <c r="R36" i="5"/>
  <c r="S112" i="5"/>
  <c r="S20" i="5"/>
  <c r="S110" i="5"/>
  <c r="S111" i="5"/>
  <c r="S36" i="5"/>
  <c r="U112" i="5"/>
  <c r="U20" i="5"/>
  <c r="U110" i="5"/>
  <c r="U111" i="5"/>
  <c r="U36" i="5"/>
  <c r="V112" i="5"/>
  <c r="V20" i="5"/>
  <c r="V110" i="5"/>
  <c r="V111" i="5"/>
  <c r="V36" i="5"/>
  <c r="W112" i="5"/>
  <c r="W20" i="5"/>
  <c r="W110" i="5"/>
  <c r="W111" i="5"/>
  <c r="W36" i="5"/>
  <c r="X112" i="5"/>
  <c r="X20" i="5"/>
  <c r="X110" i="5"/>
  <c r="X111" i="5"/>
  <c r="X36" i="5"/>
  <c r="AE36" i="5"/>
  <c r="Y36" i="5"/>
  <c r="Y20" i="5"/>
  <c r="Y111" i="5"/>
  <c r="AE111" i="5"/>
  <c r="AE32" i="5"/>
  <c r="Y32" i="5"/>
  <c r="Y37" i="5"/>
  <c r="AE37" i="5"/>
  <c r="AE28" i="5"/>
  <c r="AN27" i="5"/>
  <c r="AE25" i="5"/>
  <c r="Y26" i="5"/>
  <c r="AE24" i="5"/>
  <c r="Y24" i="5"/>
  <c r="Y42" i="5"/>
  <c r="AE42" i="5"/>
  <c r="D126" i="5"/>
  <c r="D129" i="5"/>
  <c r="D43" i="5"/>
  <c r="D27" i="5"/>
  <c r="F43" i="5"/>
  <c r="F126" i="5"/>
  <c r="F129" i="5"/>
  <c r="G43" i="5"/>
  <c r="G126" i="5"/>
  <c r="G129" i="5"/>
  <c r="H43" i="5"/>
  <c r="H126" i="5"/>
  <c r="H129" i="5"/>
  <c r="I43" i="5"/>
  <c r="I126" i="5"/>
  <c r="I129" i="5"/>
  <c r="K43" i="5"/>
  <c r="K126" i="5"/>
  <c r="K129" i="5"/>
  <c r="L43" i="5"/>
  <c r="L126" i="5"/>
  <c r="L129" i="5"/>
  <c r="M43" i="5"/>
  <c r="M126" i="5"/>
  <c r="M129" i="5"/>
  <c r="N43" i="5"/>
  <c r="N126" i="5"/>
  <c r="N129" i="5"/>
  <c r="P43" i="5"/>
  <c r="P126" i="5"/>
  <c r="P129" i="5"/>
  <c r="Q43" i="5"/>
  <c r="Q126" i="5"/>
  <c r="Q129" i="5"/>
  <c r="R43" i="5"/>
  <c r="R126" i="5"/>
  <c r="R129" i="5"/>
  <c r="S43" i="5"/>
  <c r="S126" i="5"/>
  <c r="S129" i="5"/>
  <c r="U43" i="5"/>
  <c r="U126" i="5"/>
  <c r="U129" i="5"/>
  <c r="V43" i="5"/>
  <c r="V126" i="5"/>
  <c r="V129" i="5"/>
  <c r="W43" i="5"/>
  <c r="W126" i="5"/>
  <c r="W129" i="5"/>
  <c r="X43" i="5"/>
  <c r="X126" i="5"/>
  <c r="X129" i="5"/>
  <c r="AE43" i="5"/>
  <c r="Y43" i="5"/>
  <c r="Y129" i="5"/>
  <c r="AE129" i="5"/>
  <c r="AN6" i="5"/>
  <c r="D26" i="5"/>
  <c r="AL6" i="5"/>
  <c r="D28" i="5"/>
  <c r="D25" i="5"/>
  <c r="D41" i="5"/>
  <c r="D44" i="5"/>
  <c r="D46" i="5"/>
  <c r="D105" i="5"/>
  <c r="D121" i="5"/>
  <c r="D127" i="5"/>
  <c r="AN7" i="5"/>
  <c r="E26" i="5"/>
  <c r="AL7" i="5"/>
  <c r="E28" i="5"/>
  <c r="E25" i="5"/>
  <c r="E41" i="5"/>
  <c r="E44" i="5"/>
  <c r="E46" i="5"/>
  <c r="AN8" i="5"/>
  <c r="F26" i="5"/>
  <c r="AL8" i="5"/>
  <c r="F28" i="5"/>
  <c r="F25" i="5"/>
  <c r="F41" i="5"/>
  <c r="F44" i="5"/>
  <c r="F46" i="5"/>
  <c r="F121" i="5"/>
  <c r="F127" i="5"/>
  <c r="AN9" i="5"/>
  <c r="G26" i="5"/>
  <c r="AL9" i="5"/>
  <c r="G28" i="5"/>
  <c r="G25" i="5"/>
  <c r="G41" i="5"/>
  <c r="G44" i="5"/>
  <c r="G46" i="5"/>
  <c r="G121" i="5"/>
  <c r="G127" i="5"/>
  <c r="AN10" i="5"/>
  <c r="H26" i="5"/>
  <c r="AL10" i="5"/>
  <c r="H28" i="5"/>
  <c r="H25" i="5"/>
  <c r="H41" i="5"/>
  <c r="H44" i="5"/>
  <c r="H46" i="5"/>
  <c r="H121" i="5"/>
  <c r="H127" i="5"/>
  <c r="AN11" i="5"/>
  <c r="I26" i="5"/>
  <c r="AL11" i="5"/>
  <c r="I28" i="5"/>
  <c r="I25" i="5"/>
  <c r="I41" i="5"/>
  <c r="I44" i="5"/>
  <c r="I46" i="5"/>
  <c r="I121" i="5"/>
  <c r="I127" i="5"/>
  <c r="AN12" i="5"/>
  <c r="J26" i="5"/>
  <c r="AL12" i="5"/>
  <c r="J28" i="5"/>
  <c r="J25" i="5"/>
  <c r="J41" i="5"/>
  <c r="J44" i="5"/>
  <c r="J46" i="5"/>
  <c r="AN13" i="5"/>
  <c r="K26" i="5"/>
  <c r="AL13" i="5"/>
  <c r="K28" i="5"/>
  <c r="K25" i="5"/>
  <c r="K41" i="5"/>
  <c r="K44" i="5"/>
  <c r="K46" i="5"/>
  <c r="K121" i="5"/>
  <c r="K127" i="5"/>
  <c r="AN14" i="5"/>
  <c r="L26" i="5"/>
  <c r="AL14" i="5"/>
  <c r="L28" i="5"/>
  <c r="L25" i="5"/>
  <c r="L41" i="5"/>
  <c r="L44" i="5"/>
  <c r="L46" i="5"/>
  <c r="L121" i="5"/>
  <c r="L127" i="5"/>
  <c r="AN15" i="5"/>
  <c r="M26" i="5"/>
  <c r="AL15" i="5"/>
  <c r="M28" i="5"/>
  <c r="M25" i="5"/>
  <c r="M41" i="5"/>
  <c r="M44" i="5"/>
  <c r="M46" i="5"/>
  <c r="M121" i="5"/>
  <c r="M127" i="5"/>
  <c r="AN16" i="5"/>
  <c r="N26" i="5"/>
  <c r="AL16" i="5"/>
  <c r="N28" i="5"/>
  <c r="N25" i="5"/>
  <c r="N41" i="5"/>
  <c r="N44" i="5"/>
  <c r="N46" i="5"/>
  <c r="N121" i="5"/>
  <c r="N127" i="5"/>
  <c r="AN17" i="5"/>
  <c r="O26" i="5"/>
  <c r="AL17" i="5"/>
  <c r="O28" i="5"/>
  <c r="O25" i="5"/>
  <c r="O41" i="5"/>
  <c r="O44" i="5"/>
  <c r="O46" i="5"/>
  <c r="AN18" i="5"/>
  <c r="P26" i="5"/>
  <c r="AL18" i="5"/>
  <c r="P28" i="5"/>
  <c r="P25" i="5"/>
  <c r="P41" i="5"/>
  <c r="P44" i="5"/>
  <c r="P46" i="5"/>
  <c r="P121" i="5"/>
  <c r="P127" i="5"/>
  <c r="AN19" i="5"/>
  <c r="Q26" i="5"/>
  <c r="AL19" i="5"/>
  <c r="Q28" i="5"/>
  <c r="Q25" i="5"/>
  <c r="Q41" i="5"/>
  <c r="Q44" i="5"/>
  <c r="Q46" i="5"/>
  <c r="Q121" i="5"/>
  <c r="Q127" i="5"/>
  <c r="AN20" i="5"/>
  <c r="R26" i="5"/>
  <c r="AL20" i="5"/>
  <c r="R28" i="5"/>
  <c r="R25" i="5"/>
  <c r="R41" i="5"/>
  <c r="R44" i="5"/>
  <c r="R46" i="5"/>
  <c r="R121" i="5"/>
  <c r="R127" i="5"/>
  <c r="AN21" i="5"/>
  <c r="S26" i="5"/>
  <c r="AL21" i="5"/>
  <c r="S28" i="5"/>
  <c r="S25" i="5"/>
  <c r="S41" i="5"/>
  <c r="S44" i="5"/>
  <c r="S46" i="5"/>
  <c r="S121" i="5"/>
  <c r="S127" i="5"/>
  <c r="AN22" i="5"/>
  <c r="T26" i="5"/>
  <c r="AL22" i="5"/>
  <c r="T28" i="5"/>
  <c r="T25" i="5"/>
  <c r="T41" i="5"/>
  <c r="T44" i="5"/>
  <c r="T46" i="5"/>
  <c r="AN23" i="5"/>
  <c r="U26" i="5"/>
  <c r="AL23" i="5"/>
  <c r="U28" i="5"/>
  <c r="U25" i="5"/>
  <c r="U41" i="5"/>
  <c r="U44" i="5"/>
  <c r="U46" i="5"/>
  <c r="U121" i="5"/>
  <c r="U127" i="5"/>
  <c r="AN24" i="5"/>
  <c r="V26" i="5"/>
  <c r="AL24" i="5"/>
  <c r="V28" i="5"/>
  <c r="V25" i="5"/>
  <c r="V41" i="5"/>
  <c r="V44" i="5"/>
  <c r="V46" i="5"/>
  <c r="V121" i="5"/>
  <c r="V127" i="5"/>
  <c r="AN25" i="5"/>
  <c r="W26" i="5"/>
  <c r="AL25" i="5"/>
  <c r="W28" i="5"/>
  <c r="W25" i="5"/>
  <c r="W41" i="5"/>
  <c r="W44" i="5"/>
  <c r="W46" i="5"/>
  <c r="W121" i="5"/>
  <c r="W127" i="5"/>
  <c r="AN26" i="5"/>
  <c r="X26" i="5"/>
  <c r="AL26" i="5"/>
  <c r="X28" i="5"/>
  <c r="X25" i="5"/>
  <c r="X41" i="5"/>
  <c r="X44" i="5"/>
  <c r="X46" i="5"/>
  <c r="X121" i="5"/>
  <c r="X127" i="5"/>
  <c r="AE41" i="5"/>
  <c r="AL27" i="5"/>
  <c r="AE44" i="5"/>
  <c r="Y28" i="5"/>
  <c r="Y25" i="5"/>
  <c r="Y41" i="5"/>
  <c r="Y44" i="5"/>
  <c r="Y46" i="5"/>
  <c r="AE46" i="5"/>
  <c r="AE47" i="5"/>
  <c r="Y47" i="5"/>
  <c r="AE109" i="5"/>
  <c r="AK27" i="5"/>
  <c r="Y48" i="5"/>
  <c r="AE48" i="5"/>
  <c r="C80" i="5"/>
  <c r="Y144" i="5"/>
  <c r="Y143" i="5"/>
  <c r="AE143" i="5"/>
  <c r="D80" i="5"/>
  <c r="AP27" i="5"/>
  <c r="AE21" i="5"/>
  <c r="Y21" i="5"/>
  <c r="E80" i="5"/>
  <c r="E33" i="5"/>
  <c r="E104" i="5"/>
  <c r="AA104" i="5"/>
  <c r="J33" i="5"/>
  <c r="J104" i="5"/>
  <c r="AB104" i="5"/>
  <c r="O33" i="5"/>
  <c r="O104" i="5"/>
  <c r="AC104" i="5"/>
  <c r="T33" i="5"/>
  <c r="T104" i="5"/>
  <c r="AD104" i="5"/>
  <c r="AA105" i="5"/>
  <c r="E105" i="5"/>
  <c r="AA119" i="5"/>
  <c r="AB105" i="5"/>
  <c r="J105" i="5"/>
  <c r="AB119" i="5"/>
  <c r="AC105" i="5"/>
  <c r="O105" i="5"/>
  <c r="AC119" i="5"/>
  <c r="AD105" i="5"/>
  <c r="T105" i="5"/>
  <c r="AD119" i="5"/>
  <c r="AE105" i="5"/>
  <c r="Y105" i="5"/>
  <c r="AE119" i="5"/>
  <c r="E34" i="5"/>
  <c r="E107" i="5"/>
  <c r="AA107" i="5"/>
  <c r="AA134" i="5"/>
  <c r="E134" i="5"/>
  <c r="E135" i="5"/>
  <c r="J34" i="5"/>
  <c r="J107" i="5"/>
  <c r="AB107" i="5"/>
  <c r="AB134" i="5"/>
  <c r="J134" i="5"/>
  <c r="J135" i="5"/>
  <c r="O34" i="5"/>
  <c r="O107" i="5"/>
  <c r="AC107" i="5"/>
  <c r="AC134" i="5"/>
  <c r="O134" i="5"/>
  <c r="O135" i="5"/>
  <c r="T34" i="5"/>
  <c r="T107" i="5"/>
  <c r="AD107" i="5"/>
  <c r="AD134" i="5"/>
  <c r="T134" i="5"/>
  <c r="T135" i="5"/>
  <c r="AE134" i="5"/>
  <c r="Y134" i="5"/>
  <c r="Y135" i="5"/>
  <c r="AE106" i="5"/>
  <c r="E110" i="5"/>
  <c r="AA110" i="5"/>
  <c r="J110" i="5"/>
  <c r="AB110" i="5"/>
  <c r="O110" i="5"/>
  <c r="AC110" i="5"/>
  <c r="T110" i="5"/>
  <c r="AD110" i="5"/>
  <c r="Y110" i="5"/>
  <c r="AE110" i="5"/>
  <c r="AA103" i="5"/>
  <c r="E112" i="5"/>
  <c r="AA112" i="5"/>
  <c r="AB103" i="5"/>
  <c r="J112" i="5"/>
  <c r="AB112" i="5"/>
  <c r="AC103" i="5"/>
  <c r="O112" i="5"/>
  <c r="AC112" i="5"/>
  <c r="AD103" i="5"/>
  <c r="T112" i="5"/>
  <c r="AD112" i="5"/>
  <c r="AE103" i="5"/>
  <c r="Y112" i="5"/>
  <c r="AE112" i="5"/>
  <c r="AA114" i="5"/>
  <c r="AB114" i="5"/>
  <c r="AC114" i="5"/>
  <c r="AD114" i="5"/>
  <c r="AE114" i="5"/>
  <c r="AA116" i="5"/>
  <c r="AB116" i="5"/>
  <c r="AC116" i="5"/>
  <c r="AD116" i="5"/>
  <c r="AE116" i="5"/>
  <c r="F105" i="5"/>
  <c r="G105" i="5"/>
  <c r="H105" i="5"/>
  <c r="I105" i="5"/>
  <c r="K105" i="5"/>
  <c r="L105" i="5"/>
  <c r="M105" i="5"/>
  <c r="N105" i="5"/>
  <c r="P105" i="5"/>
  <c r="Q105" i="5"/>
  <c r="R105" i="5"/>
  <c r="S105" i="5"/>
  <c r="U105" i="5"/>
  <c r="V105" i="5"/>
  <c r="W105" i="5"/>
  <c r="X105" i="5"/>
  <c r="E27" i="5"/>
  <c r="AA115" i="5"/>
  <c r="F27" i="5"/>
  <c r="G27" i="5"/>
  <c r="H27" i="5"/>
  <c r="I27" i="5"/>
  <c r="J27" i="5"/>
  <c r="AB115" i="5"/>
  <c r="K27" i="5"/>
  <c r="L27" i="5"/>
  <c r="M27" i="5"/>
  <c r="N27" i="5"/>
  <c r="O27" i="5"/>
  <c r="AC115" i="5"/>
  <c r="P27" i="5"/>
  <c r="Q27" i="5"/>
  <c r="R27" i="5"/>
  <c r="S27" i="5"/>
  <c r="T27" i="5"/>
  <c r="AD115" i="5"/>
  <c r="U27" i="5"/>
  <c r="V27" i="5"/>
  <c r="W27" i="5"/>
  <c r="X27" i="5"/>
  <c r="AA120" i="5"/>
  <c r="E121" i="5"/>
  <c r="E127" i="5"/>
  <c r="AA127" i="5"/>
  <c r="AB120" i="5"/>
  <c r="J121" i="5"/>
  <c r="J127" i="5"/>
  <c r="AB127" i="5"/>
  <c r="AC120" i="5"/>
  <c r="O121" i="5"/>
  <c r="O127" i="5"/>
  <c r="AC127" i="5"/>
  <c r="AD120" i="5"/>
  <c r="T121" i="5"/>
  <c r="T127" i="5"/>
  <c r="AD127" i="5"/>
  <c r="AE120" i="5"/>
  <c r="Y121" i="5"/>
  <c r="D104" i="5"/>
  <c r="D120" i="5"/>
  <c r="E119" i="5"/>
  <c r="E120" i="5"/>
  <c r="F119" i="5"/>
  <c r="F120" i="5"/>
  <c r="G119" i="5"/>
  <c r="G120" i="5"/>
  <c r="H119" i="5"/>
  <c r="H120" i="5"/>
  <c r="I119" i="5"/>
  <c r="I120" i="5"/>
  <c r="J119" i="5"/>
  <c r="J120" i="5"/>
  <c r="K119" i="5"/>
  <c r="K120" i="5"/>
  <c r="L119" i="5"/>
  <c r="L120" i="5"/>
  <c r="M119" i="5"/>
  <c r="M120" i="5"/>
  <c r="N119" i="5"/>
  <c r="N120" i="5"/>
  <c r="O119" i="5"/>
  <c r="O120" i="5"/>
  <c r="P119" i="5"/>
  <c r="P120" i="5"/>
  <c r="Q119" i="5"/>
  <c r="Q120" i="5"/>
  <c r="R119" i="5"/>
  <c r="R120" i="5"/>
  <c r="S119" i="5"/>
  <c r="S120" i="5"/>
  <c r="T119" i="5"/>
  <c r="T120" i="5"/>
  <c r="U119" i="5"/>
  <c r="U120" i="5"/>
  <c r="V119" i="5"/>
  <c r="V120" i="5"/>
  <c r="W119" i="5"/>
  <c r="W120" i="5"/>
  <c r="X119" i="5"/>
  <c r="X120" i="5"/>
  <c r="Y119" i="5"/>
  <c r="Y120" i="5"/>
  <c r="Y127" i="5"/>
  <c r="AE127" i="5"/>
  <c r="AA117" i="5"/>
  <c r="E128" i="5"/>
  <c r="AA128" i="5"/>
  <c r="AB117" i="5"/>
  <c r="J128" i="5"/>
  <c r="AB128" i="5"/>
  <c r="AC117" i="5"/>
  <c r="O128" i="5"/>
  <c r="AC128" i="5"/>
  <c r="AD117" i="5"/>
  <c r="T128" i="5"/>
  <c r="AD128" i="5"/>
  <c r="AE117" i="5"/>
  <c r="D110" i="5"/>
  <c r="D111" i="5"/>
  <c r="D117" i="5"/>
  <c r="E116" i="5"/>
  <c r="E117" i="5"/>
  <c r="F116" i="5"/>
  <c r="F117" i="5"/>
  <c r="G116" i="5"/>
  <c r="G117" i="5"/>
  <c r="H116" i="5"/>
  <c r="H117" i="5"/>
  <c r="I116" i="5"/>
  <c r="I117" i="5"/>
  <c r="J116" i="5"/>
  <c r="J117" i="5"/>
  <c r="K116" i="5"/>
  <c r="K117" i="5"/>
  <c r="L116" i="5"/>
  <c r="L117" i="5"/>
  <c r="M116" i="5"/>
  <c r="M117" i="5"/>
  <c r="N116" i="5"/>
  <c r="N117" i="5"/>
  <c r="O116" i="5"/>
  <c r="O117" i="5"/>
  <c r="P116" i="5"/>
  <c r="P117" i="5"/>
  <c r="Q116" i="5"/>
  <c r="Q117" i="5"/>
  <c r="R116" i="5"/>
  <c r="R117" i="5"/>
  <c r="S116" i="5"/>
  <c r="S117" i="5"/>
  <c r="T116" i="5"/>
  <c r="T117" i="5"/>
  <c r="U116" i="5"/>
  <c r="U117" i="5"/>
  <c r="V116" i="5"/>
  <c r="V117" i="5"/>
  <c r="W116" i="5"/>
  <c r="W117" i="5"/>
  <c r="X116" i="5"/>
  <c r="X117" i="5"/>
  <c r="Y116" i="5"/>
  <c r="Y117" i="5"/>
  <c r="Y128" i="5"/>
  <c r="AE128" i="5"/>
  <c r="AE126" i="5"/>
  <c r="AA126" i="5"/>
  <c r="E43" i="5"/>
  <c r="E129" i="5"/>
  <c r="AA129" i="5"/>
  <c r="AB126" i="5"/>
  <c r="J43" i="5"/>
  <c r="J129" i="5"/>
  <c r="AB129" i="5"/>
  <c r="AC126" i="5"/>
  <c r="O43" i="5"/>
  <c r="O129" i="5"/>
  <c r="AC129" i="5"/>
  <c r="AD126" i="5"/>
  <c r="T43" i="5"/>
  <c r="T129" i="5"/>
  <c r="AD129" i="5"/>
  <c r="E126" i="5"/>
  <c r="E130" i="5"/>
  <c r="AA130" i="5"/>
  <c r="J126" i="5"/>
  <c r="J130" i="5"/>
  <c r="AB130" i="5"/>
  <c r="O126" i="5"/>
  <c r="O130" i="5"/>
  <c r="AC130" i="5"/>
  <c r="T126" i="5"/>
  <c r="T130" i="5"/>
  <c r="AD130" i="5"/>
  <c r="Y115" i="5"/>
  <c r="Y126" i="5"/>
  <c r="Y130" i="5"/>
  <c r="AE130" i="5"/>
  <c r="D35" i="5"/>
  <c r="AA106" i="5"/>
  <c r="AB106" i="5"/>
  <c r="AC106" i="5"/>
  <c r="AD106" i="5"/>
  <c r="D47" i="5"/>
  <c r="E35" i="5"/>
  <c r="AA109" i="5"/>
  <c r="E47" i="5"/>
  <c r="AA137" i="5"/>
  <c r="E103" i="5"/>
  <c r="E106" i="5"/>
  <c r="E109" i="5"/>
  <c r="E137" i="5"/>
  <c r="E140" i="5"/>
  <c r="F35" i="5"/>
  <c r="F47" i="5"/>
  <c r="F103" i="5"/>
  <c r="F106" i="5"/>
  <c r="F109" i="5"/>
  <c r="F137" i="5"/>
  <c r="F140" i="5"/>
  <c r="G35" i="5"/>
  <c r="G47" i="5"/>
  <c r="G103" i="5"/>
  <c r="G106" i="5"/>
  <c r="G109" i="5"/>
  <c r="G137" i="5"/>
  <c r="G140" i="5"/>
  <c r="H35" i="5"/>
  <c r="H47" i="5"/>
  <c r="H103" i="5"/>
  <c r="H106" i="5"/>
  <c r="H109" i="5"/>
  <c r="H137" i="5"/>
  <c r="H140" i="5"/>
  <c r="I35" i="5"/>
  <c r="I47" i="5"/>
  <c r="I103" i="5"/>
  <c r="I106" i="5"/>
  <c r="I109" i="5"/>
  <c r="I137" i="5"/>
  <c r="I140" i="5"/>
  <c r="J35" i="5"/>
  <c r="AB109" i="5"/>
  <c r="J47" i="5"/>
  <c r="AB137" i="5"/>
  <c r="J103" i="5"/>
  <c r="J106" i="5"/>
  <c r="J109" i="5"/>
  <c r="J137" i="5"/>
  <c r="J140" i="5"/>
  <c r="K35" i="5"/>
  <c r="K47" i="5"/>
  <c r="K103" i="5"/>
  <c r="K106" i="5"/>
  <c r="K109" i="5"/>
  <c r="K137" i="5"/>
  <c r="K140" i="5"/>
  <c r="L35" i="5"/>
  <c r="L47" i="5"/>
  <c r="L103" i="5"/>
  <c r="L106" i="5"/>
  <c r="L109" i="5"/>
  <c r="L137" i="5"/>
  <c r="L140" i="5"/>
  <c r="M35" i="5"/>
  <c r="M47" i="5"/>
  <c r="M103" i="5"/>
  <c r="M106" i="5"/>
  <c r="M109" i="5"/>
  <c r="M137" i="5"/>
  <c r="M140" i="5"/>
  <c r="N35" i="5"/>
  <c r="N47" i="5"/>
  <c r="N103" i="5"/>
  <c r="N106" i="5"/>
  <c r="N109" i="5"/>
  <c r="N137" i="5"/>
  <c r="N140" i="5"/>
  <c r="O35" i="5"/>
  <c r="AC109" i="5"/>
  <c r="O47" i="5"/>
  <c r="AC137" i="5"/>
  <c r="O103" i="5"/>
  <c r="O106" i="5"/>
  <c r="O109" i="5"/>
  <c r="O137" i="5"/>
  <c r="O140" i="5"/>
  <c r="P35" i="5"/>
  <c r="P47" i="5"/>
  <c r="P103" i="5"/>
  <c r="P106" i="5"/>
  <c r="P109" i="5"/>
  <c r="P137" i="5"/>
  <c r="P140" i="5"/>
  <c r="Q35" i="5"/>
  <c r="Q47" i="5"/>
  <c r="Q103" i="5"/>
  <c r="Q106" i="5"/>
  <c r="Q109" i="5"/>
  <c r="Q137" i="5"/>
  <c r="Q140" i="5"/>
  <c r="R35" i="5"/>
  <c r="R47" i="5"/>
  <c r="R103" i="5"/>
  <c r="R106" i="5"/>
  <c r="R109" i="5"/>
  <c r="R137" i="5"/>
  <c r="R140" i="5"/>
  <c r="S35" i="5"/>
  <c r="S47" i="5"/>
  <c r="S103" i="5"/>
  <c r="S106" i="5"/>
  <c r="S109" i="5"/>
  <c r="S137" i="5"/>
  <c r="S140" i="5"/>
  <c r="T35" i="5"/>
  <c r="AD109" i="5"/>
  <c r="T47" i="5"/>
  <c r="AD137" i="5"/>
  <c r="T103" i="5"/>
  <c r="T106" i="5"/>
  <c r="T109" i="5"/>
  <c r="T137" i="5"/>
  <c r="T140" i="5"/>
  <c r="U35" i="5"/>
  <c r="U47" i="5"/>
  <c r="U103" i="5"/>
  <c r="U106" i="5"/>
  <c r="U109" i="5"/>
  <c r="U137" i="5"/>
  <c r="U140" i="5"/>
  <c r="V35" i="5"/>
  <c r="V47" i="5"/>
  <c r="V103" i="5"/>
  <c r="V106" i="5"/>
  <c r="V109" i="5"/>
  <c r="V137" i="5"/>
  <c r="V140" i="5"/>
  <c r="W35" i="5"/>
  <c r="W47" i="5"/>
  <c r="W103" i="5"/>
  <c r="W106" i="5"/>
  <c r="W109" i="5"/>
  <c r="W137" i="5"/>
  <c r="W140" i="5"/>
  <c r="X35" i="5"/>
  <c r="X47" i="5"/>
  <c r="X103" i="5"/>
  <c r="X106" i="5"/>
  <c r="X109" i="5"/>
  <c r="X137" i="5"/>
  <c r="X140" i="5"/>
  <c r="AE137" i="5"/>
  <c r="E114" i="5"/>
  <c r="E115" i="5"/>
  <c r="F114" i="5"/>
  <c r="F115" i="5"/>
  <c r="G114" i="5"/>
  <c r="G115" i="5"/>
  <c r="H114" i="5"/>
  <c r="H115" i="5"/>
  <c r="I114" i="5"/>
  <c r="I115" i="5"/>
  <c r="J114" i="5"/>
  <c r="J115" i="5"/>
  <c r="K114" i="5"/>
  <c r="K115" i="5"/>
  <c r="L114" i="5"/>
  <c r="L115" i="5"/>
  <c r="M114" i="5"/>
  <c r="M115" i="5"/>
  <c r="N114" i="5"/>
  <c r="N115" i="5"/>
  <c r="O114" i="5"/>
  <c r="O115" i="5"/>
  <c r="P114" i="5"/>
  <c r="P115" i="5"/>
  <c r="Q114" i="5"/>
  <c r="Q115" i="5"/>
  <c r="R114" i="5"/>
  <c r="R115" i="5"/>
  <c r="S114" i="5"/>
  <c r="S115" i="5"/>
  <c r="T114" i="5"/>
  <c r="T115" i="5"/>
  <c r="U114" i="5"/>
  <c r="U115" i="5"/>
  <c r="V114" i="5"/>
  <c r="V115" i="5"/>
  <c r="W114" i="5"/>
  <c r="W115" i="5"/>
  <c r="X114" i="5"/>
  <c r="X115" i="5"/>
  <c r="Y114" i="5"/>
  <c r="Y103" i="5"/>
  <c r="Y106" i="5"/>
  <c r="Y109" i="5"/>
  <c r="Y137" i="5"/>
  <c r="Y140" i="5"/>
  <c r="AE140" i="5"/>
  <c r="AE139" i="5"/>
  <c r="D112" i="5"/>
  <c r="D115" i="5"/>
  <c r="D103" i="5"/>
  <c r="D106" i="5"/>
  <c r="D109" i="5"/>
  <c r="D137" i="5"/>
  <c r="D140" i="5"/>
  <c r="D141" i="5"/>
  <c r="E139" i="5"/>
  <c r="E141" i="5"/>
  <c r="F139" i="5"/>
  <c r="F141" i="5"/>
  <c r="G139" i="5"/>
  <c r="G141" i="5"/>
  <c r="H139" i="5"/>
  <c r="H141" i="5"/>
  <c r="I139" i="5"/>
  <c r="I141" i="5"/>
  <c r="J139" i="5"/>
  <c r="J141" i="5"/>
  <c r="K139" i="5"/>
  <c r="K141" i="5"/>
  <c r="L139" i="5"/>
  <c r="L141" i="5"/>
  <c r="M139" i="5"/>
  <c r="M141" i="5"/>
  <c r="N139" i="5"/>
  <c r="N141" i="5"/>
  <c r="O139" i="5"/>
  <c r="O141" i="5"/>
  <c r="P139" i="5"/>
  <c r="P141" i="5"/>
  <c r="Q139" i="5"/>
  <c r="Q141" i="5"/>
  <c r="R139" i="5"/>
  <c r="R141" i="5"/>
  <c r="S139" i="5"/>
  <c r="S141" i="5"/>
  <c r="T139" i="5"/>
  <c r="T141" i="5"/>
  <c r="U139" i="5"/>
  <c r="U141" i="5"/>
  <c r="V139" i="5"/>
  <c r="V141" i="5"/>
  <c r="W139" i="5"/>
  <c r="W141" i="5"/>
  <c r="X139" i="5"/>
  <c r="X141" i="5"/>
  <c r="Y139" i="5"/>
  <c r="Y141" i="5"/>
  <c r="AE141" i="5"/>
  <c r="F31" i="6"/>
  <c r="F18" i="6"/>
  <c r="G31" i="6"/>
  <c r="G18" i="6"/>
  <c r="H31" i="6"/>
  <c r="H18" i="6"/>
  <c r="I31" i="6"/>
  <c r="I18" i="6"/>
  <c r="K31" i="6"/>
  <c r="K18" i="6"/>
  <c r="L31" i="6"/>
  <c r="L18" i="6"/>
  <c r="M31" i="6"/>
  <c r="M18" i="6"/>
  <c r="N31" i="6"/>
  <c r="N18" i="6"/>
  <c r="P31" i="6"/>
  <c r="P18" i="6"/>
  <c r="Q31" i="6"/>
  <c r="Q18" i="6"/>
  <c r="R31" i="6"/>
  <c r="R18" i="6"/>
  <c r="S31" i="6"/>
  <c r="S18" i="6"/>
  <c r="U31" i="6"/>
  <c r="U18" i="6"/>
  <c r="V31" i="6"/>
  <c r="V18" i="6"/>
  <c r="W31" i="6"/>
  <c r="W18" i="6"/>
  <c r="X18" i="6"/>
  <c r="X31" i="6"/>
  <c r="Y18" i="6"/>
  <c r="Y31" i="6"/>
  <c r="AA18" i="6"/>
  <c r="E18" i="6"/>
  <c r="J31" i="6"/>
  <c r="J18" i="6"/>
  <c r="AB18" i="6"/>
  <c r="O31" i="6"/>
  <c r="O18" i="6"/>
  <c r="AC18" i="6"/>
  <c r="T31" i="6"/>
  <c r="T18" i="6"/>
  <c r="AD18" i="6"/>
  <c r="AN7" i="6"/>
  <c r="E19" i="6"/>
  <c r="AA19" i="6"/>
  <c r="AN12" i="6"/>
  <c r="J19" i="6"/>
  <c r="AB19" i="6"/>
  <c r="AN17" i="6"/>
  <c r="O19" i="6"/>
  <c r="AC19" i="6"/>
  <c r="AN22" i="6"/>
  <c r="T19" i="6"/>
  <c r="AD19" i="6"/>
  <c r="F32" i="6"/>
  <c r="G32" i="6"/>
  <c r="H32" i="6"/>
  <c r="I32" i="6"/>
  <c r="AB30" i="6"/>
  <c r="J32" i="6"/>
  <c r="K32" i="6"/>
  <c r="L32" i="6"/>
  <c r="M32" i="6"/>
  <c r="N32" i="6"/>
  <c r="AC30" i="6"/>
  <c r="O32" i="6"/>
  <c r="P32" i="6"/>
  <c r="Q32" i="6"/>
  <c r="R32" i="6"/>
  <c r="S32" i="6"/>
  <c r="AD30" i="6"/>
  <c r="T32" i="6"/>
  <c r="U32" i="6"/>
  <c r="V32" i="6"/>
  <c r="W32" i="6"/>
  <c r="X32" i="6"/>
  <c r="AL7" i="6"/>
  <c r="AA33" i="6"/>
  <c r="E34" i="6"/>
  <c r="AL8" i="6"/>
  <c r="F34" i="6"/>
  <c r="AL9" i="6"/>
  <c r="G34" i="6"/>
  <c r="AL10" i="6"/>
  <c r="H34" i="6"/>
  <c r="AL11" i="6"/>
  <c r="I34" i="6"/>
  <c r="AL12" i="6"/>
  <c r="AB33" i="6"/>
  <c r="J34" i="6"/>
  <c r="AL13" i="6"/>
  <c r="K34" i="6"/>
  <c r="AL14" i="6"/>
  <c r="L34" i="6"/>
  <c r="AL15" i="6"/>
  <c r="M34" i="6"/>
  <c r="AL16" i="6"/>
  <c r="N34" i="6"/>
  <c r="AL17" i="6"/>
  <c r="AC33" i="6"/>
  <c r="O34" i="6"/>
  <c r="AL18" i="6"/>
  <c r="P34" i="6"/>
  <c r="AL19" i="6"/>
  <c r="Q34" i="6"/>
  <c r="AL20" i="6"/>
  <c r="R34" i="6"/>
  <c r="AL21" i="6"/>
  <c r="S34" i="6"/>
  <c r="AL22" i="6"/>
  <c r="AD33" i="6"/>
  <c r="T34" i="6"/>
  <c r="AL23" i="6"/>
  <c r="U34" i="6"/>
  <c r="AL24" i="6"/>
  <c r="V34" i="6"/>
  <c r="AL25" i="6"/>
  <c r="W34" i="6"/>
  <c r="AL26" i="6"/>
  <c r="X34" i="6"/>
  <c r="AE30" i="6"/>
  <c r="Y32" i="6"/>
  <c r="AL27" i="6"/>
  <c r="AE33" i="6"/>
  <c r="E33" i="6"/>
  <c r="F30" i="6"/>
  <c r="F33" i="6"/>
  <c r="G30" i="6"/>
  <c r="G33" i="6"/>
  <c r="H30" i="6"/>
  <c r="H33" i="6"/>
  <c r="I30" i="6"/>
  <c r="I33" i="6"/>
  <c r="J30" i="6"/>
  <c r="J33" i="6"/>
  <c r="K30" i="6"/>
  <c r="K33" i="6"/>
  <c r="L30" i="6"/>
  <c r="L33" i="6"/>
  <c r="M30" i="6"/>
  <c r="M33" i="6"/>
  <c r="N30" i="6"/>
  <c r="N33" i="6"/>
  <c r="O30" i="6"/>
  <c r="O33" i="6"/>
  <c r="P30" i="6"/>
  <c r="P33" i="6"/>
  <c r="Q30" i="6"/>
  <c r="Q33" i="6"/>
  <c r="R30" i="6"/>
  <c r="R33" i="6"/>
  <c r="S30" i="6"/>
  <c r="S33" i="6"/>
  <c r="T30" i="6"/>
  <c r="T33" i="6"/>
  <c r="U30" i="6"/>
  <c r="U33" i="6"/>
  <c r="V30" i="6"/>
  <c r="V33" i="6"/>
  <c r="W30" i="6"/>
  <c r="W33" i="6"/>
  <c r="X30" i="6"/>
  <c r="X33" i="6"/>
  <c r="Y30" i="6"/>
  <c r="Y33" i="6"/>
  <c r="Y34" i="6"/>
  <c r="AA22" i="6"/>
  <c r="AB22" i="6"/>
  <c r="AC22" i="6"/>
  <c r="AD22" i="6"/>
  <c r="AK7" i="6"/>
  <c r="AA28" i="6"/>
  <c r="AM7" i="6"/>
  <c r="E28" i="6"/>
  <c r="E36" i="6"/>
  <c r="AA36" i="6"/>
  <c r="AK12" i="6"/>
  <c r="AB28" i="6"/>
  <c r="AM12" i="6"/>
  <c r="J28" i="6"/>
  <c r="J36" i="6"/>
  <c r="AB36" i="6"/>
  <c r="AK17" i="6"/>
  <c r="AC28" i="6"/>
  <c r="AM17" i="6"/>
  <c r="O28" i="6"/>
  <c r="O36" i="6"/>
  <c r="AC36" i="6"/>
  <c r="AK22" i="6"/>
  <c r="AD28" i="6"/>
  <c r="AM22" i="6"/>
  <c r="T28" i="6"/>
  <c r="T36" i="6"/>
  <c r="AD36" i="6"/>
  <c r="AH23" i="6"/>
  <c r="AH24" i="6"/>
  <c r="AH25" i="6"/>
  <c r="AK27" i="6"/>
  <c r="AH26" i="6"/>
  <c r="AH27" i="6"/>
  <c r="AE28" i="6"/>
  <c r="AH28" i="6"/>
  <c r="AM27" i="6"/>
  <c r="C69" i="6"/>
  <c r="Y28" i="6"/>
  <c r="Y36" i="6"/>
  <c r="AE36" i="6"/>
  <c r="D69" i="6"/>
  <c r="AE22" i="6"/>
  <c r="AH22" i="6"/>
  <c r="AN27" i="6"/>
  <c r="AE19" i="6"/>
  <c r="E31" i="6"/>
  <c r="E22" i="6"/>
  <c r="F22" i="6"/>
  <c r="G22" i="6"/>
  <c r="H22" i="6"/>
  <c r="I22" i="6"/>
  <c r="J22" i="6"/>
  <c r="K22" i="6"/>
  <c r="L22" i="6"/>
  <c r="M22" i="6"/>
  <c r="N22" i="6"/>
  <c r="O22" i="6"/>
  <c r="P22" i="6"/>
  <c r="Q22" i="6"/>
  <c r="R22" i="6"/>
  <c r="S22" i="6"/>
  <c r="T22" i="6"/>
  <c r="U22" i="6"/>
  <c r="V22" i="6"/>
  <c r="W22" i="6"/>
  <c r="X22" i="6"/>
  <c r="Y22" i="6"/>
  <c r="Y19" i="6"/>
  <c r="E6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 authorId="0" shapeId="0" xr:uid="{00000000-0006-0000-00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BTC and Macro models drive each of the Micro Models.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V2" authorId="0" shapeId="0" xr:uid="{00000000-0006-0000-01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Save the file or run the calculations to update this chart.</t>
        </r>
      </text>
    </comment>
    <comment ref="F9" authorId="0" shapeId="0" xr:uid="{00000000-0006-0000-01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ARR assumed to be ~2x the expected growth rate of S&amp;P 500 index (~10%) at steady state.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N4" authorId="0" shapeId="0" xr:uid="{00000000-0006-0000-02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Monetization refers to the incremental YoY growth of an asset’s market cap over and above the inflation growth and innovation growth. 
An asset’s market cap growth = inflation growth + innovation growth + this monetization factor</t>
        </r>
      </text>
    </comment>
    <comment ref="AD4" authorId="0" shapeId="0" xr:uid="{00000000-0006-0000-02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Asset dilution refers to the increase in existing stock through new supply. 
Implied ARR % = (1+market cap growth %)/(1+asset dilution %) - 1</t>
        </r>
      </text>
    </comment>
    <comment ref="B8" authorId="0" shapeId="0" xr:uid="{00000000-0006-0000-02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Innovation growth is driven by an AI productivity boost.</t>
        </r>
      </text>
    </comment>
    <comment ref="AF10" authorId="0" shapeId="0" xr:uid="{00000000-0006-0000-02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Yield or interest rate are not inputs or drivers for other values in the Macro model. It doesn’t impact the growth in market cap of bonds or currencies. However, it is an important input in the Micro models to calculate the pre-tax interest income generated by holding these assets.</t>
        </r>
      </text>
    </comment>
    <comment ref="C11" authorId="0" shapeId="0" xr:uid="{00000000-0006-0000-02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Gold, art, equity, and real estate are impacted by entropy.</t>
        </r>
      </text>
    </comment>
    <comment ref="C12" authorId="0" shapeId="0" xr:uid="{00000000-0006-0000-02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Bonds and currencies are impacted by inflation.</t>
        </r>
      </text>
    </comment>
    <comment ref="C13" authorId="0" shapeId="0" xr:uid="{00000000-0006-0000-02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Custody cost for Bitcoin.</t>
        </r>
      </text>
    </comment>
    <comment ref="B36" authorId="0" shapeId="0" xr:uid="{00000000-0006-0000-02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Annual Inefficiency is not an input or driver for other values in any of the Macro or Micro models.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BTC and Macro models drive the Micro Models.</t>
        </r>
      </text>
    </comment>
    <comment ref="Z4" authorId="0" shapeId="0" xr:uid="{00000000-0006-0000-03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Outstanding mortgage is assumed to be 50% of real estate value.</t>
        </r>
      </text>
    </comment>
    <comment ref="Z5" authorId="0" shapeId="0" xr:uid="{00000000-0006-0000-03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Interest expense is assumed to accrue each year.</t>
        </r>
      </text>
    </comment>
    <comment ref="C9" authorId="0" shapeId="0" xr:uid="{00000000-0006-0000-0300-000004000000}">
      <text>
        <r>
          <rPr>
            <sz val="11"/>
            <color theme="1"/>
            <rFont val="Aptos Narrow"/>
            <scheme val="minor"/>
          </rPr>
          <t xml:space="preserve">[Threaded comment]
Your version of Excel allows you to read this threaded comment; however, any edits to it will get removed if the file is opened in a newer version of Excel. Learn more: https://go.microsoft.com/fwlink/?linkid=870924
Comment:
    Income tax % is applicable to income from bonds and currency. Note that the savings rate is a separate assumption that is listed below. </t>
        </r>
      </text>
    </comment>
    <comment ref="D12" authorId="0" shapeId="0" xr:uid="{00000000-0006-0000-03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 of portfolio (excluding real estate and starting BTC) that is converted to BTC.</t>
        </r>
      </text>
    </comment>
    <comment ref="D13" authorId="0" shapeId="0" xr:uid="{00000000-0006-0000-03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Remaining earnings are swept to traditional assets (excluding real estate) in the same proportion as the starting portfolio allocation.</t>
        </r>
      </text>
    </comment>
    <comment ref="D15" authorId="0" shapeId="0" xr:uid="{00000000-0006-0000-03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 of annual earnings that is saved each year post taxes, expenses, etc. and is hence “excess earnings”.</t>
        </r>
      </text>
    </comment>
    <comment ref="Y15" authorId="0" shapeId="0" xr:uid="{00000000-0006-0000-03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By moving to a lower tax jurisdiction.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BTC and Macro models drive the Micro Models.</t>
        </r>
      </text>
    </comment>
    <comment ref="C4" authorId="0" shapeId="0" xr:uid="{00000000-0006-0000-04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Cash flow to firm before interest expense/income, debt issuance/repayment, equity issuance, dividends.</t>
        </r>
      </text>
    </comment>
    <comment ref="J5" authorId="0" shapeId="0" xr:uid="{00000000-0006-0000-04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debt for 2024</t>
        </r>
      </text>
    </comment>
    <comment ref="Y5" authorId="0" shapeId="0" xr:uid="{00000000-0006-0000-04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Pre-tax yield is an input from the Macro model</t>
        </r>
      </text>
    </comment>
    <comment ref="C7" authorId="0" shapeId="0" xr:uid="{00000000-0006-0000-04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Assumed to be constant throughout the period.</t>
        </r>
      </text>
    </comment>
    <comment ref="J7" authorId="0" shapeId="0" xr:uid="{00000000-0006-0000-04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cash for 2024.</t>
        </r>
      </text>
    </comment>
    <comment ref="C8" authorId="0" shapeId="0" xr:uid="{00000000-0006-0000-04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share price for 2024.</t>
        </r>
      </text>
    </comment>
    <comment ref="C11" authorId="0" shapeId="0" xr:uid="{00000000-0006-0000-04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 of opening cash converted to BTC in 2024. This excludes the starting BTC assumption.</t>
        </r>
      </text>
    </comment>
    <comment ref="C12" authorId="0" shapeId="0" xr:uid="{00000000-0006-0000-0400-000009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 of cash flow invested in BTC each year. Remaining % is given out as dividends each year.</t>
        </r>
      </text>
    </comment>
    <comment ref="C13" authorId="0" shapeId="0" xr:uid="{00000000-0006-0000-0400-00000A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Equity dilution each year as a % of that year’s opening sharecount.</t>
        </r>
      </text>
    </comment>
    <comment ref="C14" authorId="0" shapeId="0" xr:uid="{00000000-0006-0000-0400-00000B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Premium ascribed to the BTC NAV (i.e. BTC + Cash - Debt) for calculating the market cap.
BTC NAV Premium = (Market Cap - Market Value of Operations) / (Market Value of BTC + Cash - Debt) - 1</t>
        </r>
      </text>
    </comment>
    <comment ref="C15" authorId="0" shapeId="0" xr:uid="{00000000-0006-0000-0400-00000C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LTV cap is applied on net debt as % of BTC.</t>
        </r>
      </text>
    </comment>
    <comment ref="C23" authorId="0" shapeId="0" xr:uid="{00000000-0006-0000-0400-00000D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Closing value, i.e. as of the end of period.</t>
        </r>
      </text>
    </comment>
    <comment ref="C34" authorId="0" shapeId="0" xr:uid="{00000000-0006-0000-0400-00000E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Issuance assumed to be at the closing share price for the respective year.</t>
        </r>
      </text>
    </comment>
    <comment ref="C40" authorId="0" shapeId="0" xr:uid="{00000000-0006-0000-0400-00000F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Calculated as (Valuation multiple) x (Cash Flows).</t>
        </r>
      </text>
    </comment>
    <comment ref="C45" authorId="0" shapeId="0" xr:uid="{00000000-0006-0000-0400-000010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Increases due to equity dilution.</t>
        </r>
      </text>
    </comment>
    <comment ref="C48" authorId="0" shapeId="0" xr:uid="{00000000-0006-0000-0400-00001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Adjusted for dividends by assuming dividends are reinvested each year at the prevalent share price.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5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BTC and Macro models drive the Micro Models.</t>
        </r>
      </text>
    </comment>
    <comment ref="D6" authorId="0" shapeId="0" xr:uid="{00000000-0006-0000-05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Input positive value here.</t>
        </r>
      </text>
    </comment>
    <comment ref="D7" authorId="0" shapeId="0" xr:uid="{00000000-0006-0000-05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Interest expense is assumed to accrue each year.</t>
        </r>
      </text>
    </comment>
    <comment ref="C12" authorId="0" shapeId="0" xr:uid="{00000000-0006-0000-05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 of portfolio (excluding starting BTC) that is converted to BTC.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6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BTC and Macro models drive the Micro Models.</t>
        </r>
      </text>
    </comment>
    <comment ref="C6" authorId="0" shapeId="0" xr:uid="{00000000-0006-0000-06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 ref="D6" authorId="0" shapeId="0" xr:uid="{00000000-0006-0000-06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Input negative number.</t>
        </r>
      </text>
    </comment>
    <comment ref="Y6" authorId="0" shapeId="0" xr:uid="{00000000-0006-0000-06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 ref="C7" authorId="0" shapeId="0" xr:uid="{00000000-0006-0000-06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debt at the start of 2024.</t>
        </r>
      </text>
    </comment>
    <comment ref="D7" authorId="0" shapeId="0" xr:uid="{00000000-0006-0000-06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Input negative number.</t>
        </r>
      </text>
    </comment>
    <comment ref="C9" authorId="0" shapeId="0" xr:uid="{00000000-0006-0000-06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assets at the start of 2024.</t>
        </r>
      </text>
    </comment>
    <comment ref="C11" authorId="0" shapeId="0" xr:uid="{00000000-0006-0000-06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 of Treasury (excluding starting BTC) that is converted to BTC.</t>
        </r>
      </text>
    </comment>
    <comment ref="C12" authorId="0" shapeId="0" xr:uid="{00000000-0006-0000-0600-000009000000}">
      <text>
        <r>
          <rPr>
            <sz val="11"/>
            <color theme="1"/>
            <rFont val="Aptos Narrow"/>
            <scheme val="minor"/>
          </rPr>
          <t xml:space="preserve">[Threaded comment]
Your version of Excel allows you to read this threaded comment; however, any edits to it will get removed if the file is opened in a newer version of Excel. Learn more: https://go.microsoft.com/fwlink/?linkid=870924
Comment:
    Conversion program starts in 2025. </t>
        </r>
      </text>
    </comment>
    <comment ref="B25" authorId="0" shapeId="0" xr:uid="{00000000-0006-0000-0600-00000A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7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BTC and Macro models drive the Micro Models.</t>
        </r>
      </text>
    </comment>
    <comment ref="C6" authorId="0" shapeId="0" xr:uid="{00000000-0006-0000-07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 ref="D6" authorId="0" shapeId="0" xr:uid="{00000000-0006-0000-07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Input negative number.</t>
        </r>
      </text>
    </comment>
    <comment ref="Y6" authorId="0" shapeId="0" xr:uid="{00000000-0006-0000-07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 ref="C7" authorId="0" shapeId="0" xr:uid="{00000000-0006-0000-07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debt at the start of 2024.</t>
        </r>
      </text>
    </comment>
    <comment ref="D7" authorId="0" shapeId="0" xr:uid="{00000000-0006-0000-07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Input negative number.</t>
        </r>
      </text>
    </comment>
    <comment ref="C9" authorId="0" shapeId="0" xr:uid="{00000000-0006-0000-07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assets at the start of 2024.</t>
        </r>
      </text>
    </comment>
    <comment ref="C11" authorId="0" shapeId="0" xr:uid="{00000000-0006-0000-07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 of Treasury (excluding starting BTC) that is converted to BTC.</t>
        </r>
      </text>
    </comment>
    <comment ref="C12" authorId="0" shapeId="0" xr:uid="{00000000-0006-0000-0700-000009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Conversion program starts in 2025.</t>
        </r>
      </text>
    </comment>
    <comment ref="B25" authorId="0" shapeId="0" xr:uid="{00000000-0006-0000-0700-00000A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800-000001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The BTC and Macro models drive the Micro Models.</t>
        </r>
      </text>
    </comment>
    <comment ref="C5" authorId="0" shapeId="0" xr:uid="{00000000-0006-0000-0800-000002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 ref="D5" authorId="0" shapeId="0" xr:uid="{00000000-0006-0000-0800-000003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Input negative number.</t>
        </r>
      </text>
    </comment>
    <comment ref="Y5" authorId="0" shapeId="0" xr:uid="{00000000-0006-0000-0800-000004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Increase in revenue is driven by an AI productivity boost.</t>
        </r>
      </text>
    </comment>
    <comment ref="C6" authorId="0" shapeId="0" xr:uid="{00000000-0006-0000-0800-000005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Opening debt at the start of 2024.</t>
        </r>
      </text>
    </comment>
    <comment ref="D6" authorId="0" shapeId="0" xr:uid="{00000000-0006-0000-0800-000006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Input negative number.</t>
        </r>
      </text>
    </comment>
    <comment ref="Y6" authorId="0" shapeId="0" xr:uid="{00000000-0006-0000-0800-000007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 ref="C7" authorId="0" shapeId="0" xr:uid="{00000000-0006-0000-0800-000008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Blended cost of debt.</t>
        </r>
      </text>
    </comment>
    <comment ref="C10" authorId="0" shapeId="0" xr:uid="{00000000-0006-0000-0800-000009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Years starting 2025.</t>
        </r>
      </text>
    </comment>
    <comment ref="B29" authorId="0" shapeId="0" xr:uid="{00000000-0006-0000-0800-00000A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Excluding interest expense.</t>
        </r>
      </text>
    </comment>
    <comment ref="D30" authorId="0" shapeId="0" xr:uid="{00000000-0006-0000-0800-00000B000000}">
      <text>
        <r>
          <rPr>
            <sz val="11"/>
            <color theme="1"/>
            <rFont val="Aptos Narrow"/>
            <scheme val="minor"/>
          </rPr>
          <t>[Threaded comment]
Your version of Excel allows you to read this threaded comment; however, any edits to it will get removed if the file is opened in a newer version of Excel. Learn more: https://go.microsoft.com/fwlink/?linkid=870924
Comment:
    Hardcoded value for 2024.</t>
        </r>
      </text>
    </comment>
  </commentList>
</comments>
</file>

<file path=xl/sharedStrings.xml><?xml version="1.0" encoding="utf-8"?>
<sst xmlns="http://schemas.openxmlformats.org/spreadsheetml/2006/main" count="657" uniqueCount="282">
  <si>
    <t>BITCOIN24</t>
  </si>
  <si>
    <t>Helping you drive Bitcoin adoption.</t>
  </si>
  <si>
    <t>21-year macro forecast with micro models for bitcoin strategies</t>
  </si>
  <si>
    <t>Normie</t>
  </si>
  <si>
    <t>BTC 10%</t>
  </si>
  <si>
    <t>BTC Maxi</t>
  </si>
  <si>
    <t>Double Maxi</t>
  </si>
  <si>
    <t>Triple Maxi</t>
  </si>
  <si>
    <t>Contents</t>
  </si>
  <si>
    <t>BTC Model</t>
  </si>
  <si>
    <t>Micro Models</t>
  </si>
  <si>
    <r>
      <rPr>
        <b/>
        <sz val="11"/>
        <color theme="1"/>
        <rFont val="Aptos Narrow"/>
      </rPr>
      <t xml:space="preserve">Bitcoin24 </t>
    </r>
    <r>
      <rPr>
        <sz val="11"/>
        <color theme="1"/>
        <rFont val="Aptos Narrow"/>
      </rPr>
      <t>is designed to simulate 21-year outcomes of various Bitcoin strategies tailored for individuals, corporations, institutions, and nation-states. Users can input their own assumptions or adjust the model to explore different scenarios. Saving the file will automatically update the scenario comparison charts in the micro models' bottom section. For the latest updates and developments on Bitcoin24, visit the project’s official GitHub.</t>
    </r>
  </si>
  <si>
    <t>Macro Model</t>
  </si>
  <si>
    <t>Individual</t>
  </si>
  <si>
    <t>Corporate</t>
  </si>
  <si>
    <t>Institution</t>
  </si>
  <si>
    <t>Nation</t>
  </si>
  <si>
    <t>Wealthy Nation</t>
  </si>
  <si>
    <r>
      <rPr>
        <b/>
        <sz val="11"/>
        <color theme="1"/>
        <rFont val="Aptos Narrow"/>
      </rPr>
      <t xml:space="preserve">Bitcoin24 </t>
    </r>
    <r>
      <rPr>
        <sz val="11"/>
        <color theme="1"/>
        <rFont val="Aptos Narrow"/>
      </rPr>
      <t>does not model Bitcoin's volatility, as its volatility profile has evolved and will continue to do so in the future. This is a simplified model intended to show possible long-term outcomes of adopting a Bitcoin standard.</t>
    </r>
  </si>
  <si>
    <t>United States</t>
  </si>
  <si>
    <r>
      <rPr>
        <i/>
        <u/>
        <sz val="11"/>
        <color theme="1"/>
        <rFont val="Aptos Narrow"/>
      </rPr>
      <t>Original contributors:</t>
    </r>
    <r>
      <rPr>
        <i/>
        <sz val="11"/>
        <color theme="1"/>
        <rFont val="Aptos Narrow"/>
      </rPr>
      <t xml:space="preserve"> </t>
    </r>
  </si>
  <si>
    <t>Michael J. Saylor</t>
  </si>
  <si>
    <t>Shirish Jajodia</t>
  </si>
  <si>
    <t>Chaitanya Jain (CJ)</t>
  </si>
  <si>
    <t>"It might make sense just to get some in case it catches on. If enough people think the same way, that becomes a self-fulfilling prophecy." - Satoshi Nakamoto on 01/17/09 (BTC Price: $0)</t>
  </si>
  <si>
    <r>
      <rPr>
        <u/>
        <sz val="11"/>
        <color rgb="FF000000"/>
        <rFont val="Arial"/>
      </rPr>
      <t>Additional Information</t>
    </r>
    <r>
      <rPr>
        <sz val="11"/>
        <color rgb="FF000000"/>
        <rFont val="Arial"/>
      </rPr>
      <t xml:space="preserve">:  The information provided here is for general informational purposes only and should not be considered financial advice. It contains forward-looking information that is inherently unknowable and does not constitute a representation or projection of future results of any company or business entity. You should seek advice from a professional financial advisor and other trusted sources before acting on any of this information. The authors and publishers of this information disclaim responsibility for any action taken by users of this information.  This is but one view of potential outcomes. You should inform yourself of other views, including those that might disagree.  </t>
    </r>
  </si>
  <si>
    <t>Bitcoin24</t>
  </si>
  <si>
    <t>Assumptions</t>
  </si>
  <si>
    <t>Results in Year 2045</t>
  </si>
  <si>
    <t>2024 BTC Price ($K)</t>
  </si>
  <si>
    <t>Bear</t>
  </si>
  <si>
    <t>Base</t>
  </si>
  <si>
    <t>Bull</t>
  </si>
  <si>
    <t>Choose Scenario -&gt;</t>
  </si>
  <si>
    <t>BTC Price ($M)</t>
  </si>
  <si>
    <t>2025 ARR</t>
  </si>
  <si>
    <t>BTC Mkt Cap ($T)</t>
  </si>
  <si>
    <t>ARR reduction each year</t>
  </si>
  <si>
    <t>21-Year ARR</t>
  </si>
  <si>
    <t>Steady State ARR</t>
  </si>
  <si>
    <t>% of Total Assets</t>
  </si>
  <si>
    <t>Output Table</t>
  </si>
  <si>
    <t>Year</t>
  </si>
  <si>
    <t>ARR</t>
  </si>
  <si>
    <t>Assets by Market Cap</t>
  </si>
  <si>
    <t>BTC Case Selected -&gt;</t>
  </si>
  <si>
    <t>Monetization</t>
  </si>
  <si>
    <t>Asset dilution</t>
  </si>
  <si>
    <t>Year Plotted -&gt;</t>
  </si>
  <si>
    <t>Gold</t>
  </si>
  <si>
    <t>Macro Inputs</t>
  </si>
  <si>
    <t>Art</t>
  </si>
  <si>
    <t>Inflation Growth</t>
  </si>
  <si>
    <t>Equity</t>
  </si>
  <si>
    <t>For Plotting chart</t>
  </si>
  <si>
    <t>Innovation Growth</t>
  </si>
  <si>
    <t>Real Estate</t>
  </si>
  <si>
    <t>BTC</t>
  </si>
  <si>
    <t>Bonds</t>
  </si>
  <si>
    <t>Annual Inefficiency</t>
  </si>
  <si>
    <t>Currency</t>
  </si>
  <si>
    <t>Yield / Interest Rate (Pre-tax)</t>
  </si>
  <si>
    <t>Entropy / Maint. Cost (Physical)</t>
  </si>
  <si>
    <t>Inflation Cost (Financial)</t>
  </si>
  <si>
    <t>Entropy / Maint. Cost (Digital)</t>
  </si>
  <si>
    <t>Results</t>
  </si>
  <si>
    <t>CAGR</t>
  </si>
  <si>
    <t>% of  Total</t>
  </si>
  <si>
    <t>Total</t>
  </si>
  <si>
    <t>24-25</t>
  </si>
  <si>
    <t>24-30</t>
  </si>
  <si>
    <t>24-35</t>
  </si>
  <si>
    <t>24-40</t>
  </si>
  <si>
    <t>24-45</t>
  </si>
  <si>
    <t>Market Cap ($T)</t>
  </si>
  <si>
    <t>BTC Price ($K)</t>
  </si>
  <si>
    <t>BTC Count (M)</t>
  </si>
  <si>
    <t>Total (Nominal) ($T)</t>
  </si>
  <si>
    <t>YoY growth</t>
  </si>
  <si>
    <t>Real (Adj. for Inflation)</t>
  </si>
  <si>
    <t>Real (Adj. for 2% CPI)</t>
  </si>
  <si>
    <t>Annual Inefficiency ($T)</t>
  </si>
  <si>
    <t>Total Inefficiency ($T)</t>
  </si>
  <si>
    <t>% of Assets</t>
  </si>
  <si>
    <t>Calculations</t>
  </si>
  <si>
    <t>Inflation growth</t>
  </si>
  <si>
    <t>Innovation growth</t>
  </si>
  <si>
    <t>CPI Growth</t>
  </si>
  <si>
    <t>Monetization factor</t>
  </si>
  <si>
    <t>BTC Price YoY increase</t>
  </si>
  <si>
    <t>YoY increase in Market Cap (inflation growth + innovation growth + monetization factor)</t>
  </si>
  <si>
    <t>Implied ARR (Tax Deferred)</t>
  </si>
  <si>
    <t>Entropy Cost (Physical)</t>
  </si>
  <si>
    <t>gold, art, equity, RE</t>
  </si>
  <si>
    <t>bonds, currency</t>
  </si>
  <si>
    <t>Entropy Cost (Digital)</t>
  </si>
  <si>
    <t>Total Inefficiency</t>
  </si>
  <si>
    <t>Individual Micro Model</t>
  </si>
  <si>
    <t>Strategy -&gt;</t>
  </si>
  <si>
    <t>BTC Case -&gt;</t>
  </si>
  <si>
    <t>SelectedCase</t>
  </si>
  <si>
    <t>Annual Figures</t>
  </si>
  <si>
    <t>Starting BTC (#)</t>
  </si>
  <si>
    <t>Assets (excl. BTC) breakdown:</t>
  </si>
  <si>
    <t>Mortgage ($K)</t>
  </si>
  <si>
    <t>Assets</t>
  </si>
  <si>
    <t>Debt</t>
  </si>
  <si>
    <t>Net Assets</t>
  </si>
  <si>
    <t>BTC (#)</t>
  </si>
  <si>
    <t>Assets excl. BTC ($K)</t>
  </si>
  <si>
    <t>Mortgage Cost</t>
  </si>
  <si>
    <t>Earnings ($K)</t>
  </si>
  <si>
    <t>Earnings Growth %</t>
  </si>
  <si>
    <t>Income Tax %</t>
  </si>
  <si>
    <t>Selection</t>
  </si>
  <si>
    <t>Portfolio converted to BTC</t>
  </si>
  <si>
    <t>Excess earnings converted to BTC</t>
  </si>
  <si>
    <t>Increased mortgage to invest in BTC</t>
  </si>
  <si>
    <t>Savings rate %</t>
  </si>
  <si>
    <t>% of Total</t>
  </si>
  <si>
    <t>USD K</t>
  </si>
  <si>
    <t>Excess earnings ($K)</t>
  </si>
  <si>
    <t># of BTC Purchased</t>
  </si>
  <si>
    <t># of BTC Count</t>
  </si>
  <si>
    <t>Assets ($K)</t>
  </si>
  <si>
    <t>Total Assets ($K)</t>
  </si>
  <si>
    <t>Debt ($K)</t>
  </si>
  <si>
    <t>Net Assets ($K)</t>
  </si>
  <si>
    <t>21-Year Forecast</t>
  </si>
  <si>
    <t>Scenario Comparison</t>
  </si>
  <si>
    <t>Corporate Micro Model</t>
  </si>
  <si>
    <t>Cash Flow ($M)</t>
  </si>
  <si>
    <t>Tax % (Int. Income)</t>
  </si>
  <si>
    <t>Adj. Share Price ($ / share)</t>
  </si>
  <si>
    <t>Market Cap</t>
  </si>
  <si>
    <t>Cash Flow Growth</t>
  </si>
  <si>
    <t>Debt ($M)</t>
  </si>
  <si>
    <t>Post-Tax Cash Yield %</t>
  </si>
  <si>
    <t>Enterprise Value ($M)</t>
  </si>
  <si>
    <t>Debt Cost %</t>
  </si>
  <si>
    <t>Dividend Tax %</t>
  </si>
  <si>
    <t>Valuation Multiple (xCF)</t>
  </si>
  <si>
    <t>Cash ($M)</t>
  </si>
  <si>
    <t>Share Price ($/share)</t>
  </si>
  <si>
    <t>Mkt. Cap ($M)</t>
  </si>
  <si>
    <t># of Shares</t>
  </si>
  <si>
    <t>Treasury converted to BTC</t>
  </si>
  <si>
    <t>Cash flow invested in BTC</t>
  </si>
  <si>
    <t>Equity issued p.a. (% dilution)</t>
  </si>
  <si>
    <t>BTC NAV Premium</t>
  </si>
  <si>
    <t>Debt issued p.a. (% LTV cap)</t>
  </si>
  <si>
    <t>USD M</t>
  </si>
  <si>
    <t>Balance Sheet ($M)</t>
  </si>
  <si>
    <t>BTC ($M)</t>
  </si>
  <si>
    <t>Net Debt</t>
  </si>
  <si>
    <t>% of BTC</t>
  </si>
  <si>
    <t>- Cash (Treasury)</t>
  </si>
  <si>
    <t>- Debt</t>
  </si>
  <si>
    <t>Cash Flows ($M)</t>
  </si>
  <si>
    <t>Cash Flow</t>
  </si>
  <si>
    <t>Net Interest Expense</t>
  </si>
  <si>
    <t>Debt Issuance</t>
  </si>
  <si>
    <t>Equity Issuance</t>
  </si>
  <si>
    <t>Dividends</t>
  </si>
  <si>
    <t>BTC Purchase</t>
  </si>
  <si>
    <t>Net Change in Cash ($M)</t>
  </si>
  <si>
    <t>Valuation ($M)</t>
  </si>
  <si>
    <t>Market Value of Operations</t>
  </si>
  <si>
    <t>Less: Net Debt</t>
  </si>
  <si>
    <t>Add: BTC</t>
  </si>
  <si>
    <t>Add: BTC NAV Premium</t>
  </si>
  <si>
    <t>Market Cap ($M)</t>
  </si>
  <si>
    <t># of Shares (M)</t>
  </si>
  <si>
    <t>Share Price ($ / share)</t>
  </si>
  <si>
    <t>Post-Tax Dividends ($ / share)</t>
  </si>
  <si>
    <t>FCF</t>
  </si>
  <si>
    <t>Inv. Gain on Cash</t>
  </si>
  <si>
    <t>Debt Issued</t>
  </si>
  <si>
    <t>Interest Expense</t>
  </si>
  <si>
    <t>Cashflow to Equity ($M)</t>
  </si>
  <si>
    <t>Equity Issued</t>
  </si>
  <si>
    <t>Shares Issued</t>
  </si>
  <si>
    <t>Cashflow for BTC Purchase ($M)</t>
  </si>
  <si>
    <t>BTC Bought</t>
  </si>
  <si>
    <t>Change in Cash ($M)</t>
  </si>
  <si>
    <t>Opening Cash ($M)</t>
  </si>
  <si>
    <t>Closing Cash ($M)</t>
  </si>
  <si>
    <t>Opening BTC ($M)</t>
  </si>
  <si>
    <t>Closing BTC ($M)</t>
  </si>
  <si>
    <t>Opening Debt ($M)</t>
  </si>
  <si>
    <t>Closing Debt ($M)</t>
  </si>
  <si>
    <t>Net Debt as % of BTC</t>
  </si>
  <si>
    <t>FCF ($M)</t>
  </si>
  <si>
    <t>Valuation (xFCF)</t>
  </si>
  <si>
    <t>Mkt Value of Operations ($M)</t>
  </si>
  <si>
    <t>Add: Closing Cash</t>
  </si>
  <si>
    <t>Less: Closing Debt</t>
  </si>
  <si>
    <t>Add: Closing BTC</t>
  </si>
  <si>
    <t>Opening # of Shares</t>
  </si>
  <si>
    <t>Closing # of Shares</t>
  </si>
  <si>
    <t>Share Price ($/Share)</t>
  </si>
  <si>
    <t>YoY Growth</t>
  </si>
  <si>
    <t>Post-Tax Dividend/Share ($/Share)</t>
  </si>
  <si>
    <t>For investor owning 1 share at the beginning:</t>
  </si>
  <si>
    <t>Opening sharecount</t>
  </si>
  <si>
    <t># of shares purchased (per share)</t>
  </si>
  <si>
    <t>Closing sharecount</t>
  </si>
  <si>
    <t>Share Price Adjusted for Dividends ($/Share)</t>
  </si>
  <si>
    <t>Institution Micro Model</t>
  </si>
  <si>
    <t>Assets excl. BTC ($M)</t>
  </si>
  <si>
    <t>Assets ($M)</t>
  </si>
  <si>
    <t>Total Assets ($M)</t>
  </si>
  <si>
    <t>Debt Drawn</t>
  </si>
  <si>
    <t>Interest PIK</t>
  </si>
  <si>
    <t>Net Assets ($M)</t>
  </si>
  <si>
    <t>Indebted Nation</t>
  </si>
  <si>
    <t>Growth:</t>
  </si>
  <si>
    <t>Revenue ($B)</t>
  </si>
  <si>
    <t xml:space="preserve">Revenue </t>
  </si>
  <si>
    <t>Expenditures ($B)</t>
  </si>
  <si>
    <t>Expenditures</t>
  </si>
  <si>
    <t>Debt ($B)</t>
  </si>
  <si>
    <t>Cost of Debt</t>
  </si>
  <si>
    <t>Assets excl. BTC ($B)</t>
  </si>
  <si>
    <t>Conversion program years</t>
  </si>
  <si>
    <t>Implied % converted per year</t>
  </si>
  <si>
    <t>% surplus swept to buy BTC</t>
  </si>
  <si>
    <t>Debt to buy BTC (% of Rev)</t>
  </si>
  <si>
    <t>USD B</t>
  </si>
  <si>
    <t>Cashflows ($B)</t>
  </si>
  <si>
    <t>Revenue</t>
  </si>
  <si>
    <t>Expenditure</t>
  </si>
  <si>
    <t>Surplus or Deficit ($B)</t>
  </si>
  <si>
    <t>Debt issued to cover deficit</t>
  </si>
  <si>
    <t>Debt issued to buy BTC</t>
  </si>
  <si>
    <t>Excess cashflow ($B)</t>
  </si>
  <si>
    <t>Conversion Program %</t>
  </si>
  <si>
    <t>Treasury Assets Sold</t>
  </si>
  <si>
    <t>Treasury ($B)</t>
  </si>
  <si>
    <t>Treasury Assets ($B)</t>
  </si>
  <si>
    <t>Opening Debt ($B)</t>
  </si>
  <si>
    <t>Net Assets ($B)</t>
  </si>
  <si>
    <t>21-Year Foreacast</t>
  </si>
  <si>
    <t>Assets ($B)</t>
  </si>
  <si>
    <t>Surplus converted to BTC</t>
  </si>
  <si>
    <t>Debt Issued to cover deficit</t>
  </si>
  <si>
    <t>Debt Issued to buy BTC</t>
  </si>
  <si>
    <t>Cashflow for Treasury ($B)</t>
  </si>
  <si>
    <t>Assets:</t>
  </si>
  <si>
    <t>Bitcoin (#M)</t>
  </si>
  <si>
    <t>Gold ($T)</t>
  </si>
  <si>
    <t>#M BTC bought (strat. res.)</t>
  </si>
  <si>
    <t>Purchase program years</t>
  </si>
  <si>
    <t>Debt issued (% of rev.)</t>
  </si>
  <si>
    <t>BTC Opening # (M)</t>
  </si>
  <si>
    <t>- Initial purchase program</t>
  </si>
  <si>
    <t>- Surplus purchases</t>
  </si>
  <si>
    <t>- Debt purchases</t>
  </si>
  <si>
    <t># of BTC Purchased (M)</t>
  </si>
  <si>
    <t>BTC Avg Price ($K)</t>
  </si>
  <si>
    <t>BTC Purchase Cost ($B)</t>
  </si>
  <si>
    <t># of BTC Count (M)</t>
  </si>
  <si>
    <t>Cum. BTC Avg Price ($K)</t>
  </si>
  <si>
    <t>Cum. BTC Purchase Cost ($B)</t>
  </si>
  <si>
    <t>Cashflows ($T)</t>
  </si>
  <si>
    <t>Surplus or Deficit ($T)</t>
  </si>
  <si>
    <t>BTC Purchase - Initial Program</t>
  </si>
  <si>
    <t>BTC Purchase from Surplus</t>
  </si>
  <si>
    <t>BTC Purchase from Debt</t>
  </si>
  <si>
    <t>Debt Issued or Repaid</t>
  </si>
  <si>
    <t>Cashflow for Treasury (excl. BTC) ($T)</t>
  </si>
  <si>
    <t>Treasury ($T)</t>
  </si>
  <si>
    <t>Bonds / Loans</t>
  </si>
  <si>
    <t>Treasury Assets ($T)</t>
  </si>
  <si>
    <t>Opening Debt ($T)</t>
  </si>
  <si>
    <t>Debt ($T)</t>
  </si>
  <si>
    <t>Net Assets ($T)</t>
  </si>
  <si>
    <t>Memo:</t>
  </si>
  <si>
    <t>BTC Investment Gain ($T)</t>
  </si>
  <si>
    <t>Surplus or Deficit</t>
  </si>
  <si>
    <t>Total ($T)</t>
  </si>
  <si>
    <t>Published in Feb 2023 by US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</si>
</sst>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4" formatCode="_(&quot;$&quot;* #,##0.00_);_(&quot;$&quot;* \(#,##0.00\);_(&quot;$&quot;* &quot;-&quot;??_);_(@_)"/>
    <numFmt numFmtId="164" formatCode="0.0%"/>
    <numFmt numFmtId="165" formatCode="&quot;$&quot;#,##0.0"/>
    <numFmt numFmtId="166" formatCode="&quot;$&quot;#,##0.0&quot;M&quot;"/>
    <numFmt numFmtId="167" formatCode="_(&quot;$&quot;* #,##0.0&quot;M&quot;_);_(&quot;$&quot;* \(#,##0.0\);_(&quot;$&quot;* &quot;-&quot;??_);_(@_)"/>
    <numFmt numFmtId="168" formatCode="_(&quot;$&quot;* #,##0&quot;T&quot;_);_(&quot;$&quot;* \(#,##0\);_(&quot;$&quot;* &quot;-&quot;??_);_(@_)"/>
    <numFmt numFmtId="169" formatCode="&quot;$&quot;#,##0"/>
    <numFmt numFmtId="170" formatCode="&quot;$&quot;#,##0.00"/>
    <numFmt numFmtId="171" formatCode="_(&quot;$&quot;* #,##0_);_(&quot;$&quot;* \(#,##0\);_(&quot;$&quot;* &quot;-&quot;??_);_(@_)"/>
    <numFmt numFmtId="172" formatCode="#,##0.0_);\(#,##0.0\)"/>
    <numFmt numFmtId="173" formatCode="0.0"/>
    <numFmt numFmtId="174" formatCode="_(&quot;$&quot;* #,##0.000_);_(&quot;$&quot;* \(#,##0.000\);_(&quot;$&quot;* &quot;-&quot;??_);_(@_)"/>
    <numFmt numFmtId="175" formatCode="&quot;$&quot;#,##0&quot;M&quot;"/>
    <numFmt numFmtId="176" formatCode="_(&quot;$&quot;* #,##0&quot;M&quot;_);_(&quot;$&quot;* \(#,##0&quot;M&quot;\);_(&quot;$&quot;* &quot;-&quot;??_);_(@_)"/>
    <numFmt numFmtId="177" formatCode="&quot;$&quot;#,##0.0&quot;K&quot;"/>
    <numFmt numFmtId="178" formatCode="&quot;$&quot;#,##0&quot;B&quot;"/>
    <numFmt numFmtId="179" formatCode="#,##0.0&quot;K&quot;"/>
    <numFmt numFmtId="180" formatCode="#,##0.0"/>
    <numFmt numFmtId="181" formatCode="_(&quot;$&quot;* #,##0&quot;B&quot;_);_(&quot;$&quot;* \(#,##0&quot;B&quot;\);_(&quot;$&quot;* &quot;-&quot;??_);_(@_)"/>
    <numFmt numFmtId="182" formatCode="&quot;$&quot;#,##0.0&quot;T&quot;"/>
    <numFmt numFmtId="183" formatCode="#,##0&quot;K&quot;"/>
    <numFmt numFmtId="184" formatCode="&quot;$&quot;#,##0&quot;T&quot;"/>
    <numFmt numFmtId="185" formatCode="#,##0.0&quot;M&quot;"/>
    <numFmt numFmtId="186" formatCode="0.000"/>
    <numFmt numFmtId="187" formatCode="#,##0.000"/>
    <numFmt numFmtId="188" formatCode="_(&quot;$&quot;* #,##0&quot;T&quot;_);_(&quot;$&quot;* \(#,##0\)&quot;T&quot;;_(&quot;$&quot;* &quot;-&quot;??_);_(@_)"/>
    <numFmt numFmtId="189" formatCode="0.0_);\(0.0\)"/>
    <numFmt numFmtId="190" formatCode="_(&quot;$&quot;* #,##0.0_);_(&quot;$&quot;* \(#,##0.0\);_(&quot;$&quot;* &quot;-&quot;??_);_(@_)"/>
  </numFmts>
  <fonts count="37">
    <font>
      <sz val="11"/>
      <color theme="1"/>
      <name val="Aptos Narrow"/>
      <scheme val="minor"/>
    </font>
    <font>
      <b/>
      <sz val="48"/>
      <color rgb="FF000000"/>
      <name val="Aptos Narrow"/>
    </font>
    <font>
      <sz val="11"/>
      <name val="Aptos Narrow"/>
    </font>
    <font>
      <b/>
      <i/>
      <sz val="11"/>
      <color theme="1"/>
      <name val="Aptos Narrow"/>
    </font>
    <font>
      <sz val="14"/>
      <color theme="1"/>
      <name val="Aptos Narrow"/>
    </font>
    <font>
      <sz val="11"/>
      <color theme="1"/>
      <name val="Aptos Narrow"/>
    </font>
    <font>
      <b/>
      <sz val="14"/>
      <color theme="1"/>
      <name val="Aptos Narrow"/>
    </font>
    <font>
      <b/>
      <sz val="14"/>
      <color theme="0"/>
      <name val="Aptos Narrow"/>
    </font>
    <font>
      <b/>
      <u/>
      <sz val="11"/>
      <color rgb="FF00B0F0"/>
      <name val="Aptos Narrow"/>
    </font>
    <font>
      <b/>
      <sz val="11"/>
      <color theme="1"/>
      <name val="Aptos Narrow"/>
    </font>
    <font>
      <i/>
      <sz val="11"/>
      <color theme="1"/>
      <name val="Aptos Narrow"/>
    </font>
    <font>
      <i/>
      <u/>
      <sz val="11"/>
      <color theme="10"/>
      <name val="Aptos Narrow"/>
    </font>
    <font>
      <sz val="11"/>
      <color theme="1"/>
      <name val="Aptos Narrow"/>
      <scheme val="minor"/>
    </font>
    <font>
      <sz val="11"/>
      <color rgb="FF000000"/>
      <name val="Aptos Narrow"/>
    </font>
    <font>
      <b/>
      <i/>
      <sz val="20"/>
      <color theme="1"/>
      <name val="Aptos Narrow"/>
    </font>
    <font>
      <b/>
      <i/>
      <u/>
      <sz val="11"/>
      <color rgb="FF0000FF"/>
      <name val="Aptos Narrow"/>
    </font>
    <font>
      <b/>
      <u/>
      <sz val="11"/>
      <color theme="0"/>
      <name val="Aptos Narrow"/>
    </font>
    <font>
      <i/>
      <sz val="11"/>
      <color rgb="FF0000FF"/>
      <name val="Aptos Narrow"/>
    </font>
    <font>
      <b/>
      <sz val="11"/>
      <color rgb="FF000000"/>
      <name val="Aptos Narrow"/>
    </font>
    <font>
      <i/>
      <sz val="11"/>
      <color rgb="FF000000"/>
      <name val="Aptos Narrow"/>
    </font>
    <font>
      <b/>
      <u/>
      <sz val="11"/>
      <color theme="1"/>
      <name val="Aptos Narrow"/>
    </font>
    <font>
      <b/>
      <i/>
      <sz val="20"/>
      <color rgb="FF000000"/>
      <name val="Aptos Narrow"/>
    </font>
    <font>
      <b/>
      <sz val="14"/>
      <color rgb="FF000000"/>
      <name val="Aptos Narrow"/>
    </font>
    <font>
      <b/>
      <u/>
      <sz val="12"/>
      <color theme="0"/>
      <name val="Aptos Narrow"/>
    </font>
    <font>
      <b/>
      <u/>
      <sz val="11"/>
      <color theme="4"/>
      <name val="Aptos Narrow"/>
    </font>
    <font>
      <sz val="11"/>
      <color theme="0"/>
      <name val="Aptos Narrow"/>
    </font>
    <font>
      <b/>
      <sz val="11"/>
      <color theme="0"/>
      <name val="Aptos Narrow"/>
    </font>
    <font>
      <sz val="11"/>
      <color rgb="FF0000FF"/>
      <name val="Aptos Narrow"/>
    </font>
    <font>
      <b/>
      <i/>
      <u/>
      <sz val="11"/>
      <color theme="1"/>
      <name val="Aptos Narrow"/>
    </font>
    <font>
      <i/>
      <u/>
      <sz val="11"/>
      <color theme="1"/>
      <name val="Aptos Narrow"/>
    </font>
    <font>
      <u/>
      <sz val="11"/>
      <color rgb="FF0000FF"/>
      <name val="Aptos Narrow"/>
    </font>
    <font>
      <u/>
      <sz val="11"/>
      <color theme="1"/>
      <name val="Aptos Narrow"/>
    </font>
    <font>
      <b/>
      <i/>
      <sz val="11"/>
      <color theme="0"/>
      <name val="Aptos Narrow"/>
    </font>
    <font>
      <sz val="11"/>
      <color rgb="FFFF0000"/>
      <name val="Aptos Narrow"/>
    </font>
    <font>
      <u/>
      <sz val="11"/>
      <color theme="10"/>
      <name val="Aptos Narrow"/>
    </font>
    <font>
      <u/>
      <sz val="11"/>
      <color rgb="FF000000"/>
      <name val="Arial"/>
    </font>
    <font>
      <sz val="11"/>
      <color rgb="FF000000"/>
      <name val="Arial"/>
    </font>
  </fonts>
  <fills count="12">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7931A"/>
        <bgColor rgb="FFF7931A"/>
      </patternFill>
    </fill>
    <fill>
      <patternFill patternType="solid">
        <fgColor rgb="FFFAE2D5"/>
        <bgColor rgb="FFFAE2D5"/>
      </patternFill>
    </fill>
    <fill>
      <patternFill patternType="solid">
        <fgColor rgb="FFFFFFCC"/>
        <bgColor rgb="FFFFFFCC"/>
      </patternFill>
    </fill>
    <fill>
      <patternFill patternType="solid">
        <fgColor rgb="FF152569"/>
        <bgColor rgb="FF152569"/>
      </patternFill>
    </fill>
    <fill>
      <patternFill patternType="solid">
        <fgColor rgb="FFFFC000"/>
        <bgColor rgb="FFFFC000"/>
      </patternFill>
    </fill>
    <fill>
      <patternFill patternType="solid">
        <fgColor rgb="FFD0D0D0"/>
        <bgColor rgb="FFD0D0D0"/>
      </patternFill>
    </fill>
    <fill>
      <patternFill patternType="solid">
        <fgColor rgb="FF7F7F7F"/>
        <bgColor rgb="FF7F7F7F"/>
      </patternFill>
    </fill>
    <fill>
      <patternFill patternType="solid">
        <fgColor rgb="FFC1E4F5"/>
        <bgColor rgb="FFC1E4F5"/>
      </patternFill>
    </fill>
  </fills>
  <borders count="34">
    <border>
      <left/>
      <right/>
      <top/>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thin">
        <color rgb="FF000000"/>
      </top>
      <bottom style="dotted">
        <color rgb="FF000000"/>
      </bottom>
      <diagonal/>
    </border>
    <border>
      <left style="dotted">
        <color rgb="FF000000"/>
      </left>
      <right style="dotted">
        <color rgb="FF000000"/>
      </right>
      <top/>
      <bottom style="dotted">
        <color rgb="FF000000"/>
      </bottom>
      <diagonal/>
    </border>
    <border>
      <left style="thin">
        <color rgb="FF000000"/>
      </left>
      <right/>
      <top style="thin">
        <color rgb="FF000000"/>
      </top>
      <bottom/>
      <diagonal/>
    </border>
    <border>
      <left style="dotted">
        <color rgb="FF000000"/>
      </left>
      <right style="dotted">
        <color rgb="FF000000"/>
      </right>
      <top style="dotted">
        <color rgb="FF000000"/>
      </top>
      <bottom style="dotted">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thin">
        <color rgb="FF000000"/>
      </right>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right/>
      <top style="dotted">
        <color rgb="FF000000"/>
      </top>
      <bottom/>
      <diagonal/>
    </border>
    <border>
      <left style="dotted">
        <color rgb="FF000000"/>
      </left>
      <right style="dotted">
        <color rgb="FF000000"/>
      </right>
      <top style="dotted">
        <color rgb="FF000000"/>
      </top>
      <bottom/>
      <diagonal/>
    </border>
    <border>
      <left/>
      <right/>
      <top style="thin">
        <color rgb="FF000000"/>
      </top>
      <bottom style="thin">
        <color rgb="FF000000"/>
      </bottom>
      <diagonal/>
    </border>
    <border>
      <left/>
      <right/>
      <top/>
      <bottom/>
      <diagonal/>
    </border>
    <border>
      <left/>
      <right/>
      <top/>
      <bottom style="thin">
        <color theme="0"/>
      </bottom>
      <diagonal/>
    </border>
  </borders>
  <cellStyleXfs count="1">
    <xf numFmtId="0" fontId="0" fillId="0" borderId="0"/>
  </cellStyleXfs>
  <cellXfs count="280">
    <xf numFmtId="0" fontId="0" fillId="0" borderId="0" xfId="0"/>
    <xf numFmtId="0" fontId="5" fillId="0" borderId="0" xfId="0" applyFont="1" applyAlignment="1">
      <alignment horizontal="center"/>
    </xf>
    <xf numFmtId="0" fontId="7" fillId="4" borderId="1" xfId="0" applyFont="1" applyFill="1" applyBorder="1" applyAlignment="1">
      <alignment horizontal="center"/>
    </xf>
    <xf numFmtId="0" fontId="7" fillId="4" borderId="2" xfId="0" applyFont="1" applyFill="1" applyBorder="1" applyAlignment="1">
      <alignment horizontal="center"/>
    </xf>
    <xf numFmtId="0" fontId="7" fillId="4" borderId="3" xfId="0" applyFont="1" applyFill="1" applyBorder="1" applyAlignment="1">
      <alignment horizontal="center"/>
    </xf>
    <xf numFmtId="0" fontId="8" fillId="5" borderId="4" xfId="0" applyFont="1" applyFill="1" applyBorder="1" applyAlignment="1">
      <alignment horizontal="left"/>
    </xf>
    <xf numFmtId="0" fontId="9" fillId="6" borderId="5" xfId="0" applyFont="1" applyFill="1" applyBorder="1" applyAlignment="1">
      <alignment horizontal="left"/>
    </xf>
    <xf numFmtId="0" fontId="11" fillId="5" borderId="13" xfId="0" applyFont="1" applyFill="1" applyBorder="1" applyAlignment="1">
      <alignment horizontal="center" vertical="center"/>
    </xf>
    <xf numFmtId="0" fontId="12" fillId="0" borderId="0" xfId="0" applyFont="1"/>
    <xf numFmtId="0" fontId="14" fillId="0" borderId="11" xfId="0" applyFont="1" applyBorder="1"/>
    <xf numFmtId="0" fontId="5" fillId="0" borderId="11" xfId="0" applyFont="1" applyBorder="1"/>
    <xf numFmtId="0" fontId="6" fillId="0" borderId="11" xfId="0" applyFont="1" applyBorder="1"/>
    <xf numFmtId="164" fontId="5" fillId="0" borderId="0" xfId="0" applyNumberFormat="1" applyFont="1" applyAlignment="1">
      <alignment horizontal="right"/>
    </xf>
    <xf numFmtId="164" fontId="15" fillId="0" borderId="0" xfId="0" applyNumberFormat="1" applyFont="1" applyAlignment="1">
      <alignment horizontal="center"/>
    </xf>
    <xf numFmtId="165" fontId="17" fillId="6" borderId="7" xfId="0" applyNumberFormat="1" applyFont="1" applyFill="1" applyBorder="1"/>
    <xf numFmtId="0" fontId="18" fillId="0" borderId="13" xfId="0" applyFont="1" applyBorder="1" applyAlignment="1">
      <alignment horizontal="center"/>
    </xf>
    <xf numFmtId="0" fontId="3" fillId="5" borderId="14" xfId="0" applyFont="1" applyFill="1" applyBorder="1" applyAlignment="1">
      <alignment horizontal="center"/>
    </xf>
    <xf numFmtId="164" fontId="3" fillId="5" borderId="15" xfId="0" applyNumberFormat="1" applyFont="1" applyFill="1" applyBorder="1" applyAlignment="1">
      <alignment horizontal="center"/>
    </xf>
    <xf numFmtId="0" fontId="5" fillId="0" borderId="0" xfId="0" applyFont="1" applyAlignment="1">
      <alignment horizontal="right"/>
    </xf>
    <xf numFmtId="166" fontId="3" fillId="5" borderId="16" xfId="0" applyNumberFormat="1" applyFont="1" applyFill="1" applyBorder="1" applyAlignment="1">
      <alignment horizontal="center"/>
    </xf>
    <xf numFmtId="164" fontId="3" fillId="5" borderId="16" xfId="0" applyNumberFormat="1" applyFont="1" applyFill="1" applyBorder="1" applyAlignment="1">
      <alignment horizontal="center"/>
    </xf>
    <xf numFmtId="164" fontId="3" fillId="5" borderId="17" xfId="0" applyNumberFormat="1" applyFont="1" applyFill="1" applyBorder="1" applyAlignment="1">
      <alignment horizontal="center"/>
    </xf>
    <xf numFmtId="0" fontId="10" fillId="0" borderId="0" xfId="0" applyFont="1" applyAlignment="1">
      <alignment horizontal="right"/>
    </xf>
    <xf numFmtId="167" fontId="5" fillId="0" borderId="18" xfId="0" applyNumberFormat="1" applyFont="1" applyBorder="1"/>
    <xf numFmtId="167" fontId="5" fillId="0" borderId="8" xfId="0" applyNumberFormat="1" applyFont="1" applyBorder="1"/>
    <xf numFmtId="167" fontId="5" fillId="0" borderId="0" xfId="0" applyNumberFormat="1" applyFont="1"/>
    <xf numFmtId="167" fontId="5" fillId="0" borderId="9" xfId="0" applyNumberFormat="1" applyFont="1" applyBorder="1"/>
    <xf numFmtId="164" fontId="19" fillId="0" borderId="19" xfId="0" applyNumberFormat="1" applyFont="1" applyBorder="1"/>
    <xf numFmtId="164" fontId="17" fillId="6" borderId="20" xfId="0" applyNumberFormat="1" applyFont="1" applyFill="1" applyBorder="1"/>
    <xf numFmtId="164" fontId="17" fillId="6" borderId="21" xfId="0" applyNumberFormat="1" applyFont="1" applyFill="1" applyBorder="1"/>
    <xf numFmtId="164" fontId="17" fillId="6" borderId="22" xfId="0" applyNumberFormat="1" applyFont="1" applyFill="1" applyBorder="1"/>
    <xf numFmtId="168" fontId="5" fillId="0" borderId="18" xfId="0" applyNumberFormat="1" applyFont="1" applyBorder="1"/>
    <xf numFmtId="168" fontId="5" fillId="0" borderId="8" xfId="0" applyNumberFormat="1" applyFont="1" applyBorder="1"/>
    <xf numFmtId="168" fontId="5" fillId="0" borderId="0" xfId="0" applyNumberFormat="1" applyFont="1"/>
    <xf numFmtId="168" fontId="5" fillId="0" borderId="9" xfId="0" applyNumberFormat="1" applyFont="1" applyBorder="1"/>
    <xf numFmtId="164" fontId="10" fillId="0" borderId="0" xfId="0" applyNumberFormat="1" applyFont="1" applyAlignment="1">
      <alignment horizontal="right"/>
    </xf>
    <xf numFmtId="164" fontId="19" fillId="0" borderId="18" xfId="0" applyNumberFormat="1" applyFont="1" applyBorder="1"/>
    <xf numFmtId="164" fontId="17" fillId="6" borderId="23" xfId="0" applyNumberFormat="1" applyFont="1" applyFill="1" applyBorder="1"/>
    <xf numFmtId="164" fontId="17" fillId="6" borderId="7" xfId="0" applyNumberFormat="1" applyFont="1" applyFill="1" applyBorder="1"/>
    <xf numFmtId="164" fontId="17" fillId="6" borderId="24" xfId="0" applyNumberFormat="1" applyFont="1" applyFill="1" applyBorder="1"/>
    <xf numFmtId="164" fontId="10" fillId="0" borderId="18" xfId="0" applyNumberFormat="1" applyFont="1" applyBorder="1"/>
    <xf numFmtId="164" fontId="19" fillId="0" borderId="8" xfId="0" applyNumberFormat="1" applyFont="1" applyBorder="1"/>
    <xf numFmtId="164" fontId="19" fillId="0" borderId="0" xfId="0" applyNumberFormat="1" applyFont="1"/>
    <xf numFmtId="164" fontId="19" fillId="0" borderId="9" xfId="0" applyNumberFormat="1" applyFont="1" applyBorder="1"/>
    <xf numFmtId="164" fontId="19" fillId="0" borderId="25" xfId="0" applyNumberFormat="1" applyFont="1" applyBorder="1"/>
    <xf numFmtId="164" fontId="17" fillId="6" borderId="26" xfId="0" applyNumberFormat="1" applyFont="1" applyFill="1" applyBorder="1"/>
    <xf numFmtId="164" fontId="17" fillId="6" borderId="27" xfId="0" applyNumberFormat="1" applyFont="1" applyFill="1" applyBorder="1"/>
    <xf numFmtId="164" fontId="17" fillId="6" borderId="28" xfId="0" applyNumberFormat="1" applyFont="1" applyFill="1" applyBorder="1"/>
    <xf numFmtId="164" fontId="10" fillId="0" borderId="25" xfId="0" applyNumberFormat="1" applyFont="1" applyBorder="1"/>
    <xf numFmtId="164" fontId="19" fillId="0" borderId="10" xfId="0" applyNumberFormat="1" applyFont="1" applyBorder="1"/>
    <xf numFmtId="164" fontId="19" fillId="0" borderId="11" xfId="0" applyNumberFormat="1" applyFont="1" applyBorder="1"/>
    <xf numFmtId="164" fontId="19" fillId="0" borderId="12" xfId="0" applyNumberFormat="1" applyFont="1" applyBorder="1"/>
    <xf numFmtId="169" fontId="5" fillId="0" borderId="0" xfId="0" applyNumberFormat="1" applyFont="1"/>
    <xf numFmtId="170" fontId="5" fillId="0" borderId="0" xfId="0" applyNumberFormat="1" applyFont="1" applyAlignment="1">
      <alignment horizontal="center"/>
    </xf>
    <xf numFmtId="0" fontId="5" fillId="0" borderId="29" xfId="0" applyFont="1" applyBorder="1" applyAlignment="1">
      <alignment horizontal="center"/>
    </xf>
    <xf numFmtId="170" fontId="5" fillId="0" borderId="29" xfId="0" applyNumberFormat="1" applyFont="1" applyBorder="1" applyAlignment="1">
      <alignment horizontal="center"/>
    </xf>
    <xf numFmtId="164" fontId="10" fillId="0" borderId="29" xfId="0" applyNumberFormat="1" applyFont="1" applyBorder="1"/>
    <xf numFmtId="164" fontId="10" fillId="0" borderId="0" xfId="0" applyNumberFormat="1" applyFont="1"/>
    <xf numFmtId="165" fontId="5" fillId="0" borderId="29" xfId="0" applyNumberFormat="1" applyFont="1" applyBorder="1" applyAlignment="1">
      <alignment horizontal="center"/>
    </xf>
    <xf numFmtId="165" fontId="5" fillId="0" borderId="0" xfId="0" applyNumberFormat="1" applyFont="1" applyAlignment="1">
      <alignment horizontal="center"/>
    </xf>
    <xf numFmtId="0" fontId="21" fillId="0" borderId="11" xfId="0" applyFont="1" applyBorder="1"/>
    <xf numFmtId="0" fontId="22" fillId="0" borderId="11" xfId="0" applyFont="1" applyBorder="1"/>
    <xf numFmtId="0" fontId="13" fillId="0" borderId="11" xfId="0" applyFont="1" applyBorder="1"/>
    <xf numFmtId="0" fontId="13" fillId="0" borderId="0" xfId="0" applyFont="1"/>
    <xf numFmtId="0" fontId="24" fillId="5" borderId="13" xfId="0" applyFont="1" applyFill="1" applyBorder="1" applyAlignment="1">
      <alignment horizontal="center" vertical="center"/>
    </xf>
    <xf numFmtId="171" fontId="10" fillId="0" borderId="0" xfId="0" applyNumberFormat="1" applyFont="1"/>
    <xf numFmtId="0" fontId="9" fillId="0" borderId="0" xfId="0" applyFont="1"/>
    <xf numFmtId="0" fontId="18" fillId="8" borderId="13" xfId="0" applyFont="1" applyFill="1" applyBorder="1"/>
    <xf numFmtId="10" fontId="17" fillId="6" borderId="7" xfId="0" applyNumberFormat="1" applyFont="1" applyFill="1" applyBorder="1"/>
    <xf numFmtId="0" fontId="9" fillId="9" borderId="16" xfId="0" applyFont="1" applyFill="1" applyBorder="1"/>
    <xf numFmtId="171" fontId="9" fillId="9" borderId="16" xfId="0" applyNumberFormat="1" applyFont="1" applyFill="1" applyBorder="1"/>
    <xf numFmtId="164" fontId="3" fillId="9" borderId="16" xfId="0" applyNumberFormat="1" applyFont="1" applyFill="1" applyBorder="1"/>
    <xf numFmtId="0" fontId="10" fillId="0" borderId="0" xfId="0" applyFont="1"/>
    <xf numFmtId="171" fontId="17" fillId="0" borderId="0" xfId="0" applyNumberFormat="1" applyFont="1"/>
    <xf numFmtId="0" fontId="10" fillId="0" borderId="0" xfId="0" applyFont="1" applyAlignment="1">
      <alignment horizontal="left"/>
    </xf>
    <xf numFmtId="171" fontId="19" fillId="0" borderId="0" xfId="0" applyNumberFormat="1" applyFont="1"/>
    <xf numFmtId="0" fontId="10" fillId="0" borderId="11" xfId="0" applyFont="1" applyBorder="1" applyAlignment="1">
      <alignment horizontal="left"/>
    </xf>
    <xf numFmtId="172" fontId="10" fillId="0" borderId="11" xfId="0" applyNumberFormat="1" applyFont="1" applyBorder="1"/>
    <xf numFmtId="164" fontId="10" fillId="0" borderId="11" xfId="0" applyNumberFormat="1" applyFont="1" applyBorder="1"/>
    <xf numFmtId="171" fontId="5" fillId="0" borderId="0" xfId="0" applyNumberFormat="1" applyFont="1"/>
    <xf numFmtId="171" fontId="27" fillId="6" borderId="7" xfId="0" applyNumberFormat="1" applyFont="1" applyFill="1" applyBorder="1"/>
    <xf numFmtId="171" fontId="27" fillId="6" borderId="30" xfId="0" applyNumberFormat="1" applyFont="1" applyFill="1" applyBorder="1"/>
    <xf numFmtId="0" fontId="9" fillId="5" borderId="16" xfId="0" applyFont="1" applyFill="1" applyBorder="1"/>
    <xf numFmtId="171" fontId="9" fillId="5" borderId="16" xfId="0" applyNumberFormat="1" applyFont="1" applyFill="1" applyBorder="1"/>
    <xf numFmtId="164" fontId="3" fillId="5" borderId="16" xfId="0" applyNumberFormat="1" applyFont="1" applyFill="1" applyBorder="1"/>
    <xf numFmtId="171" fontId="9" fillId="0" borderId="0" xfId="0" applyNumberFormat="1" applyFont="1"/>
    <xf numFmtId="164" fontId="3" fillId="0" borderId="0" xfId="0" applyNumberFormat="1" applyFont="1"/>
    <xf numFmtId="164" fontId="17" fillId="9" borderId="7" xfId="0" applyNumberFormat="1" applyFont="1" applyFill="1" applyBorder="1"/>
    <xf numFmtId="164" fontId="5" fillId="0" borderId="0" xfId="0" applyNumberFormat="1" applyFont="1"/>
    <xf numFmtId="1" fontId="5" fillId="0" borderId="0" xfId="0" applyNumberFormat="1" applyFont="1"/>
    <xf numFmtId="173" fontId="5" fillId="0" borderId="0" xfId="0" applyNumberFormat="1" applyFont="1"/>
    <xf numFmtId="0" fontId="5" fillId="0" borderId="11" xfId="0" applyFont="1" applyBorder="1" applyAlignment="1">
      <alignment horizontal="center"/>
    </xf>
    <xf numFmtId="0" fontId="9" fillId="0" borderId="13" xfId="0" applyFont="1" applyBorder="1" applyAlignment="1">
      <alignment horizontal="left" vertical="center"/>
    </xf>
    <xf numFmtId="0" fontId="9" fillId="8" borderId="13" xfId="0" applyFont="1" applyFill="1" applyBorder="1" applyAlignment="1">
      <alignment horizontal="center" vertical="center"/>
    </xf>
    <xf numFmtId="0" fontId="30" fillId="0" borderId="0" xfId="0" applyFont="1"/>
    <xf numFmtId="4" fontId="27" fillId="6" borderId="7" xfId="0" applyNumberFormat="1" applyFont="1" applyFill="1" applyBorder="1"/>
    <xf numFmtId="0" fontId="31" fillId="0" borderId="0" xfId="0" applyFont="1"/>
    <xf numFmtId="169" fontId="27" fillId="6" borderId="7" xfId="0" applyNumberFormat="1" applyFont="1" applyFill="1" applyBorder="1"/>
    <xf numFmtId="0" fontId="5" fillId="0" borderId="0" xfId="0" applyFont="1" applyAlignment="1">
      <alignment horizontal="left"/>
    </xf>
    <xf numFmtId="175" fontId="5" fillId="0" borderId="0" xfId="0" applyNumberFormat="1" applyFont="1" applyAlignment="1">
      <alignment horizontal="center"/>
    </xf>
    <xf numFmtId="173" fontId="5" fillId="0" borderId="0" xfId="0" applyNumberFormat="1" applyFont="1" applyAlignment="1">
      <alignment horizontal="center"/>
    </xf>
    <xf numFmtId="175" fontId="5" fillId="0" borderId="29" xfId="0" applyNumberFormat="1" applyFont="1" applyBorder="1" applyAlignment="1">
      <alignment horizontal="center"/>
    </xf>
    <xf numFmtId="173" fontId="5" fillId="0" borderId="29" xfId="0" applyNumberFormat="1" applyFont="1" applyBorder="1" applyAlignment="1">
      <alignment horizontal="center"/>
    </xf>
    <xf numFmtId="0" fontId="9" fillId="0" borderId="0" xfId="0" applyFont="1" applyAlignment="1">
      <alignment horizontal="center"/>
    </xf>
    <xf numFmtId="164" fontId="19" fillId="0" borderId="0" xfId="0" applyNumberFormat="1" applyFont="1" applyAlignment="1">
      <alignment horizontal="center"/>
    </xf>
    <xf numFmtId="169" fontId="17" fillId="6" borderId="7" xfId="0" applyNumberFormat="1" applyFont="1" applyFill="1" applyBorder="1"/>
    <xf numFmtId="169" fontId="19" fillId="0" borderId="0" xfId="0" applyNumberFormat="1" applyFont="1" applyAlignment="1">
      <alignment horizontal="center"/>
    </xf>
    <xf numFmtId="171" fontId="18" fillId="0" borderId="0" xfId="0" applyNumberFormat="1" applyFont="1"/>
    <xf numFmtId="172" fontId="13" fillId="0" borderId="0" xfId="0" applyNumberFormat="1" applyFont="1"/>
    <xf numFmtId="171" fontId="13" fillId="0" borderId="0" xfId="0" applyNumberFormat="1" applyFont="1"/>
    <xf numFmtId="171" fontId="18" fillId="5" borderId="16" xfId="0" applyNumberFormat="1" applyFont="1" applyFill="1" applyBorder="1"/>
    <xf numFmtId="176" fontId="5" fillId="0" borderId="0" xfId="0" applyNumberFormat="1" applyFont="1"/>
    <xf numFmtId="9" fontId="5" fillId="0" borderId="0" xfId="0" applyNumberFormat="1" applyFont="1"/>
    <xf numFmtId="0" fontId="5" fillId="0" borderId="31" xfId="0" applyFont="1" applyBorder="1" applyAlignment="1">
      <alignment horizontal="center"/>
    </xf>
    <xf numFmtId="0" fontId="9" fillId="0" borderId="13" xfId="0" applyFont="1" applyBorder="1" applyAlignment="1">
      <alignment horizontal="center" vertical="center"/>
    </xf>
    <xf numFmtId="0" fontId="5" fillId="0" borderId="31" xfId="0" applyFont="1" applyBorder="1"/>
    <xf numFmtId="173" fontId="5" fillId="0" borderId="0" xfId="0" applyNumberFormat="1" applyFont="1" applyAlignment="1">
      <alignment horizontal="right"/>
    </xf>
    <xf numFmtId="169" fontId="17" fillId="0" borderId="0" xfId="0" applyNumberFormat="1" applyFont="1"/>
    <xf numFmtId="169" fontId="10" fillId="0" borderId="0" xfId="0" applyNumberFormat="1" applyFont="1"/>
    <xf numFmtId="164" fontId="17" fillId="0" borderId="0" xfId="0" applyNumberFormat="1" applyFont="1"/>
    <xf numFmtId="177" fontId="5" fillId="0" borderId="0" xfId="0" applyNumberFormat="1" applyFont="1" applyAlignment="1">
      <alignment horizontal="center"/>
    </xf>
    <xf numFmtId="178" fontId="5" fillId="0" borderId="0" xfId="0" applyNumberFormat="1" applyFont="1" applyAlignment="1">
      <alignment horizontal="center"/>
    </xf>
    <xf numFmtId="179" fontId="5" fillId="0" borderId="0" xfId="0" applyNumberFormat="1" applyFont="1" applyAlignment="1">
      <alignment horizontal="center"/>
    </xf>
    <xf numFmtId="173" fontId="19" fillId="0" borderId="0" xfId="0" applyNumberFormat="1" applyFont="1"/>
    <xf numFmtId="173" fontId="17" fillId="0" borderId="0" xfId="0" applyNumberFormat="1" applyFont="1"/>
    <xf numFmtId="173" fontId="10" fillId="0" borderId="0" xfId="0" applyNumberFormat="1" applyFont="1"/>
    <xf numFmtId="177" fontId="5" fillId="0" borderId="29" xfId="0" applyNumberFormat="1" applyFont="1" applyBorder="1" applyAlignment="1">
      <alignment horizontal="center"/>
    </xf>
    <xf numFmtId="178" fontId="5" fillId="0" borderId="29" xfId="0" applyNumberFormat="1" applyFont="1" applyBorder="1" applyAlignment="1">
      <alignment horizontal="center"/>
    </xf>
    <xf numFmtId="179" fontId="5" fillId="0" borderId="29" xfId="0" applyNumberFormat="1" applyFont="1" applyBorder="1" applyAlignment="1">
      <alignment horizontal="center"/>
    </xf>
    <xf numFmtId="3" fontId="5" fillId="0" borderId="0" xfId="0" applyNumberFormat="1" applyFont="1"/>
    <xf numFmtId="3" fontId="10" fillId="0" borderId="0" xfId="0" applyNumberFormat="1" applyFont="1"/>
    <xf numFmtId="37" fontId="5" fillId="0" borderId="0" xfId="0" applyNumberFormat="1" applyFont="1"/>
    <xf numFmtId="9" fontId="10" fillId="0" borderId="0" xfId="0" applyNumberFormat="1" applyFont="1" applyAlignment="1">
      <alignment horizontal="right"/>
    </xf>
    <xf numFmtId="0" fontId="5" fillId="0" borderId="0" xfId="0" quotePrefix="1" applyFont="1" applyAlignment="1">
      <alignment horizontal="left"/>
    </xf>
    <xf numFmtId="180" fontId="10" fillId="0" borderId="0" xfId="0" applyNumberFormat="1" applyFont="1"/>
    <xf numFmtId="37" fontId="10" fillId="0" borderId="0" xfId="0" applyNumberFormat="1" applyFont="1"/>
    <xf numFmtId="171" fontId="33" fillId="0" borderId="0" xfId="0" applyNumberFormat="1" applyFont="1"/>
    <xf numFmtId="164" fontId="10" fillId="0" borderId="0" xfId="0" applyNumberFormat="1" applyFont="1" applyAlignment="1">
      <alignment vertical="top"/>
    </xf>
    <xf numFmtId="39" fontId="5" fillId="0" borderId="0" xfId="0" applyNumberFormat="1" applyFont="1"/>
    <xf numFmtId="0" fontId="5" fillId="0" borderId="11" xfId="0" applyFont="1" applyBorder="1" applyAlignment="1">
      <alignment horizontal="left"/>
    </xf>
    <xf numFmtId="181" fontId="5" fillId="0" borderId="0" xfId="0" applyNumberFormat="1" applyFont="1"/>
    <xf numFmtId="182" fontId="5" fillId="0" borderId="0" xfId="0" applyNumberFormat="1" applyFont="1" applyAlignment="1">
      <alignment horizontal="center"/>
    </xf>
    <xf numFmtId="183" fontId="5" fillId="0" borderId="0" xfId="0" applyNumberFormat="1" applyFont="1" applyAlignment="1">
      <alignment horizontal="center"/>
    </xf>
    <xf numFmtId="182" fontId="5" fillId="0" borderId="29" xfId="0" applyNumberFormat="1" applyFont="1" applyBorder="1" applyAlignment="1">
      <alignment horizontal="center"/>
    </xf>
    <xf numFmtId="183" fontId="5" fillId="0" borderId="29" xfId="0" applyNumberFormat="1" applyFont="1" applyBorder="1" applyAlignment="1">
      <alignment horizontal="center"/>
    </xf>
    <xf numFmtId="164" fontId="17" fillId="6" borderId="30" xfId="0" applyNumberFormat="1" applyFont="1" applyFill="1" applyBorder="1"/>
    <xf numFmtId="3" fontId="27" fillId="6" borderId="7" xfId="0" applyNumberFormat="1" applyFont="1" applyFill="1" applyBorder="1"/>
    <xf numFmtId="1" fontId="19" fillId="0" borderId="0" xfId="0" applyNumberFormat="1" applyFont="1"/>
    <xf numFmtId="183" fontId="5" fillId="0" borderId="0" xfId="0" applyNumberFormat="1" applyFont="1"/>
    <xf numFmtId="184" fontId="5" fillId="0" borderId="29" xfId="0" applyNumberFormat="1" applyFont="1" applyBorder="1" applyAlignment="1">
      <alignment horizontal="center"/>
    </xf>
    <xf numFmtId="184" fontId="5" fillId="0" borderId="0" xfId="0" applyNumberFormat="1" applyFont="1" applyAlignment="1">
      <alignment horizontal="center"/>
    </xf>
    <xf numFmtId="9" fontId="17" fillId="0" borderId="0" xfId="0" applyNumberFormat="1" applyFont="1"/>
    <xf numFmtId="9" fontId="10" fillId="0" borderId="0" xfId="0" applyNumberFormat="1" applyFont="1" applyAlignment="1">
      <alignment vertical="top"/>
    </xf>
    <xf numFmtId="0" fontId="9" fillId="0" borderId="0" xfId="0" applyFont="1" applyAlignment="1">
      <alignment horizontal="left"/>
    </xf>
    <xf numFmtId="0" fontId="34" fillId="0" borderId="0" xfId="0" applyFont="1"/>
    <xf numFmtId="182" fontId="9" fillId="0" borderId="0" xfId="0" applyNumberFormat="1" applyFont="1"/>
    <xf numFmtId="185" fontId="5" fillId="0" borderId="0" xfId="0" applyNumberFormat="1" applyFont="1" applyAlignment="1">
      <alignment horizontal="center"/>
    </xf>
    <xf numFmtId="165" fontId="5" fillId="0" borderId="0" xfId="0" applyNumberFormat="1" applyFont="1"/>
    <xf numFmtId="185" fontId="5" fillId="0" borderId="29" xfId="0" applyNumberFormat="1" applyFont="1" applyBorder="1" applyAlignment="1">
      <alignment horizontal="center"/>
    </xf>
    <xf numFmtId="185" fontId="5" fillId="0" borderId="0" xfId="0" applyNumberFormat="1" applyFont="1"/>
    <xf numFmtId="169" fontId="13" fillId="0" borderId="0" xfId="0" applyNumberFormat="1" applyFont="1"/>
    <xf numFmtId="180" fontId="5" fillId="0" borderId="0" xfId="0" applyNumberFormat="1" applyFont="1"/>
    <xf numFmtId="165" fontId="27" fillId="6" borderId="7" xfId="0" applyNumberFormat="1" applyFont="1" applyFill="1" applyBorder="1"/>
    <xf numFmtId="186" fontId="27" fillId="6" borderId="7" xfId="0" applyNumberFormat="1" applyFont="1" applyFill="1" applyBorder="1"/>
    <xf numFmtId="4" fontId="5" fillId="0" borderId="0" xfId="0" applyNumberFormat="1" applyFont="1"/>
    <xf numFmtId="180" fontId="13" fillId="0" borderId="0" xfId="0" applyNumberFormat="1" applyFont="1"/>
    <xf numFmtId="187" fontId="5" fillId="0" borderId="0" xfId="0" applyNumberFormat="1" applyFont="1"/>
    <xf numFmtId="169" fontId="5" fillId="0" borderId="0" xfId="0" applyNumberFormat="1" applyFont="1" applyAlignment="1">
      <alignment horizontal="right"/>
    </xf>
    <xf numFmtId="180" fontId="27" fillId="0" borderId="0" xfId="0" applyNumberFormat="1" applyFont="1"/>
    <xf numFmtId="188" fontId="5" fillId="0" borderId="0" xfId="0" applyNumberFormat="1" applyFont="1"/>
    <xf numFmtId="189" fontId="5" fillId="0" borderId="0" xfId="0" applyNumberFormat="1" applyFont="1"/>
    <xf numFmtId="190" fontId="5" fillId="0" borderId="0" xfId="0" applyNumberFormat="1" applyFont="1"/>
    <xf numFmtId="190" fontId="27" fillId="0" borderId="0" xfId="0" applyNumberFormat="1" applyFont="1"/>
    <xf numFmtId="190" fontId="9" fillId="5" borderId="16" xfId="0" applyNumberFormat="1" applyFont="1" applyFill="1" applyBorder="1"/>
    <xf numFmtId="44" fontId="5" fillId="0" borderId="0" xfId="0" applyNumberFormat="1" applyFont="1"/>
    <xf numFmtId="44" fontId="13" fillId="0" borderId="0" xfId="0" applyNumberFormat="1" applyFont="1"/>
    <xf numFmtId="190" fontId="13" fillId="0" borderId="0" xfId="0" applyNumberFormat="1" applyFont="1"/>
    <xf numFmtId="190" fontId="18" fillId="0" borderId="0" xfId="0" applyNumberFormat="1" applyFont="1"/>
    <xf numFmtId="187" fontId="27" fillId="0" borderId="0" xfId="0" applyNumberFormat="1" applyFont="1"/>
    <xf numFmtId="190" fontId="9" fillId="0" borderId="0" xfId="0" applyNumberFormat="1" applyFont="1"/>
    <xf numFmtId="0" fontId="4" fillId="0" borderId="0" xfId="0" applyFont="1" applyAlignment="1">
      <alignment horizontal="center"/>
    </xf>
    <xf numFmtId="0" fontId="3" fillId="3" borderId="32" xfId="0" applyFont="1" applyFill="1" applyBorder="1" applyAlignment="1">
      <alignment vertical="top" wrapText="1"/>
    </xf>
    <xf numFmtId="0" fontId="8" fillId="6" borderId="7" xfId="0" applyFont="1" applyFill="1" applyBorder="1" applyAlignment="1">
      <alignment horizontal="left"/>
    </xf>
    <xf numFmtId="164" fontId="3" fillId="5" borderId="31" xfId="0" applyNumberFormat="1" applyFont="1" applyFill="1" applyBorder="1" applyAlignment="1">
      <alignment horizontal="center"/>
    </xf>
    <xf numFmtId="0" fontId="18" fillId="8" borderId="19" xfId="0" applyFont="1" applyFill="1" applyBorder="1" applyAlignment="1">
      <alignment horizontal="center"/>
    </xf>
    <xf numFmtId="0" fontId="20" fillId="5" borderId="32" xfId="0" applyFont="1" applyFill="1" applyBorder="1" applyAlignment="1">
      <alignment horizontal="center"/>
    </xf>
    <xf numFmtId="169" fontId="20" fillId="5" borderId="32" xfId="0" applyNumberFormat="1" applyFont="1" applyFill="1" applyBorder="1" applyAlignment="1">
      <alignment horizontal="center"/>
    </xf>
    <xf numFmtId="0" fontId="18" fillId="0" borderId="14" xfId="0" applyFont="1" applyBorder="1" applyAlignment="1">
      <alignment horizontal="center" vertical="center"/>
    </xf>
    <xf numFmtId="0" fontId="20" fillId="0" borderId="0" xfId="0" applyFont="1"/>
    <xf numFmtId="0" fontId="20" fillId="9" borderId="32" xfId="0" applyFont="1" applyFill="1" applyBorder="1"/>
    <xf numFmtId="0" fontId="5" fillId="9" borderId="32" xfId="0" applyFont="1" applyFill="1" applyBorder="1"/>
    <xf numFmtId="171" fontId="5" fillId="9" borderId="32" xfId="0" applyNumberFormat="1" applyFont="1" applyFill="1" applyBorder="1"/>
    <xf numFmtId="164" fontId="10" fillId="9" borderId="32" xfId="0" applyNumberFormat="1" applyFont="1" applyFill="1" applyBorder="1"/>
    <xf numFmtId="0" fontId="25" fillId="10" borderId="32" xfId="0" applyFont="1" applyFill="1" applyBorder="1"/>
    <xf numFmtId="0" fontId="26" fillId="10" borderId="33" xfId="0" applyFont="1" applyFill="1" applyBorder="1" applyAlignment="1">
      <alignment horizontal="center"/>
    </xf>
    <xf numFmtId="0" fontId="16" fillId="10" borderId="32" xfId="0" applyFont="1" applyFill="1" applyBorder="1"/>
    <xf numFmtId="0" fontId="16" fillId="10" borderId="32" xfId="0" applyFont="1" applyFill="1" applyBorder="1" applyAlignment="1">
      <alignment horizontal="center"/>
    </xf>
    <xf numFmtId="0" fontId="20" fillId="11" borderId="32" xfId="0" applyFont="1" applyFill="1" applyBorder="1"/>
    <xf numFmtId="0" fontId="5" fillId="11" borderId="32" xfId="0" applyFont="1" applyFill="1" applyBorder="1"/>
    <xf numFmtId="10" fontId="5" fillId="11" borderId="32" xfId="0" applyNumberFormat="1" applyFont="1" applyFill="1" applyBorder="1"/>
    <xf numFmtId="164" fontId="10" fillId="11" borderId="32" xfId="0" applyNumberFormat="1" applyFont="1" applyFill="1" applyBorder="1"/>
    <xf numFmtId="0" fontId="9" fillId="0" borderId="16" xfId="0" applyFont="1" applyBorder="1"/>
    <xf numFmtId="171" fontId="9" fillId="0" borderId="16" xfId="0" applyNumberFormat="1" applyFont="1" applyBorder="1"/>
    <xf numFmtId="164" fontId="3" fillId="0" borderId="16" xfId="0" applyNumberFormat="1" applyFont="1" applyBorder="1"/>
    <xf numFmtId="0" fontId="9" fillId="5" borderId="32" xfId="0" applyFont="1" applyFill="1" applyBorder="1"/>
    <xf numFmtId="171" fontId="9" fillId="5" borderId="32" xfId="0" applyNumberFormat="1" applyFont="1" applyFill="1" applyBorder="1"/>
    <xf numFmtId="164" fontId="3" fillId="5" borderId="32" xfId="0" applyNumberFormat="1" applyFont="1" applyFill="1" applyBorder="1"/>
    <xf numFmtId="0" fontId="9" fillId="9" borderId="32" xfId="0" applyFont="1" applyFill="1" applyBorder="1"/>
    <xf numFmtId="9" fontId="19" fillId="9" borderId="32" xfId="0" applyNumberFormat="1" applyFont="1" applyFill="1" applyBorder="1"/>
    <xf numFmtId="9" fontId="10" fillId="9" borderId="32" xfId="0" applyNumberFormat="1" applyFont="1" applyFill="1" applyBorder="1"/>
    <xf numFmtId="0" fontId="28" fillId="9" borderId="32" xfId="0" applyFont="1" applyFill="1" applyBorder="1"/>
    <xf numFmtId="164" fontId="29" fillId="9" borderId="32" xfId="0" applyNumberFormat="1" applyFont="1" applyFill="1" applyBorder="1"/>
    <xf numFmtId="164" fontId="19" fillId="9" borderId="32" xfId="0" applyNumberFormat="1" applyFont="1" applyFill="1" applyBorder="1"/>
    <xf numFmtId="0" fontId="17" fillId="9" borderId="32" xfId="0" applyFont="1" applyFill="1" applyBorder="1"/>
    <xf numFmtId="44" fontId="5" fillId="9" borderId="32" xfId="0" applyNumberFormat="1" applyFont="1" applyFill="1" applyBorder="1"/>
    <xf numFmtId="9" fontId="5" fillId="9" borderId="32" xfId="0" applyNumberFormat="1" applyFont="1" applyFill="1" applyBorder="1"/>
    <xf numFmtId="0" fontId="10" fillId="9" borderId="32" xfId="0" applyFont="1" applyFill="1" applyBorder="1"/>
    <xf numFmtId="10" fontId="19" fillId="9" borderId="32" xfId="0" applyNumberFormat="1" applyFont="1" applyFill="1" applyBorder="1"/>
    <xf numFmtId="0" fontId="13" fillId="9" borderId="32" xfId="0" applyFont="1" applyFill="1" applyBorder="1"/>
    <xf numFmtId="10" fontId="17" fillId="9" borderId="32" xfId="0" applyNumberFormat="1" applyFont="1" applyFill="1" applyBorder="1"/>
    <xf numFmtId="174" fontId="5" fillId="9" borderId="32" xfId="0" applyNumberFormat="1" applyFont="1" applyFill="1" applyBorder="1"/>
    <xf numFmtId="0" fontId="9" fillId="0" borderId="14" xfId="0" applyFont="1" applyBorder="1" applyAlignment="1">
      <alignment horizontal="left" vertical="center"/>
    </xf>
    <xf numFmtId="0" fontId="5" fillId="0" borderId="15" xfId="0" applyFont="1" applyBorder="1"/>
    <xf numFmtId="0" fontId="24" fillId="5" borderId="15" xfId="0" applyFont="1" applyFill="1" applyBorder="1" applyAlignment="1">
      <alignment horizontal="center" vertical="center"/>
    </xf>
    <xf numFmtId="0" fontId="5" fillId="0" borderId="16" xfId="0" applyFont="1" applyBorder="1"/>
    <xf numFmtId="164" fontId="10" fillId="0" borderId="16" xfId="0" applyNumberFormat="1" applyFont="1" applyBorder="1"/>
    <xf numFmtId="0" fontId="26" fillId="10" borderId="32" xfId="0" applyFont="1" applyFill="1" applyBorder="1" applyAlignment="1">
      <alignment horizontal="center"/>
    </xf>
    <xf numFmtId="0" fontId="32" fillId="10" borderId="32" xfId="0" applyFont="1" applyFill="1" applyBorder="1"/>
    <xf numFmtId="171" fontId="18" fillId="5" borderId="32" xfId="0" applyNumberFormat="1" applyFont="1" applyFill="1" applyBorder="1"/>
    <xf numFmtId="164" fontId="10" fillId="5" borderId="32" xfId="0" applyNumberFormat="1" applyFont="1" applyFill="1" applyBorder="1"/>
    <xf numFmtId="0" fontId="5" fillId="5" borderId="32" xfId="0" applyFont="1" applyFill="1" applyBorder="1"/>
    <xf numFmtId="0" fontId="9" fillId="5" borderId="32" xfId="0" applyFont="1" applyFill="1" applyBorder="1" applyAlignment="1">
      <alignment horizontal="left"/>
    </xf>
    <xf numFmtId="172" fontId="18" fillId="5" borderId="32" xfId="0" applyNumberFormat="1" applyFont="1" applyFill="1" applyBorder="1"/>
    <xf numFmtId="171" fontId="5" fillId="11" borderId="32" xfId="0" applyNumberFormat="1" applyFont="1" applyFill="1" applyBorder="1"/>
    <xf numFmtId="0" fontId="9" fillId="0" borderId="14" xfId="0" applyFont="1" applyBorder="1" applyAlignment="1">
      <alignment horizontal="center" vertical="center"/>
    </xf>
    <xf numFmtId="0" fontId="20" fillId="5" borderId="32" xfId="0" applyFont="1" applyFill="1" applyBorder="1" applyAlignment="1">
      <alignment horizontal="center" wrapText="1"/>
    </xf>
    <xf numFmtId="0" fontId="20" fillId="5" borderId="32" xfId="0" applyFont="1" applyFill="1" applyBorder="1"/>
    <xf numFmtId="37" fontId="9" fillId="5" borderId="32" xfId="0" applyNumberFormat="1" applyFont="1" applyFill="1" applyBorder="1"/>
    <xf numFmtId="0" fontId="20" fillId="11" borderId="32" xfId="0" applyFont="1" applyFill="1" applyBorder="1" applyAlignment="1">
      <alignment horizontal="center"/>
    </xf>
    <xf numFmtId="0" fontId="20" fillId="0" borderId="16" xfId="0" applyFont="1" applyBorder="1"/>
    <xf numFmtId="0" fontId="20" fillId="0" borderId="16" xfId="0" applyFont="1" applyBorder="1" applyAlignment="1">
      <alignment horizontal="center"/>
    </xf>
    <xf numFmtId="0" fontId="9" fillId="0" borderId="16" xfId="0" applyFont="1" applyBorder="1" applyAlignment="1">
      <alignment horizontal="left"/>
    </xf>
    <xf numFmtId="0" fontId="5" fillId="0" borderId="15" xfId="0" applyFont="1" applyBorder="1" applyAlignment="1">
      <alignment horizontal="center"/>
    </xf>
    <xf numFmtId="3" fontId="9" fillId="5" borderId="32" xfId="0" applyNumberFormat="1" applyFont="1" applyFill="1" applyBorder="1"/>
    <xf numFmtId="0" fontId="23" fillId="7" borderId="32" xfId="0" applyFont="1" applyFill="1" applyBorder="1"/>
    <xf numFmtId="0" fontId="20" fillId="0" borderId="0" xfId="0" applyFont="1" applyAlignment="1">
      <alignment horizontal="center"/>
    </xf>
    <xf numFmtId="3" fontId="18" fillId="5" borderId="32" xfId="0" applyNumberFormat="1" applyFont="1" applyFill="1" applyBorder="1"/>
    <xf numFmtId="4" fontId="18" fillId="5" borderId="32" xfId="0" applyNumberFormat="1" applyFont="1" applyFill="1" applyBorder="1"/>
    <xf numFmtId="4" fontId="9" fillId="5" borderId="32" xfId="0" applyNumberFormat="1" applyFont="1" applyFill="1" applyBorder="1"/>
    <xf numFmtId="190" fontId="9" fillId="0" borderId="16" xfId="0" applyNumberFormat="1" applyFont="1" applyBorder="1"/>
    <xf numFmtId="190" fontId="9" fillId="5" borderId="32" xfId="0" applyNumberFormat="1" applyFont="1" applyFill="1" applyBorder="1"/>
    <xf numFmtId="0" fontId="6" fillId="0" borderId="14" xfId="0" applyFont="1" applyBorder="1" applyAlignment="1">
      <alignment horizontal="center"/>
    </xf>
    <xf numFmtId="0" fontId="2" fillId="0" borderId="15" xfId="0" applyFont="1" applyBorder="1" applyAlignment="1"/>
    <xf numFmtId="0" fontId="5" fillId="5" borderId="6" xfId="0" applyFont="1" applyFill="1" applyBorder="1" applyAlignment="1">
      <alignment horizontal="center" vertical="center" wrapText="1"/>
    </xf>
    <xf numFmtId="0" fontId="2" fillId="0" borderId="16" xfId="0" applyFont="1" applyBorder="1" applyAlignment="1"/>
    <xf numFmtId="0" fontId="2" fillId="0" borderId="17" xfId="0" applyFont="1" applyBorder="1" applyAlignment="1"/>
    <xf numFmtId="0" fontId="2" fillId="0" borderId="8" xfId="0" applyFont="1" applyBorder="1" applyAlignment="1"/>
    <xf numFmtId="0" fontId="0" fillId="0" borderId="0" xfId="0" applyAlignment="1"/>
    <xf numFmtId="0" fontId="2" fillId="0" borderId="9" xfId="0" applyFont="1" applyBorder="1" applyAlignment="1"/>
    <xf numFmtId="0" fontId="2" fillId="0" borderId="10" xfId="0" applyFont="1" applyBorder="1" applyAlignment="1"/>
    <xf numFmtId="0" fontId="2" fillId="0" borderId="11" xfId="0" applyFont="1" applyBorder="1" applyAlignment="1"/>
    <xf numFmtId="0" fontId="2" fillId="0" borderId="12" xfId="0" applyFont="1" applyBorder="1" applyAlignment="1"/>
    <xf numFmtId="0" fontId="5" fillId="6" borderId="6" xfId="0" applyFont="1" applyFill="1" applyBorder="1" applyAlignment="1">
      <alignment horizontal="center" vertical="center" wrapText="1"/>
    </xf>
    <xf numFmtId="0" fontId="10" fillId="5" borderId="14" xfId="0" applyFont="1" applyFill="1" applyBorder="1" applyAlignment="1">
      <alignment horizontal="center" vertical="center"/>
    </xf>
    <xf numFmtId="0" fontId="10" fillId="0" borderId="0" xfId="0" applyFont="1" applyAlignment="1">
      <alignment horizontal="center" vertical="center" wrapText="1"/>
    </xf>
    <xf numFmtId="0" fontId="13" fillId="0" borderId="0" xfId="0" applyFont="1" applyAlignment="1">
      <alignment horizontal="left" vertical="top" wrapText="1"/>
    </xf>
    <xf numFmtId="0" fontId="12" fillId="0" borderId="0" xfId="0" applyFont="1" applyAlignment="1"/>
    <xf numFmtId="0" fontId="1" fillId="2" borderId="32" xfId="0" applyFont="1" applyFill="1" applyBorder="1" applyAlignment="1">
      <alignment horizontal="center"/>
    </xf>
    <xf numFmtId="0" fontId="2" fillId="0" borderId="32" xfId="0" applyFont="1" applyBorder="1" applyAlignment="1"/>
    <xf numFmtId="0" fontId="4" fillId="0" borderId="0" xfId="0" applyFont="1" applyAlignment="1">
      <alignment horizontal="center"/>
    </xf>
    <xf numFmtId="0" fontId="6" fillId="3" borderId="32" xfId="0" applyFont="1" applyFill="1" applyBorder="1" applyAlignment="1">
      <alignment horizontal="center"/>
    </xf>
    <xf numFmtId="0" fontId="16" fillId="7" borderId="32" xfId="0" applyFont="1" applyFill="1" applyBorder="1" applyAlignment="1">
      <alignment horizontal="center"/>
    </xf>
    <xf numFmtId="0" fontId="23" fillId="7" borderId="32" xfId="0" applyFont="1" applyFill="1" applyBorder="1" applyAlignment="1">
      <alignment horizontal="center"/>
    </xf>
    <xf numFmtId="0" fontId="26" fillId="10" borderId="33" xfId="0" applyFont="1" applyFill="1" applyBorder="1" applyAlignment="1">
      <alignment horizontal="center"/>
    </xf>
    <xf numFmtId="0" fontId="2" fillId="0" borderId="33" xfId="0" applyFont="1" applyBorder="1" applyAlignment="1"/>
    <xf numFmtId="0" fontId="16" fillId="10" borderId="32" xfId="0" applyFont="1" applyFill="1" applyBorder="1" applyAlignment="1">
      <alignment horizontal="center"/>
    </xf>
    <xf numFmtId="169" fontId="20" fillId="5" borderId="32" xfId="0" applyNumberFormat="1" applyFont="1" applyFill="1" applyBorder="1" applyAlignment="1">
      <alignment horizontal="center" wrapText="1"/>
    </xf>
    <xf numFmtId="0" fontId="20" fillId="5" borderId="32" xfId="0" applyFont="1" applyFill="1" applyBorder="1" applyAlignment="1">
      <alignment horizontal="center" wrapText="1"/>
    </xf>
    <xf numFmtId="169" fontId="20" fillId="5" borderId="32" xfId="0" quotePrefix="1" applyNumberFormat="1" applyFont="1" applyFill="1" applyBorder="1" applyAlignment="1">
      <alignment horizontal="center" wrapText="1"/>
    </xf>
    <xf numFmtId="0" fontId="20" fillId="0" borderId="0" xfId="0" applyFont="1" applyAlignment="1">
      <alignment horizontal="center"/>
    </xf>
  </cellXfs>
  <cellStyles count="1">
    <cellStyle name="Normal" xfId="0" builtinId="0"/>
  </cellStyles>
  <dxfs count="6">
    <dxf>
      <font>
        <u/>
      </font>
      <fill>
        <patternFill patternType="solid">
          <fgColor rgb="FFD9F2D0"/>
          <bgColor rgb="FFD9F2D0"/>
        </patternFill>
      </fill>
    </dxf>
    <dxf>
      <font>
        <u/>
      </font>
      <fill>
        <patternFill patternType="solid">
          <fgColor rgb="FFD9F2D0"/>
          <bgColor rgb="FFD9F2D0"/>
        </patternFill>
      </fill>
    </dxf>
    <dxf>
      <font>
        <u/>
      </font>
      <fill>
        <patternFill patternType="solid">
          <fgColor rgb="FFD9F2D0"/>
          <bgColor rgb="FFD9F2D0"/>
        </patternFill>
      </fill>
    </dxf>
    <dxf>
      <font>
        <u/>
      </font>
      <fill>
        <patternFill patternType="solid">
          <fgColor rgb="FFD9F2D0"/>
          <bgColor rgb="FFD9F2D0"/>
        </patternFill>
      </fill>
    </dxf>
    <dxf>
      <font>
        <u/>
      </font>
      <fill>
        <patternFill patternType="solid">
          <fgColor rgb="FFD9F2D0"/>
          <bgColor rgb="FFD9F2D0"/>
        </patternFill>
      </fill>
    </dxf>
    <dxf>
      <font>
        <u/>
      </font>
      <fill>
        <patternFill patternType="solid">
          <fgColor rgb="FFD9F2D0"/>
          <bgColor rgb="FFD9F2D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000000"/>
                </a:solidFill>
                <a:latin typeface="+mn-lt"/>
              </a:defRPr>
            </a:pPr>
            <a:r>
              <a:rPr lang="en-US" sz="1400" b="1" i="0">
                <a:solidFill>
                  <a:srgbClr val="000000"/>
                </a:solidFill>
                <a:latin typeface="+mn-lt"/>
              </a:rPr>
              <a:t>2024-2045 BTC Forecast</a:t>
            </a:r>
          </a:p>
        </c:rich>
      </c:tx>
      <c:overlay val="0"/>
    </c:title>
    <c:autoTitleDeleted val="0"/>
    <c:plotArea>
      <c:layout>
        <c:manualLayout>
          <c:xMode val="edge"/>
          <c:yMode val="edge"/>
          <c:x val="1.2970627861731854E-2"/>
          <c:y val="6.6178730031331026E-2"/>
          <c:w val="0.98424107702101227"/>
          <c:h val="0.82892685993521831"/>
        </c:manualLayout>
      </c:layout>
      <c:barChart>
        <c:barDir val="col"/>
        <c:grouping val="clustered"/>
        <c:varyColors val="1"/>
        <c:ser>
          <c:idx val="0"/>
          <c:order val="0"/>
          <c:tx>
            <c:v>BTC Price ($M)</c:v>
          </c:tx>
          <c:spPr>
            <a:solidFill>
              <a:srgbClr val="FFAC00"/>
            </a:solidFill>
            <a:ln cmpd="sng">
              <a:solidFill>
                <a:srgbClr val="000000"/>
              </a:solidFill>
            </a:ln>
          </c:spPr>
          <c:invertIfNegative val="1"/>
          <c:dLbls>
            <c:spPr>
              <a:noFill/>
              <a:ln>
                <a:noFill/>
              </a:ln>
              <a:effectLst/>
            </c:spPr>
            <c:txPr>
              <a:bodyPr/>
              <a:lstStyle/>
              <a:p>
                <a:pPr lvl="0">
                  <a:defRPr sz="10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BTC!$B$14:$B$35</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BTC!$C$14:$C$35</c:f>
              <c:numCache>
                <c:formatCode>"$"#,##0.00</c:formatCode>
                <c:ptCount val="22"/>
                <c:pt idx="0">
                  <c:v>6.5000000000000002E-2</c:v>
                </c:pt>
                <c:pt idx="1">
                  <c:v>9.7500000000000003E-2</c:v>
                </c:pt>
                <c:pt idx="2">
                  <c:v>0.14381250000000001</c:v>
                </c:pt>
                <c:pt idx="3">
                  <c:v>0.20852812499999998</c:v>
                </c:pt>
                <c:pt idx="4">
                  <c:v>0.29715257812499996</c:v>
                </c:pt>
                <c:pt idx="5">
                  <c:v>0.41601360937499987</c:v>
                </c:pt>
                <c:pt idx="6" formatCode="&quot;$&quot;#,##0.0">
                  <c:v>0.57201871289062478</c:v>
                </c:pt>
                <c:pt idx="7" formatCode="&quot;$&quot;#,##0.0">
                  <c:v>0.77222526240234335</c:v>
                </c:pt>
                <c:pt idx="8" formatCode="&quot;$&quot;#,##0.0">
                  <c:v>1.0231984726831047</c:v>
                </c:pt>
                <c:pt idx="9" formatCode="&quot;$&quot;#,##0.0">
                  <c:v>1.3301580144880358</c:v>
                </c:pt>
                <c:pt idx="10" formatCode="&quot;$&quot;#,##0.0">
                  <c:v>1.6959514684722456</c:v>
                </c:pt>
                <c:pt idx="11" formatCode="&quot;$&quot;#,##0.0">
                  <c:v>2.1199393355903067</c:v>
                </c:pt>
                <c:pt idx="12" formatCode="&quot;$&quot;#,##0.0">
                  <c:v>2.5969256860981256</c:v>
                </c:pt>
                <c:pt idx="13" formatCode="&quot;$&quot;#,##0.0">
                  <c:v>3.1163108233177503</c:v>
                </c:pt>
                <c:pt idx="14" formatCode="&quot;$&quot;#,##0.0">
                  <c:v>3.7395729879813002</c:v>
                </c:pt>
                <c:pt idx="15" formatCode="&quot;$&quot;#,##0.0">
                  <c:v>4.4874875855775596</c:v>
                </c:pt>
                <c:pt idx="16" formatCode="&quot;$&quot;#,##0.0">
                  <c:v>5.3849851026930722</c:v>
                </c:pt>
                <c:pt idx="17" formatCode="&quot;$&quot;#,##0.0">
                  <c:v>6.4619821232316861</c:v>
                </c:pt>
                <c:pt idx="18" formatCode="&quot;$&quot;#,##0.0">
                  <c:v>7.7543785478780229</c:v>
                </c:pt>
                <c:pt idx="19" formatCode="&quot;$&quot;#,##0.0">
                  <c:v>9.3052542574536279</c:v>
                </c:pt>
                <c:pt idx="20" formatCode="&quot;$&quot;#,##0.0">
                  <c:v>11.166305108944352</c:v>
                </c:pt>
                <c:pt idx="21" formatCode="&quot;$&quot;#,##0.0">
                  <c:v>13.399566130733223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FEA-4F77-9C1E-BABD057BA72B}"/>
            </c:ext>
          </c:extLst>
        </c:ser>
        <c:dLbls>
          <c:showLegendKey val="0"/>
          <c:showVal val="0"/>
          <c:showCatName val="0"/>
          <c:showSerName val="0"/>
          <c:showPercent val="0"/>
          <c:showBubbleSize val="0"/>
        </c:dLbls>
        <c:gapWidth val="150"/>
        <c:axId val="1648983234"/>
        <c:axId val="1151479079"/>
      </c:barChart>
      <c:lineChart>
        <c:grouping val="standard"/>
        <c:varyColors val="0"/>
        <c:ser>
          <c:idx val="1"/>
          <c:order val="1"/>
          <c:tx>
            <c:v>Annual Growth Rate</c:v>
          </c:tx>
          <c:spPr>
            <a:ln w="28575" cmpd="sng">
              <a:solidFill>
                <a:srgbClr val="C00000">
                  <a:alpha val="100000"/>
                </a:srgbClr>
              </a:solidFill>
            </a:ln>
          </c:spPr>
          <c:marker>
            <c:symbol val="none"/>
          </c:marker>
          <c:dLbls>
            <c:spPr>
              <a:noFill/>
              <a:ln>
                <a:noFill/>
              </a:ln>
              <a:effectLst/>
            </c:spPr>
            <c:txPr>
              <a:bodyPr/>
              <a:lstStyle/>
              <a:p>
                <a:pPr lvl="0">
                  <a:defRPr sz="10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BTC!$B$14:$B$35</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BTC!$D$15:$D$35</c:f>
              <c:numCache>
                <c:formatCode>0.0%</c:formatCode>
                <c:ptCount val="21"/>
                <c:pt idx="0">
                  <c:v>0.5</c:v>
                </c:pt>
                <c:pt idx="1">
                  <c:v>0.47500000000000009</c:v>
                </c:pt>
                <c:pt idx="2">
                  <c:v>0.44999999999999973</c:v>
                </c:pt>
                <c:pt idx="3">
                  <c:v>0.42499999999999982</c:v>
                </c:pt>
                <c:pt idx="4">
                  <c:v>0.39999999999999969</c:v>
                </c:pt>
                <c:pt idx="5">
                  <c:v>0.375</c:v>
                </c:pt>
                <c:pt idx="6">
                  <c:v>0.34999999999999987</c:v>
                </c:pt>
                <c:pt idx="7">
                  <c:v>0.32499999999999973</c:v>
                </c:pt>
                <c:pt idx="8">
                  <c:v>0.29999999999999982</c:v>
                </c:pt>
                <c:pt idx="9">
                  <c:v>0.27499999999999991</c:v>
                </c:pt>
                <c:pt idx="10">
                  <c:v>0.24999999999999978</c:v>
                </c:pt>
                <c:pt idx="11">
                  <c:v>0.22499999999999987</c:v>
                </c:pt>
                <c:pt idx="12">
                  <c:v>0.19999999999999996</c:v>
                </c:pt>
                <c:pt idx="13">
                  <c:v>0.19999999999999996</c:v>
                </c:pt>
                <c:pt idx="14">
                  <c:v>0.19999999999999973</c:v>
                </c:pt>
                <c:pt idx="15">
                  <c:v>0.20000000000000018</c:v>
                </c:pt>
                <c:pt idx="16">
                  <c:v>0.19999999999999996</c:v>
                </c:pt>
                <c:pt idx="17">
                  <c:v>0.19999999999999996</c:v>
                </c:pt>
                <c:pt idx="18">
                  <c:v>0.19999999999999996</c:v>
                </c:pt>
                <c:pt idx="19">
                  <c:v>0.19999999999999973</c:v>
                </c:pt>
                <c:pt idx="20">
                  <c:v>0.20000000000000018</c:v>
                </c:pt>
              </c:numCache>
            </c:numRef>
          </c:val>
          <c:smooth val="0"/>
          <c:extLst>
            <c:ext xmlns:c16="http://schemas.microsoft.com/office/drawing/2014/chart" uri="{C3380CC4-5D6E-409C-BE32-E72D297353CC}">
              <c16:uniqueId val="{00000001-8FEA-4F77-9C1E-BABD057BA72B}"/>
            </c:ext>
          </c:extLst>
        </c:ser>
        <c:dLbls>
          <c:showLegendKey val="0"/>
          <c:showVal val="0"/>
          <c:showCatName val="0"/>
          <c:showSerName val="0"/>
          <c:showPercent val="0"/>
          <c:showBubbleSize val="0"/>
        </c:dLbls>
        <c:marker val="1"/>
        <c:smooth val="0"/>
        <c:axId val="1648983234"/>
        <c:axId val="1151479079"/>
      </c:lineChart>
      <c:catAx>
        <c:axId val="164898323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rot="-2700000"/>
          <a:lstStyle/>
          <a:p>
            <a:pPr lvl="0">
              <a:defRPr sz="1100" b="0" i="0">
                <a:solidFill>
                  <a:srgbClr val="000000"/>
                </a:solidFill>
                <a:latin typeface="+mn-lt"/>
              </a:defRPr>
            </a:pPr>
            <a:endParaRPr lang="en-US"/>
          </a:p>
        </c:txPr>
        <c:crossAx val="1151479079"/>
        <c:crosses val="autoZero"/>
        <c:auto val="1"/>
        <c:lblAlgn val="ctr"/>
        <c:lblOffset val="100"/>
        <c:noMultiLvlLbl val="1"/>
      </c:catAx>
      <c:valAx>
        <c:axId val="1151479079"/>
        <c:scaling>
          <c:orientation val="minMax"/>
        </c:scaling>
        <c:delete val="0"/>
        <c:axPos val="l"/>
        <c:title>
          <c:tx>
            <c:rich>
              <a:bodyPr/>
              <a:lstStyle/>
              <a:p>
                <a:pPr lvl="0">
                  <a:defRPr b="0">
                    <a:solidFill>
                      <a:srgbClr val="000000"/>
                    </a:solidFill>
                    <a:latin typeface="+mn-lt"/>
                  </a:defRPr>
                </a:pPr>
                <a:endParaRPr lang="en-US"/>
              </a:p>
            </c:rich>
          </c:tx>
          <c:overlay val="0"/>
        </c:title>
        <c:numFmt formatCode="&quot;$&quot;#,##0&quot;M&quot;" sourceLinked="0"/>
        <c:majorTickMark val="out"/>
        <c:minorTickMark val="none"/>
        <c:tickLblPos val="nextTo"/>
        <c:spPr>
          <a:ln/>
        </c:spPr>
        <c:txPr>
          <a:bodyPr/>
          <a:lstStyle/>
          <a:p>
            <a:pPr lvl="0">
              <a:defRPr sz="1100" b="0" i="0">
                <a:solidFill>
                  <a:srgbClr val="000000"/>
                </a:solidFill>
                <a:latin typeface="+mn-lt"/>
              </a:defRPr>
            </a:pPr>
            <a:endParaRPr lang="en-US"/>
          </a:p>
        </c:txPr>
        <c:crossAx val="1648983234"/>
        <c:crosses val="autoZero"/>
        <c:crossBetween val="between"/>
      </c:valAx>
    </c:plotArea>
    <c:legend>
      <c:legendPos val="t"/>
      <c:overlay val="0"/>
      <c:txPr>
        <a:bodyPr/>
        <a:lstStyle/>
        <a:p>
          <a:pPr lvl="0">
            <a:defRPr sz="1100" b="0" i="0">
              <a:solidFill>
                <a:srgbClr val="000000"/>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200" b="1" i="0">
                <a:solidFill>
                  <a:srgbClr val="000000"/>
                </a:solidFill>
                <a:latin typeface="+mn-lt"/>
              </a:defRPr>
            </a:pPr>
            <a:r>
              <a:rPr lang="en-US" sz="1200" b="1" i="0">
                <a:solidFill>
                  <a:srgbClr val="000000"/>
                </a:solidFill>
                <a:latin typeface="+mn-lt"/>
              </a:rPr>
              <a:t>Bitcoin Market Cap in 2045 ($T)</a:t>
            </a:r>
          </a:p>
        </c:rich>
      </c:tx>
      <c:overlay val="0"/>
    </c:title>
    <c:autoTitleDeleted val="0"/>
    <c:plotArea>
      <c:layout/>
      <c:barChart>
        <c:barDir val="col"/>
        <c:grouping val="clustered"/>
        <c:varyColors val="1"/>
        <c:ser>
          <c:idx val="0"/>
          <c:order val="0"/>
          <c:tx>
            <c:v>BTC Mkt Cap ($T)</c:v>
          </c:tx>
          <c:spPr>
            <a:solidFill>
              <a:srgbClr val="F7931A"/>
            </a:solidFill>
            <a:ln cmpd="sng">
              <a:solidFill>
                <a:srgbClr val="000000"/>
              </a:solidFill>
            </a:ln>
          </c:spPr>
          <c:invertIfNegative val="1"/>
          <c:dLbls>
            <c:spPr>
              <a:noFill/>
              <a:ln>
                <a:noFill/>
              </a:ln>
              <a:effectLst/>
            </c:spPr>
            <c:txPr>
              <a:bodyPr/>
              <a:lstStyle/>
              <a:p>
                <a:pPr lvl="0">
                  <a:defRPr sz="1100" b="1" i="0">
                    <a:solidFill>
                      <a:srgbClr val="000000"/>
                    </a:solidFill>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BTC!$K$5:$N$5</c:f>
              <c:strCache>
                <c:ptCount val="3"/>
                <c:pt idx="0">
                  <c:v>Bear</c:v>
                </c:pt>
                <c:pt idx="1">
                  <c:v>Base</c:v>
                </c:pt>
                <c:pt idx="2">
                  <c:v>Bull</c:v>
                </c:pt>
              </c:strCache>
            </c:strRef>
          </c:cat>
          <c:val>
            <c:numRef>
              <c:f>BTC!$K$7:$N$7</c:f>
              <c:numCache>
                <c:formatCode>_("$"* #,##0"T"_);_("$"* \(#,##0\);_("$"* "-"??_);_(@_)</c:formatCode>
                <c:ptCount val="3"/>
                <c:pt idx="0">
                  <c:v>68.135996506294546</c:v>
                </c:pt>
                <c:pt idx="1">
                  <c:v>280.96210262921426</c:v>
                </c:pt>
                <c:pt idx="2">
                  <c:v>1032.2087126748615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26-4597-8822-41AD16011BA4}"/>
            </c:ext>
          </c:extLst>
        </c:ser>
        <c:dLbls>
          <c:showLegendKey val="0"/>
          <c:showVal val="0"/>
          <c:showCatName val="0"/>
          <c:showSerName val="0"/>
          <c:showPercent val="0"/>
          <c:showBubbleSize val="0"/>
        </c:dLbls>
        <c:gapWidth val="150"/>
        <c:axId val="1628961324"/>
        <c:axId val="1108638085"/>
      </c:barChart>
      <c:catAx>
        <c:axId val="162896132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1100" b="1" i="0">
                <a:solidFill>
                  <a:srgbClr val="000000"/>
                </a:solidFill>
                <a:latin typeface="+mn-lt"/>
              </a:defRPr>
            </a:pPr>
            <a:endParaRPr lang="en-US"/>
          </a:p>
        </c:txPr>
        <c:crossAx val="1108638085"/>
        <c:crosses val="autoZero"/>
        <c:auto val="1"/>
        <c:lblAlgn val="ctr"/>
        <c:lblOffset val="100"/>
        <c:noMultiLvlLbl val="1"/>
      </c:catAx>
      <c:valAx>
        <c:axId val="1108638085"/>
        <c:scaling>
          <c:orientation val="minMax"/>
        </c:scaling>
        <c:delete val="0"/>
        <c:axPos val="l"/>
        <c:title>
          <c:tx>
            <c:rich>
              <a:bodyPr/>
              <a:lstStyle/>
              <a:p>
                <a:pPr lvl="0">
                  <a:defRPr b="0">
                    <a:solidFill>
                      <a:srgbClr val="000000"/>
                    </a:solidFill>
                    <a:latin typeface="+mn-lt"/>
                  </a:defRPr>
                </a:pPr>
                <a:endParaRPr lang="en-US"/>
              </a:p>
            </c:rich>
          </c:tx>
          <c:overlay val="0"/>
        </c:title>
        <c:numFmt formatCode="_(&quot;$&quot;* #,##0&quot;T&quot;_);_(&quot;$&quot;* \(#,##0\);_(&quot;$&quot;* &quot;-&quot;??_);_(@_)" sourceLinked="1"/>
        <c:majorTickMark val="none"/>
        <c:minorTickMark val="none"/>
        <c:tickLblPos val="nextTo"/>
        <c:spPr>
          <a:ln/>
        </c:spPr>
        <c:txPr>
          <a:bodyPr/>
          <a:lstStyle/>
          <a:p>
            <a:pPr lvl="0">
              <a:defRPr b="0">
                <a:solidFill>
                  <a:srgbClr val="000000"/>
                </a:solidFill>
                <a:latin typeface="+mn-lt"/>
              </a:defRPr>
            </a:pPr>
            <a:endParaRPr lang="en-US"/>
          </a:p>
        </c:txPr>
        <c:crossAx val="1628961324"/>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Net Assets </a:t>
            </a:r>
          </a:p>
        </c:rich>
      </c:tx>
      <c:overlay val="0"/>
    </c:title>
    <c:autoTitleDeleted val="0"/>
    <c:plotArea>
      <c:layout>
        <c:manualLayout>
          <c:xMode val="edge"/>
          <c:yMode val="edge"/>
          <c:x val="1.1785694591841376E-2"/>
          <c:y val="8.1456384984950891E-2"/>
          <c:w val="0.97909263901075672"/>
          <c:h val="0.7975842014533655"/>
        </c:manualLayout>
      </c:layout>
      <c:barChart>
        <c:barDir val="col"/>
        <c:grouping val="clustered"/>
        <c:varyColors val="1"/>
        <c:ser>
          <c:idx val="0"/>
          <c:order val="0"/>
          <c:spPr>
            <a:solidFill>
              <a:srgbClr val="FFAC00"/>
            </a:solidFill>
            <a:ln cmpd="sng">
              <a:solidFill>
                <a:srgbClr val="000000"/>
              </a:solidFill>
            </a:ln>
          </c:spPr>
          <c:invertIfNegative val="1"/>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Individual!$B$66:$B$70</c:f>
              <c:strCache>
                <c:ptCount val="5"/>
                <c:pt idx="0">
                  <c:v>Normie</c:v>
                </c:pt>
                <c:pt idx="1">
                  <c:v>BTC 10%</c:v>
                </c:pt>
                <c:pt idx="2">
                  <c:v>BTC Maxi</c:v>
                </c:pt>
                <c:pt idx="3">
                  <c:v>Double Maxi</c:v>
                </c:pt>
                <c:pt idx="4">
                  <c:v>Triple Maxi</c:v>
                </c:pt>
              </c:strCache>
            </c:strRef>
          </c:cat>
          <c:val>
            <c:numRef>
              <c:f>Individual!$C$66:$C$70</c:f>
              <c:numCache>
                <c:formatCode>_("$"* #,##0"M"_);_("$"* \(#,##0"M"\);_("$"* "-"??_);_(@_)</c:formatCode>
                <c:ptCount val="5"/>
                <c:pt idx="0">
                  <c:v>6.5048164465026801</c:v>
                </c:pt>
                <c:pt idx="1">
                  <c:v>19.160762026075282</c:v>
                </c:pt>
                <c:pt idx="2">
                  <c:v>107.75238108308346</c:v>
                </c:pt>
                <c:pt idx="3">
                  <c:v>158.48442332368464</c:v>
                </c:pt>
                <c:pt idx="4">
                  <c:v>213.2258302125592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390-4233-A5BD-A43229AAFD54}"/>
            </c:ext>
          </c:extLst>
        </c:ser>
        <c:dLbls>
          <c:showLegendKey val="0"/>
          <c:showVal val="0"/>
          <c:showCatName val="0"/>
          <c:showSerName val="0"/>
          <c:showPercent val="0"/>
          <c:showBubbleSize val="0"/>
        </c:dLbls>
        <c:gapWidth val="150"/>
        <c:axId val="427228973"/>
        <c:axId val="1050016934"/>
      </c:barChart>
      <c:catAx>
        <c:axId val="42722897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1050016934"/>
        <c:crosses val="autoZero"/>
        <c:auto val="1"/>
        <c:lblAlgn val="ctr"/>
        <c:lblOffset val="100"/>
        <c:noMultiLvlLbl val="1"/>
      </c:catAx>
      <c:valAx>
        <c:axId val="1050016934"/>
        <c:scaling>
          <c:orientation val="minMax"/>
        </c:scaling>
        <c:delete val="0"/>
        <c:axPos val="l"/>
        <c:title>
          <c:tx>
            <c:rich>
              <a:bodyPr/>
              <a:lstStyle/>
              <a:p>
                <a:pPr lvl="0">
                  <a:defRPr b="0">
                    <a:solidFill>
                      <a:srgbClr val="000000"/>
                    </a:solidFill>
                    <a:latin typeface="+mn-lt"/>
                  </a:defRPr>
                </a:pPr>
                <a:endParaRPr/>
              </a:p>
            </c:rich>
          </c:tx>
          <c:overlay val="0"/>
        </c:title>
        <c:numFmt formatCode="_(&quot;$&quot;* #,##0&quot;M&quot;_);_(&quot;$&quot;* \(#,##0&quot;M&quot;\);_(&quot;$&quot;* &quot;-&quot;??_);_(@_)" sourceLinked="1"/>
        <c:majorTickMark val="none"/>
        <c:minorTickMark val="none"/>
        <c:tickLblPos val="nextTo"/>
        <c:spPr>
          <a:ln/>
        </c:spPr>
        <c:txPr>
          <a:bodyPr/>
          <a:lstStyle/>
          <a:p>
            <a:pPr lvl="0">
              <a:defRPr b="0">
                <a:solidFill>
                  <a:srgbClr val="000000"/>
                </a:solidFill>
                <a:latin typeface="+mn-lt"/>
              </a:defRPr>
            </a:pPr>
            <a:endParaRPr lang="en-US"/>
          </a:p>
        </c:txPr>
        <c:crossAx val="427228973"/>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BTC (#)</a:t>
            </a:r>
          </a:p>
        </c:rich>
      </c:tx>
      <c:overlay val="0"/>
    </c:title>
    <c:autoTitleDeleted val="0"/>
    <c:plotArea>
      <c:layout>
        <c:manualLayout>
          <c:xMode val="edge"/>
          <c:yMode val="edge"/>
          <c:x val="3.0982917190469071E-3"/>
          <c:y val="7.4638464201838714E-2"/>
          <c:w val="0.97732148045648815"/>
          <c:h val="0.80572706532539329"/>
        </c:manualLayout>
      </c:layout>
      <c:barChart>
        <c:barDir val="col"/>
        <c:grouping val="clustered"/>
        <c:varyColors val="1"/>
        <c:ser>
          <c:idx val="0"/>
          <c:order val="0"/>
          <c:spPr>
            <a:solidFill>
              <a:srgbClr val="E97132"/>
            </a:solidFill>
            <a:ln cmpd="sng">
              <a:solidFill>
                <a:srgbClr val="000000"/>
              </a:solidFill>
            </a:ln>
          </c:spPr>
          <c:invertIfNegative val="1"/>
          <c:dLbls>
            <c:numFmt formatCode="0.0"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Individual!$B$66:$B$70</c:f>
              <c:strCache>
                <c:ptCount val="5"/>
                <c:pt idx="0">
                  <c:v>Normie</c:v>
                </c:pt>
                <c:pt idx="1">
                  <c:v>BTC 10%</c:v>
                </c:pt>
                <c:pt idx="2">
                  <c:v>BTC Maxi</c:v>
                </c:pt>
                <c:pt idx="3">
                  <c:v>Double Maxi</c:v>
                </c:pt>
                <c:pt idx="4">
                  <c:v>Triple Maxi</c:v>
                </c:pt>
              </c:strCache>
            </c:strRef>
          </c:cat>
          <c:val>
            <c:numRef>
              <c:f>Individual!$E$66:$E$70</c:f>
              <c:numCache>
                <c:formatCode>0.0</c:formatCode>
                <c:ptCount val="5"/>
                <c:pt idx="0">
                  <c:v>0</c:v>
                </c:pt>
                <c:pt idx="1">
                  <c:v>0.98805319617612719</c:v>
                </c:pt>
                <c:pt idx="2">
                  <c:v>7.9044255694090175</c:v>
                </c:pt>
                <c:pt idx="3">
                  <c:v>11.803608884838194</c:v>
                </c:pt>
                <c:pt idx="4">
                  <c:v>15.914910077368692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8FF-4584-B984-BABD01ED46F7}"/>
            </c:ext>
          </c:extLst>
        </c:ser>
        <c:dLbls>
          <c:showLegendKey val="0"/>
          <c:showVal val="0"/>
          <c:showCatName val="0"/>
          <c:showSerName val="0"/>
          <c:showPercent val="0"/>
          <c:showBubbleSize val="0"/>
        </c:dLbls>
        <c:gapWidth val="150"/>
        <c:axId val="211603922"/>
        <c:axId val="562045801"/>
      </c:barChart>
      <c:catAx>
        <c:axId val="21160392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562045801"/>
        <c:crosses val="autoZero"/>
        <c:auto val="1"/>
        <c:lblAlgn val="ctr"/>
        <c:lblOffset val="100"/>
        <c:noMultiLvlLbl val="1"/>
      </c:catAx>
      <c:valAx>
        <c:axId val="562045801"/>
        <c:scaling>
          <c:orientation val="minMax"/>
        </c:scaling>
        <c:delete val="0"/>
        <c:axPos val="l"/>
        <c:title>
          <c:tx>
            <c:rich>
              <a:bodyPr/>
              <a:lstStyle/>
              <a:p>
                <a:pPr lvl="0">
                  <a:defRPr b="0">
                    <a:solidFill>
                      <a:srgbClr val="000000"/>
                    </a:solidFill>
                    <a:latin typeface="+mn-lt"/>
                  </a:defRPr>
                </a:pPr>
                <a:endParaRPr/>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211603922"/>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000000"/>
                </a:solidFill>
                <a:latin typeface="+mn-lt"/>
              </a:defRPr>
            </a:pPr>
            <a:r>
              <a:rPr sz="1400" b="1" i="0">
                <a:solidFill>
                  <a:srgbClr val="000000"/>
                </a:solidFill>
                <a:latin typeface="+mn-lt"/>
              </a:rPr>
              <a:t>2024-2045 Forecast</a:t>
            </a:r>
          </a:p>
        </c:rich>
      </c:tx>
      <c:overlay val="0"/>
    </c:title>
    <c:autoTitleDeleted val="0"/>
    <c:plotArea>
      <c:layout>
        <c:manualLayout>
          <c:xMode val="edge"/>
          <c:yMode val="edge"/>
          <c:x val="0"/>
          <c:y val="0.10070267569791744"/>
          <c:w val="1"/>
          <c:h val="0.7998130351901791"/>
        </c:manualLayout>
      </c:layout>
      <c:barChart>
        <c:barDir val="col"/>
        <c:grouping val="clustered"/>
        <c:varyColors val="1"/>
        <c:ser>
          <c:idx val="0"/>
          <c:order val="0"/>
          <c:tx>
            <c:v>Net Assets</c:v>
          </c:tx>
          <c:spPr>
            <a:solidFill>
              <a:srgbClr val="FFAC00"/>
            </a:solidFill>
            <a:ln cmpd="sng">
              <a:solidFill>
                <a:srgbClr val="000000"/>
              </a:solidFill>
            </a:ln>
          </c:spPr>
          <c:invertIfNegative val="1"/>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Individual!$AK$5:$AK$26</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Individual!$AN$5:$AN$26</c:f>
              <c:numCache>
                <c:formatCode>"$"#,##0"M"</c:formatCode>
                <c:ptCount val="22"/>
                <c:pt idx="0">
                  <c:v>0.75</c:v>
                </c:pt>
                <c:pt idx="1">
                  <c:v>1.2295098039215686</c:v>
                </c:pt>
                <c:pt idx="2">
                  <c:v>1.9234710688196848</c:v>
                </c:pt>
                <c:pt idx="3">
                  <c:v>2.9046676898402577</c:v>
                </c:pt>
                <c:pt idx="4">
                  <c:v>4.2607436366461506</c:v>
                </c:pt>
                <c:pt idx="5">
                  <c:v>6.0928689699376282</c:v>
                </c:pt>
                <c:pt idx="6">
                  <c:v>8.5120481125663101</c:v>
                </c:pt>
                <c:pt idx="7">
                  <c:v>11.632445261559294</c:v>
                </c:pt>
                <c:pt idx="8">
                  <c:v>15.561311270811526</c:v>
                </c:pt>
                <c:pt idx="9">
                  <c:v>20.385493633409794</c:v>
                </c:pt>
                <c:pt idx="10">
                  <c:v>26.155100883081133</c:v>
                </c:pt>
                <c:pt idx="11">
                  <c:v>32.865633521621348</c:v>
                </c:pt>
                <c:pt idx="12">
                  <c:v>40.440686779773706</c:v>
                </c:pt>
                <c:pt idx="13">
                  <c:v>48.718019938387087</c:v>
                </c:pt>
                <c:pt idx="14">
                  <c:v>58.660410948597274</c:v>
                </c:pt>
                <c:pt idx="15">
                  <c:v>70.601357384351701</c:v>
                </c:pt>
                <c:pt idx="16">
                  <c:v>84.941080950384148</c:v>
                </c:pt>
                <c:pt idx="17">
                  <c:v>102.15987355465288</c:v>
                </c:pt>
                <c:pt idx="18">
                  <c:v>122.83411265833955</c:v>
                </c:pt>
                <c:pt idx="19">
                  <c:v>147.65547976211161</c:v>
                </c:pt>
                <c:pt idx="20">
                  <c:v>177.45402265925307</c:v>
                </c:pt>
                <c:pt idx="21">
                  <c:v>213.2258302125592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4FD-437B-82FD-4F454B61F28C}"/>
            </c:ext>
          </c:extLst>
        </c:ser>
        <c:dLbls>
          <c:showLegendKey val="0"/>
          <c:showVal val="0"/>
          <c:showCatName val="0"/>
          <c:showSerName val="0"/>
          <c:showPercent val="0"/>
          <c:showBubbleSize val="0"/>
        </c:dLbls>
        <c:gapWidth val="150"/>
        <c:axId val="1551093560"/>
        <c:axId val="528785820"/>
      </c:barChart>
      <c:lineChart>
        <c:grouping val="standard"/>
        <c:varyColors val="0"/>
        <c:ser>
          <c:idx val="1"/>
          <c:order val="1"/>
          <c:tx>
            <c:v>BTC (#)</c:v>
          </c:tx>
          <c:spPr>
            <a:ln w="28575" cmpd="sng">
              <a:solidFill>
                <a:srgbClr val="C00000">
                  <a:alpha val="100000"/>
                </a:srgbClr>
              </a:solidFill>
            </a:ln>
          </c:spPr>
          <c:marker>
            <c:symbol val="none"/>
          </c:marker>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Individual!$AK$5:$AK$26</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Individual!$AO$5:$AO$26</c:f>
              <c:numCache>
                <c:formatCode>0.0</c:formatCode>
                <c:ptCount val="22"/>
                <c:pt idx="0">
                  <c:v>11.538461538461538</c:v>
                </c:pt>
                <c:pt idx="1">
                  <c:v>12.615384615384615</c:v>
                </c:pt>
                <c:pt idx="2">
                  <c:v>13.382007822685788</c:v>
                </c:pt>
                <c:pt idx="3">
                  <c:v>13.93714876590388</c:v>
                </c:pt>
                <c:pt idx="4">
                  <c:v>14.346199987222473</c:v>
                </c:pt>
                <c:pt idx="5">
                  <c:v>14.652988403211419</c:v>
                </c:pt>
                <c:pt idx="6">
                  <c:v>14.887263193602976</c:v>
                </c:pt>
                <c:pt idx="7">
                  <c:v>15.069476919463078</c:v>
                </c:pt>
                <c:pt idx="8">
                  <c:v>15.213872702220138</c:v>
                </c:pt>
                <c:pt idx="9">
                  <c:v>15.330500065216226</c:v>
                </c:pt>
                <c:pt idx="10">
                  <c:v>15.426546128860062</c:v>
                </c:pt>
                <c:pt idx="11">
                  <c:v>15.507224822320886</c:v>
                </c:pt>
                <c:pt idx="12">
                  <c:v>15.576377988144449</c:v>
                </c:pt>
                <c:pt idx="13">
                  <c:v>15.636887008240066</c:v>
                </c:pt>
                <c:pt idx="14">
                  <c:v>15.689832400823731</c:v>
                </c:pt>
                <c:pt idx="15">
                  <c:v>15.736159619334437</c:v>
                </c:pt>
                <c:pt idx="16">
                  <c:v>15.776695935531306</c:v>
                </c:pt>
                <c:pt idx="17">
                  <c:v>15.812165212203565</c:v>
                </c:pt>
                <c:pt idx="18">
                  <c:v>15.843200829291792</c:v>
                </c:pt>
                <c:pt idx="19">
                  <c:v>15.870356994243991</c:v>
                </c:pt>
                <c:pt idx="20">
                  <c:v>15.894118638577165</c:v>
                </c:pt>
                <c:pt idx="21">
                  <c:v>15.914910077368692</c:v>
                </c:pt>
              </c:numCache>
            </c:numRef>
          </c:val>
          <c:smooth val="0"/>
          <c:extLst>
            <c:ext xmlns:c16="http://schemas.microsoft.com/office/drawing/2014/chart" uri="{C3380CC4-5D6E-409C-BE32-E72D297353CC}">
              <c16:uniqueId val="{00000001-54FD-437B-82FD-4F454B61F28C}"/>
            </c:ext>
          </c:extLst>
        </c:ser>
        <c:dLbls>
          <c:showLegendKey val="0"/>
          <c:showVal val="0"/>
          <c:showCatName val="0"/>
          <c:showSerName val="0"/>
          <c:showPercent val="0"/>
          <c:showBubbleSize val="0"/>
        </c:dLbls>
        <c:marker val="1"/>
        <c:smooth val="0"/>
        <c:axId val="1551093560"/>
        <c:axId val="528785820"/>
      </c:lineChart>
      <c:catAx>
        <c:axId val="155109356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1200" b="1" i="0">
                <a:solidFill>
                  <a:srgbClr val="000000"/>
                </a:solidFill>
                <a:latin typeface="+mn-lt"/>
              </a:defRPr>
            </a:pPr>
            <a:endParaRPr lang="en-US"/>
          </a:p>
        </c:txPr>
        <c:crossAx val="528785820"/>
        <c:crosses val="autoZero"/>
        <c:auto val="1"/>
        <c:lblAlgn val="ctr"/>
        <c:lblOffset val="100"/>
        <c:noMultiLvlLbl val="1"/>
      </c:catAx>
      <c:valAx>
        <c:axId val="528785820"/>
        <c:scaling>
          <c:orientation val="minMax"/>
        </c:scaling>
        <c:delete val="0"/>
        <c:axPos val="l"/>
        <c:title>
          <c:tx>
            <c:rich>
              <a:bodyPr/>
              <a:lstStyle/>
              <a:p>
                <a:pPr lvl="0">
                  <a:defRPr b="0">
                    <a:solidFill>
                      <a:srgbClr val="000000"/>
                    </a:solidFill>
                    <a:latin typeface="+mn-lt"/>
                  </a:defRPr>
                </a:pPr>
                <a:endParaRPr/>
              </a:p>
            </c:rich>
          </c:tx>
          <c:overlay val="0"/>
        </c:title>
        <c:numFmt formatCode="#,##0" sourceLinked="0"/>
        <c:majorTickMark val="out"/>
        <c:minorTickMark val="none"/>
        <c:tickLblPos val="nextTo"/>
        <c:spPr>
          <a:ln/>
        </c:spPr>
        <c:txPr>
          <a:bodyPr/>
          <a:lstStyle/>
          <a:p>
            <a:pPr lvl="0">
              <a:defRPr sz="1100" b="0" i="0">
                <a:solidFill>
                  <a:srgbClr val="000000"/>
                </a:solidFill>
                <a:latin typeface="+mn-lt"/>
              </a:defRPr>
            </a:pPr>
            <a:endParaRPr lang="en-US"/>
          </a:p>
        </c:txPr>
        <c:crossAx val="1551093560"/>
        <c:crosses val="autoZero"/>
        <c:crossBetween val="between"/>
      </c:valAx>
    </c:plotArea>
    <c:legend>
      <c:legendPos val="t"/>
      <c:layout>
        <c:manualLayout>
          <c:xMode val="edge"/>
          <c:yMode val="edge"/>
          <c:x val="2.1152482257827654E-3"/>
          <c:y val="1.7259608915352911E-2"/>
        </c:manualLayout>
      </c:layout>
      <c:overlay val="0"/>
      <c:txPr>
        <a:bodyPr/>
        <a:lstStyle/>
        <a:p>
          <a:pPr lvl="0">
            <a:defRPr sz="1100" b="1" i="0">
              <a:solidFill>
                <a:srgbClr val="000000"/>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 / Share Price 
(Adjusted for Dividends)</a:t>
            </a:r>
          </a:p>
        </c:rich>
      </c:tx>
      <c:overlay val="0"/>
    </c:title>
    <c:autoTitleDeleted val="0"/>
    <c:plotArea>
      <c:layout>
        <c:manualLayout>
          <c:xMode val="edge"/>
          <c:yMode val="edge"/>
          <c:x val="1.1785694591841376E-2"/>
          <c:y val="8.1456384984950891E-2"/>
          <c:w val="0.97892727184740347"/>
          <c:h val="0.77557734290768299"/>
        </c:manualLayout>
      </c:layout>
      <c:barChart>
        <c:barDir val="col"/>
        <c:grouping val="clustered"/>
        <c:varyColors val="1"/>
        <c:ser>
          <c:idx val="0"/>
          <c:order val="0"/>
          <c:spPr>
            <a:solidFill>
              <a:srgbClr val="FFAC00"/>
            </a:solidFill>
            <a:ln cmpd="sng">
              <a:solidFill>
                <a:srgbClr val="000000"/>
              </a:solidFill>
            </a:ln>
          </c:spPr>
          <c:invertIfNegative val="1"/>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Corporate!$B$81:$B$85</c:f>
              <c:strCache>
                <c:ptCount val="5"/>
                <c:pt idx="0">
                  <c:v>Normie</c:v>
                </c:pt>
                <c:pt idx="1">
                  <c:v>BTC 10%</c:v>
                </c:pt>
                <c:pt idx="2">
                  <c:v>BTC Maxi</c:v>
                </c:pt>
                <c:pt idx="3">
                  <c:v>Double Maxi</c:v>
                </c:pt>
                <c:pt idx="4">
                  <c:v>Triple Maxi</c:v>
                </c:pt>
              </c:strCache>
            </c:strRef>
          </c:cat>
          <c:val>
            <c:numRef>
              <c:f>Corporate!$C$81:$C$85</c:f>
              <c:numCache>
                <c:formatCode>_("$"* #,##0_);_("$"* \(#,##0\);_("$"* "-"??_);_(@_)</c:formatCode>
                <c:ptCount val="5"/>
                <c:pt idx="0">
                  <c:v>1142.2574001555054</c:v>
                </c:pt>
                <c:pt idx="1">
                  <c:v>2519.9582578507757</c:v>
                </c:pt>
                <c:pt idx="2">
                  <c:v>8045.2834762260964</c:v>
                </c:pt>
                <c:pt idx="3">
                  <c:v>17375.945497891233</c:v>
                </c:pt>
                <c:pt idx="4">
                  <c:v>27873.795282343151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16A-4E83-B55C-930AA330F194}"/>
            </c:ext>
          </c:extLst>
        </c:ser>
        <c:dLbls>
          <c:showLegendKey val="0"/>
          <c:showVal val="0"/>
          <c:showCatName val="0"/>
          <c:showSerName val="0"/>
          <c:showPercent val="0"/>
          <c:showBubbleSize val="0"/>
        </c:dLbls>
        <c:gapWidth val="150"/>
        <c:axId val="1750859511"/>
        <c:axId val="1871590307"/>
      </c:barChart>
      <c:catAx>
        <c:axId val="175085951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1871590307"/>
        <c:crosses val="autoZero"/>
        <c:auto val="1"/>
        <c:lblAlgn val="ctr"/>
        <c:lblOffset val="100"/>
        <c:noMultiLvlLbl val="1"/>
      </c:catAx>
      <c:valAx>
        <c:axId val="1871590307"/>
        <c:scaling>
          <c:orientation val="minMax"/>
        </c:scaling>
        <c:delete val="0"/>
        <c:axPos val="l"/>
        <c:title>
          <c:tx>
            <c:rich>
              <a:bodyPr/>
              <a:lstStyle/>
              <a:p>
                <a:pPr lvl="0">
                  <a:defRPr b="0">
                    <a:solidFill>
                      <a:srgbClr val="000000"/>
                    </a:solidFill>
                    <a:latin typeface="+mn-lt"/>
                  </a:defRPr>
                </a:pPr>
                <a:endParaRPr/>
              </a:p>
            </c:rich>
          </c:tx>
          <c:overlay val="0"/>
        </c:title>
        <c:numFmt formatCode="_(&quot;$&quot;* #,##0_);_(&quot;$&quot;* \(#,##0\);_(&quot;$&quot;* &quot;-&quot;??_);_(@_)" sourceLinked="1"/>
        <c:majorTickMark val="none"/>
        <c:minorTickMark val="none"/>
        <c:tickLblPos val="nextTo"/>
        <c:spPr>
          <a:ln/>
        </c:spPr>
        <c:txPr>
          <a:bodyPr/>
          <a:lstStyle/>
          <a:p>
            <a:pPr lvl="0">
              <a:defRPr b="0">
                <a:solidFill>
                  <a:srgbClr val="000000"/>
                </a:solidFill>
                <a:latin typeface="+mn-lt"/>
              </a:defRPr>
            </a:pPr>
            <a:endParaRPr lang="en-US"/>
          </a:p>
        </c:txPr>
        <c:crossAx val="1750859511"/>
        <c:crosses val="autoZero"/>
        <c:crossBetween val="between"/>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BTC (#)</a:t>
            </a:r>
          </a:p>
        </c:rich>
      </c:tx>
      <c:overlay val="0"/>
    </c:title>
    <c:autoTitleDeleted val="0"/>
    <c:plotArea>
      <c:layout>
        <c:manualLayout>
          <c:xMode val="edge"/>
          <c:yMode val="edge"/>
          <c:x val="0"/>
          <c:y val="7.4638464201838714E-2"/>
          <c:w val="0.98729677896542023"/>
          <c:h val="0.7790143002170663"/>
        </c:manualLayout>
      </c:layout>
      <c:barChart>
        <c:barDir val="col"/>
        <c:grouping val="clustered"/>
        <c:varyColors val="1"/>
        <c:ser>
          <c:idx val="0"/>
          <c:order val="0"/>
          <c:spPr>
            <a:solidFill>
              <a:srgbClr val="E97132"/>
            </a:solidFill>
            <a:ln cmpd="sng">
              <a:solidFill>
                <a:srgbClr val="000000"/>
              </a:solidFill>
            </a:ln>
          </c:spPr>
          <c:invertIfNegative val="1"/>
          <c:dLbls>
            <c:numFmt formatCode="#,##0"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Corporate!$B$81:$B$85</c:f>
              <c:strCache>
                <c:ptCount val="5"/>
                <c:pt idx="0">
                  <c:v>Normie</c:v>
                </c:pt>
                <c:pt idx="1">
                  <c:v>BTC 10%</c:v>
                </c:pt>
                <c:pt idx="2">
                  <c:v>BTC Maxi</c:v>
                </c:pt>
                <c:pt idx="3">
                  <c:v>Double Maxi</c:v>
                </c:pt>
                <c:pt idx="4">
                  <c:v>Triple Maxi</c:v>
                </c:pt>
              </c:strCache>
            </c:strRef>
          </c:cat>
          <c:val>
            <c:numRef>
              <c:f>Corporate!$E$81:$E$85</c:f>
              <c:numCache>
                <c:formatCode>#,##0</c:formatCode>
                <c:ptCount val="5"/>
                <c:pt idx="0">
                  <c:v>0</c:v>
                </c:pt>
                <c:pt idx="1">
                  <c:v>569.35049227900379</c:v>
                </c:pt>
                <c:pt idx="2">
                  <c:v>4540.2760794479354</c:v>
                </c:pt>
                <c:pt idx="3">
                  <c:v>25643.337124748647</c:v>
                </c:pt>
                <c:pt idx="4">
                  <c:v>39475.63305839926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42B-42DB-9652-8495917E37BB}"/>
            </c:ext>
          </c:extLst>
        </c:ser>
        <c:dLbls>
          <c:showLegendKey val="0"/>
          <c:showVal val="0"/>
          <c:showCatName val="0"/>
          <c:showSerName val="0"/>
          <c:showPercent val="0"/>
          <c:showBubbleSize val="0"/>
        </c:dLbls>
        <c:gapWidth val="150"/>
        <c:axId val="1241971531"/>
        <c:axId val="1302973137"/>
      </c:barChart>
      <c:catAx>
        <c:axId val="124197153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1302973137"/>
        <c:crosses val="autoZero"/>
        <c:auto val="1"/>
        <c:lblAlgn val="ctr"/>
        <c:lblOffset val="100"/>
        <c:noMultiLvlLbl val="1"/>
      </c:catAx>
      <c:valAx>
        <c:axId val="1302973137"/>
        <c:scaling>
          <c:orientation val="minMax"/>
        </c:scaling>
        <c:delete val="0"/>
        <c:axPos val="l"/>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241971531"/>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
          <c:y val="7.4711338112737821E-2"/>
          <c:w val="1"/>
          <c:h val="0.82580437277535867"/>
        </c:manualLayout>
      </c:layout>
      <c:barChart>
        <c:barDir val="col"/>
        <c:grouping val="clustered"/>
        <c:varyColors val="1"/>
        <c:ser>
          <c:idx val="0"/>
          <c:order val="0"/>
          <c:tx>
            <c:v>Net Assets</c:v>
          </c:tx>
          <c:spPr>
            <a:solidFill>
              <a:srgbClr val="FFAC00"/>
            </a:solidFill>
            <a:ln cmpd="sng">
              <a:solidFill>
                <a:srgbClr val="000000"/>
              </a:solidFill>
            </a:ln>
          </c:spPr>
          <c:invertIfNegative val="1"/>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Institution!$AJ$6:$AJ$27</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Institution!$AM$6:$AM$27</c:f>
              <c:numCache>
                <c:formatCode>"$"#,##0"B"</c:formatCode>
                <c:ptCount val="22"/>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7E3-42ED-9AE7-0EAF2971A9BC}"/>
            </c:ext>
          </c:extLst>
        </c:ser>
        <c:dLbls>
          <c:showLegendKey val="0"/>
          <c:showVal val="0"/>
          <c:showCatName val="0"/>
          <c:showSerName val="0"/>
          <c:showPercent val="0"/>
          <c:showBubbleSize val="0"/>
        </c:dLbls>
        <c:gapWidth val="150"/>
        <c:axId val="128282595"/>
        <c:axId val="1207429190"/>
      </c:barChart>
      <c:lineChart>
        <c:grouping val="standard"/>
        <c:varyColors val="0"/>
        <c:ser>
          <c:idx val="1"/>
          <c:order val="1"/>
          <c:tx>
            <c:v>BTC (#)</c:v>
          </c:tx>
          <c:spPr>
            <a:ln w="28575" cmpd="sng">
              <a:solidFill>
                <a:srgbClr val="C00000">
                  <a:alpha val="100000"/>
                </a:srgbClr>
              </a:solidFill>
            </a:ln>
          </c:spPr>
          <c:marker>
            <c:symbol val="none"/>
          </c:marker>
          <c:dLbls>
            <c:numFmt formatCode="#,##0.0&quot;K&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Institution!$AJ$6:$AJ$27</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Institution!$AN$6:$AN$27</c:f>
              <c:numCache>
                <c:formatCode>#,##0.0"K"</c:formatCode>
                <c:ptCount val="22"/>
                <c:pt idx="0">
                  <c:v>15.384615384615385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extLst>
            <c:ext xmlns:c16="http://schemas.microsoft.com/office/drawing/2014/chart" uri="{C3380CC4-5D6E-409C-BE32-E72D297353CC}">
              <c16:uniqueId val="{00000001-27E3-42ED-9AE7-0EAF2971A9BC}"/>
            </c:ext>
          </c:extLst>
        </c:ser>
        <c:dLbls>
          <c:showLegendKey val="0"/>
          <c:showVal val="0"/>
          <c:showCatName val="0"/>
          <c:showSerName val="0"/>
          <c:showPercent val="0"/>
          <c:showBubbleSize val="0"/>
        </c:dLbls>
        <c:marker val="1"/>
        <c:smooth val="0"/>
        <c:axId val="128282595"/>
        <c:axId val="1207429190"/>
      </c:lineChart>
      <c:catAx>
        <c:axId val="12828259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1200" b="1" i="0">
                <a:solidFill>
                  <a:srgbClr val="000000"/>
                </a:solidFill>
                <a:latin typeface="+mn-lt"/>
              </a:defRPr>
            </a:pPr>
            <a:endParaRPr lang="en-US"/>
          </a:p>
        </c:txPr>
        <c:crossAx val="1207429190"/>
        <c:crosses val="autoZero"/>
        <c:auto val="1"/>
        <c:lblAlgn val="ctr"/>
        <c:lblOffset val="100"/>
        <c:noMultiLvlLbl val="1"/>
      </c:catAx>
      <c:valAx>
        <c:axId val="1207429190"/>
        <c:scaling>
          <c:orientation val="minMax"/>
        </c:scaling>
        <c:delete val="0"/>
        <c:axPos val="l"/>
        <c:title>
          <c:tx>
            <c:rich>
              <a:bodyPr/>
              <a:lstStyle/>
              <a:p>
                <a:pPr lvl="0">
                  <a:defRPr b="0">
                    <a:solidFill>
                      <a:srgbClr val="000000"/>
                    </a:solidFill>
                    <a:latin typeface="+mn-lt"/>
                  </a:defRPr>
                </a:pPr>
                <a:endParaRPr/>
              </a:p>
            </c:rich>
          </c:tx>
          <c:overlay val="0"/>
        </c:title>
        <c:numFmt formatCode="#,##0" sourceLinked="0"/>
        <c:majorTickMark val="out"/>
        <c:minorTickMark val="none"/>
        <c:tickLblPos val="nextTo"/>
        <c:spPr>
          <a:ln/>
        </c:spPr>
        <c:txPr>
          <a:bodyPr/>
          <a:lstStyle/>
          <a:p>
            <a:pPr lvl="0">
              <a:defRPr sz="1100" b="0" i="0">
                <a:solidFill>
                  <a:srgbClr val="000000"/>
                </a:solidFill>
                <a:latin typeface="+mn-lt"/>
              </a:defRPr>
            </a:pPr>
            <a:endParaRPr lang="en-US"/>
          </a:p>
        </c:txPr>
        <c:crossAx val="128282595"/>
        <c:crosses val="autoZero"/>
        <c:crossBetween val="between"/>
      </c:valAx>
    </c:plotArea>
    <c:legend>
      <c:legendPos val="t"/>
      <c:layout>
        <c:manualLayout>
          <c:xMode val="edge"/>
          <c:yMode val="edge"/>
          <c:x val="1.1778138516052682E-2"/>
          <c:y val="1.4437955228767573E-2"/>
        </c:manualLayout>
      </c:layout>
      <c:overlay val="0"/>
      <c:txPr>
        <a:bodyPr/>
        <a:lstStyle/>
        <a:p>
          <a:pPr lvl="0">
            <a:defRPr sz="1200" b="1" i="0">
              <a:solidFill>
                <a:srgbClr val="000000"/>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Net Assets</a:t>
            </a:r>
          </a:p>
        </c:rich>
      </c:tx>
      <c:overlay val="0"/>
    </c:title>
    <c:autoTitleDeleted val="0"/>
    <c:plotArea>
      <c:layout>
        <c:manualLayout>
          <c:xMode val="edge"/>
          <c:yMode val="edge"/>
          <c:x val="1.1785694591841376E-2"/>
          <c:y val="8.1456384984950891E-2"/>
          <c:w val="0.97471792160192627"/>
          <c:h val="0.77191912633722937"/>
        </c:manualLayout>
      </c:layout>
      <c:barChart>
        <c:barDir val="col"/>
        <c:grouping val="clustered"/>
        <c:varyColors val="1"/>
        <c:ser>
          <c:idx val="0"/>
          <c:order val="0"/>
          <c:spPr>
            <a:solidFill>
              <a:srgbClr val="FFAC00"/>
            </a:solidFill>
            <a:ln cmpd="sng">
              <a:solidFill>
                <a:srgbClr val="000000"/>
              </a:solidFill>
            </a:ln>
          </c:spPr>
          <c:invertIfNegative val="1"/>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Institution!$B$70:$B$74</c:f>
              <c:strCache>
                <c:ptCount val="5"/>
                <c:pt idx="0">
                  <c:v>Normie</c:v>
                </c:pt>
                <c:pt idx="1">
                  <c:v>BTC 10%</c:v>
                </c:pt>
                <c:pt idx="2">
                  <c:v>BTC Maxi</c:v>
                </c:pt>
                <c:pt idx="3">
                  <c:v>Double Maxi</c:v>
                </c:pt>
                <c:pt idx="4">
                  <c:v>Triple Maxi</c:v>
                </c:pt>
              </c:strCache>
            </c:strRef>
          </c:cat>
          <c:val>
            <c:numRef>
              <c:f>Institution!$C$70:$C$74</c:f>
              <c:numCache>
                <c:formatCode>_("$"* #,##0"B"_);_("$"* \(#,##0"B"\);_("$"* "-"??_);_(@_)</c:formatCode>
                <c:ptCount val="5"/>
                <c:pt idx="0">
                  <c:v>4.4465850165411007</c:v>
                </c:pt>
                <c:pt idx="1">
                  <c:v>24.616643639091951</c:v>
                </c:pt>
                <c:pt idx="2">
                  <c:v>105.29687812929535</c:v>
                </c:pt>
                <c:pt idx="3">
                  <c:v>206.14717124204964</c:v>
                </c:pt>
                <c:pt idx="4">
                  <c:v>299.74077556681925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004-4593-80C8-FE281E1C556D}"/>
            </c:ext>
          </c:extLst>
        </c:ser>
        <c:dLbls>
          <c:showLegendKey val="0"/>
          <c:showVal val="0"/>
          <c:showCatName val="0"/>
          <c:showSerName val="0"/>
          <c:showPercent val="0"/>
          <c:showBubbleSize val="0"/>
        </c:dLbls>
        <c:gapWidth val="150"/>
        <c:axId val="108924590"/>
        <c:axId val="415082915"/>
      </c:barChart>
      <c:catAx>
        <c:axId val="10892459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415082915"/>
        <c:crosses val="autoZero"/>
        <c:auto val="1"/>
        <c:lblAlgn val="ctr"/>
        <c:lblOffset val="100"/>
        <c:noMultiLvlLbl val="1"/>
      </c:catAx>
      <c:valAx>
        <c:axId val="415082915"/>
        <c:scaling>
          <c:orientation val="minMax"/>
        </c:scaling>
        <c:delete val="0"/>
        <c:axPos val="l"/>
        <c:title>
          <c:tx>
            <c:rich>
              <a:bodyPr/>
              <a:lstStyle/>
              <a:p>
                <a:pPr lvl="0">
                  <a:defRPr b="0">
                    <a:solidFill>
                      <a:srgbClr val="000000"/>
                    </a:solidFill>
                    <a:latin typeface="+mn-lt"/>
                  </a:defRPr>
                </a:pPr>
                <a:endParaRPr/>
              </a:p>
            </c:rich>
          </c:tx>
          <c:overlay val="0"/>
        </c:title>
        <c:numFmt formatCode="_(&quot;$&quot;* #,##0&quot;B&quot;_);_(&quot;$&quot;* \(#,##0&quot;B&quot;\);_(&quot;$&quot;* &quot;-&quot;??_);_(@_)" sourceLinked="1"/>
        <c:majorTickMark val="none"/>
        <c:minorTickMark val="none"/>
        <c:tickLblPos val="nextTo"/>
        <c:spPr>
          <a:ln/>
        </c:spPr>
        <c:txPr>
          <a:bodyPr/>
          <a:lstStyle/>
          <a:p>
            <a:pPr lvl="0">
              <a:defRPr b="0">
                <a:solidFill>
                  <a:srgbClr val="000000"/>
                </a:solidFill>
                <a:latin typeface="+mn-lt"/>
              </a:defRPr>
            </a:pPr>
            <a:endParaRPr lang="en-US"/>
          </a:p>
        </c:txPr>
        <c:crossAx val="108924590"/>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BTC (#)</a:t>
            </a:r>
          </a:p>
        </c:rich>
      </c:tx>
      <c:overlay val="0"/>
    </c:title>
    <c:autoTitleDeleted val="0"/>
    <c:plotArea>
      <c:layout>
        <c:manualLayout>
          <c:xMode val="edge"/>
          <c:yMode val="edge"/>
          <c:x val="3.0982917190469071E-3"/>
          <c:y val="7.4638464201838714E-2"/>
          <c:w val="0.97732148045648815"/>
          <c:h val="0.7790143002170663"/>
        </c:manualLayout>
      </c:layout>
      <c:barChart>
        <c:barDir val="col"/>
        <c:grouping val="clustered"/>
        <c:varyColors val="1"/>
        <c:ser>
          <c:idx val="0"/>
          <c:order val="0"/>
          <c:spPr>
            <a:solidFill>
              <a:srgbClr val="E97132"/>
            </a:solidFill>
            <a:ln cmpd="sng">
              <a:solidFill>
                <a:srgbClr val="000000"/>
              </a:solidFill>
            </a:ln>
          </c:spPr>
          <c:invertIfNegative val="1"/>
          <c:dLbls>
            <c:numFmt formatCode="0.0&quot;K&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Institution!$B$70:$B$74</c:f>
              <c:strCache>
                <c:ptCount val="5"/>
                <c:pt idx="0">
                  <c:v>Normie</c:v>
                </c:pt>
                <c:pt idx="1">
                  <c:v>BTC 10%</c:v>
                </c:pt>
                <c:pt idx="2">
                  <c:v>BTC Maxi</c:v>
                </c:pt>
                <c:pt idx="3">
                  <c:v>Double Maxi</c:v>
                </c:pt>
                <c:pt idx="4">
                  <c:v>Triple Maxi</c:v>
                </c:pt>
              </c:strCache>
            </c:strRef>
          </c:cat>
          <c:val>
            <c:numRef>
              <c:f>Institution!$E$70:$E$74</c:f>
              <c:numCache>
                <c:formatCode>#,##0</c:formatCode>
                <c:ptCount val="5"/>
                <c:pt idx="0">
                  <c:v>0</c:v>
                </c:pt>
                <c:pt idx="1">
                  <c:v>1.5384615384615385</c:v>
                </c:pt>
                <c:pt idx="2">
                  <c:v>7.6923076923076943</c:v>
                </c:pt>
                <c:pt idx="3">
                  <c:v>15.384615384615389</c:v>
                </c:pt>
                <c:pt idx="4">
                  <c:v>24.376666656998218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401-4746-9686-E00CCB1E146F}"/>
            </c:ext>
          </c:extLst>
        </c:ser>
        <c:dLbls>
          <c:showLegendKey val="0"/>
          <c:showVal val="0"/>
          <c:showCatName val="0"/>
          <c:showSerName val="0"/>
          <c:showPercent val="0"/>
          <c:showBubbleSize val="0"/>
        </c:dLbls>
        <c:gapWidth val="150"/>
        <c:axId val="1313562829"/>
        <c:axId val="1502764404"/>
      </c:barChart>
      <c:catAx>
        <c:axId val="131356282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1502764404"/>
        <c:crosses val="autoZero"/>
        <c:auto val="1"/>
        <c:lblAlgn val="ctr"/>
        <c:lblOffset val="100"/>
        <c:noMultiLvlLbl val="1"/>
      </c:catAx>
      <c:valAx>
        <c:axId val="1502764404"/>
        <c:scaling>
          <c:orientation val="minMax"/>
        </c:scaling>
        <c:delete val="0"/>
        <c:axPos val="l"/>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313562829"/>
        <c:crosses val="autoZero"/>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Net Assets </a:t>
            </a:r>
          </a:p>
        </c:rich>
      </c:tx>
      <c:overlay val="0"/>
    </c:title>
    <c:autoTitleDeleted val="0"/>
    <c:plotArea>
      <c:layout>
        <c:manualLayout>
          <c:xMode val="edge"/>
          <c:yMode val="edge"/>
          <c:x val="1.1785694591841376E-2"/>
          <c:y val="8.1456384984950891E-2"/>
          <c:w val="0.97909263901075672"/>
          <c:h val="0.83410880803494147"/>
        </c:manualLayout>
      </c:layout>
      <c:barChart>
        <c:barDir val="col"/>
        <c:grouping val="clustered"/>
        <c:varyColors val="1"/>
        <c:ser>
          <c:idx val="0"/>
          <c:order val="0"/>
          <c:spPr>
            <a:solidFill>
              <a:srgbClr val="FFAC00"/>
            </a:solidFill>
            <a:ln cmpd="sng">
              <a:solidFill>
                <a:srgbClr val="000000"/>
              </a:solidFill>
            </a:ln>
          </c:spPr>
          <c:invertIfNegative val="1"/>
          <c:dLbls>
            <c:numFmt formatCode="&quot;$&quot;#,##0&quot;T&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'Indebted Nation'!$B$80:$B$84</c:f>
              <c:strCache>
                <c:ptCount val="5"/>
                <c:pt idx="0">
                  <c:v>Normie</c:v>
                </c:pt>
                <c:pt idx="1">
                  <c:v>BTC 10%</c:v>
                </c:pt>
                <c:pt idx="2">
                  <c:v>BTC Maxi</c:v>
                </c:pt>
                <c:pt idx="3">
                  <c:v>Double Maxi</c:v>
                </c:pt>
                <c:pt idx="4">
                  <c:v>Triple Maxi</c:v>
                </c:pt>
              </c:strCache>
            </c:strRef>
          </c:cat>
          <c:val>
            <c:numRef>
              <c:f>'Indebted Nation'!$C$80:$C$84</c:f>
              <c:numCache>
                <c:formatCode>_("$"* #,##0_);_("$"* \(#,##0\);_("$"* "-"??_);_(@_)</c:formatCode>
                <c:ptCount val="5"/>
                <c:pt idx="0">
                  <c:v>-3.2288984167517865</c:v>
                </c:pt>
                <c:pt idx="1">
                  <c:v>-2.1515451176778027</c:v>
                </c:pt>
                <c:pt idx="2">
                  <c:v>-1.748605586525764E-2</c:v>
                </c:pt>
                <c:pt idx="3">
                  <c:v>8.7846599324530317</c:v>
                </c:pt>
                <c:pt idx="4">
                  <c:v>18.722791305577122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38F-4ECF-81E3-788DB94CDCA2}"/>
            </c:ext>
          </c:extLst>
        </c:ser>
        <c:dLbls>
          <c:showLegendKey val="0"/>
          <c:showVal val="0"/>
          <c:showCatName val="0"/>
          <c:showSerName val="0"/>
          <c:showPercent val="0"/>
          <c:showBubbleSize val="0"/>
        </c:dLbls>
        <c:gapWidth val="150"/>
        <c:axId val="35717806"/>
        <c:axId val="970945104"/>
      </c:barChart>
      <c:catAx>
        <c:axId val="35717806"/>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970945104"/>
        <c:crosses val="autoZero"/>
        <c:auto val="1"/>
        <c:lblAlgn val="ctr"/>
        <c:lblOffset val="100"/>
        <c:noMultiLvlLbl val="1"/>
      </c:catAx>
      <c:valAx>
        <c:axId val="970945104"/>
        <c:scaling>
          <c:orientation val="minMax"/>
        </c:scaling>
        <c:delete val="0"/>
        <c:axPos val="l"/>
        <c:title>
          <c:tx>
            <c:rich>
              <a:bodyPr/>
              <a:lstStyle/>
              <a:p>
                <a:pPr lvl="0">
                  <a:defRPr b="0">
                    <a:solidFill>
                      <a:srgbClr val="000000"/>
                    </a:solidFill>
                    <a:latin typeface="+mn-lt"/>
                  </a:defRPr>
                </a:pPr>
                <a:endParaRPr/>
              </a:p>
            </c:rich>
          </c:tx>
          <c:overlay val="0"/>
        </c:title>
        <c:numFmt formatCode="_(&quot;$&quot;* #,##0_);_(&quot;$&quot;* \(#,##0\);_(&quot;$&quot;* &quot;-&quot;??_);_(@_)" sourceLinked="1"/>
        <c:majorTickMark val="none"/>
        <c:minorTickMark val="none"/>
        <c:tickLblPos val="nextTo"/>
        <c:spPr>
          <a:ln/>
        </c:spPr>
        <c:txPr>
          <a:bodyPr/>
          <a:lstStyle/>
          <a:p>
            <a:pPr lvl="0">
              <a:defRPr b="0">
                <a:solidFill>
                  <a:srgbClr val="000000"/>
                </a:solidFill>
                <a:latin typeface="+mn-lt"/>
              </a:defRPr>
            </a:pPr>
            <a:endParaRPr lang="en-US"/>
          </a:p>
        </c:txPr>
        <c:crossAx val="35717806"/>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BTC (#)</a:t>
            </a:r>
          </a:p>
        </c:rich>
      </c:tx>
      <c:overlay val="0"/>
    </c:title>
    <c:autoTitleDeleted val="0"/>
    <c:plotArea>
      <c:layout>
        <c:manualLayout>
          <c:xMode val="edge"/>
          <c:yMode val="edge"/>
          <c:x val="1.9905882810876655E-3"/>
          <c:y val="7.4638464201838714E-2"/>
          <c:w val="0.99800941171891233"/>
          <c:h val="0.7790143002170663"/>
        </c:manualLayout>
      </c:layout>
      <c:barChart>
        <c:barDir val="col"/>
        <c:grouping val="clustered"/>
        <c:varyColors val="1"/>
        <c:ser>
          <c:idx val="0"/>
          <c:order val="0"/>
          <c:spPr>
            <a:solidFill>
              <a:srgbClr val="E97132"/>
            </a:solidFill>
            <a:ln cmpd="sng">
              <a:solidFill>
                <a:srgbClr val="000000"/>
              </a:solidFill>
            </a:ln>
          </c:spPr>
          <c:invertIfNegative val="1"/>
          <c:dLbls>
            <c:numFmt formatCode="#,##0\K"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'Indebted Nation'!$B$80:$B$84</c:f>
              <c:strCache>
                <c:ptCount val="5"/>
                <c:pt idx="0">
                  <c:v>Normie</c:v>
                </c:pt>
                <c:pt idx="1">
                  <c:v>BTC 10%</c:v>
                </c:pt>
                <c:pt idx="2">
                  <c:v>BTC Maxi</c:v>
                </c:pt>
                <c:pt idx="3">
                  <c:v>Double Maxi</c:v>
                </c:pt>
                <c:pt idx="4">
                  <c:v>Triple Maxi</c:v>
                </c:pt>
              </c:strCache>
            </c:strRef>
          </c:cat>
          <c:val>
            <c:numRef>
              <c:f>'Indebted Nation'!$E$80:$E$84</c:f>
              <c:numCache>
                <c:formatCode>#,##0</c:formatCode>
                <c:ptCount val="5"/>
                <c:pt idx="0">
                  <c:v>0</c:v>
                </c:pt>
                <c:pt idx="1">
                  <c:v>82.051282051282044</c:v>
                </c:pt>
                <c:pt idx="2">
                  <c:v>245.43752475955864</c:v>
                </c:pt>
                <c:pt idx="3">
                  <c:v>1014.320879711923</c:v>
                </c:pt>
                <c:pt idx="4">
                  <c:v>1868.8065977599676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733-491C-BBF4-432BE7E4AF48}"/>
            </c:ext>
          </c:extLst>
        </c:ser>
        <c:dLbls>
          <c:showLegendKey val="0"/>
          <c:showVal val="0"/>
          <c:showCatName val="0"/>
          <c:showSerName val="0"/>
          <c:showPercent val="0"/>
          <c:showBubbleSize val="0"/>
        </c:dLbls>
        <c:gapWidth val="150"/>
        <c:axId val="1998748542"/>
        <c:axId val="1512268763"/>
      </c:barChart>
      <c:catAx>
        <c:axId val="199874854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1512268763"/>
        <c:crosses val="autoZero"/>
        <c:auto val="1"/>
        <c:lblAlgn val="ctr"/>
        <c:lblOffset val="100"/>
        <c:noMultiLvlLbl val="1"/>
      </c:catAx>
      <c:valAx>
        <c:axId val="1512268763"/>
        <c:scaling>
          <c:orientation val="minMax"/>
        </c:scaling>
        <c:delete val="0"/>
        <c:axPos val="l"/>
        <c:title>
          <c:tx>
            <c:rich>
              <a:bodyPr/>
              <a:lstStyle/>
              <a:p>
                <a:pPr lvl="0">
                  <a:defRPr b="0">
                    <a:solidFill>
                      <a:srgbClr val="000000"/>
                    </a:solidFill>
                    <a:latin typeface="+mn-lt"/>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998748542"/>
        <c:crosses val="autoZero"/>
        <c:crossBetween val="between"/>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
          <c:y val="7.4711338112737821E-2"/>
          <c:w val="1"/>
          <c:h val="0.82580437277535867"/>
        </c:manualLayout>
      </c:layout>
      <c:barChart>
        <c:barDir val="col"/>
        <c:grouping val="clustered"/>
        <c:varyColors val="1"/>
        <c:ser>
          <c:idx val="0"/>
          <c:order val="0"/>
          <c:tx>
            <c:v>Net Assets</c:v>
          </c:tx>
          <c:spPr>
            <a:solidFill>
              <a:srgbClr val="FFAC00"/>
            </a:solidFill>
            <a:ln cmpd="sng">
              <a:solidFill>
                <a:srgbClr val="000000"/>
              </a:solidFill>
            </a:ln>
          </c:spPr>
          <c:invertIfNegative val="1"/>
          <c:dLbls>
            <c:numFmt formatCode="&quot;$&quot;#,##0&quot;T&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'Indebted Nation'!$AJ$5:$AJ$34</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'Indebted Nation'!$AM$5:$AM$34</c:f>
              <c:numCache>
                <c:formatCode>"$"#,##0.0"T"</c:formatCode>
                <c:ptCount val="22"/>
                <c:pt idx="0">
                  <c:v>-0.32019999999999998</c:v>
                </c:pt>
                <c:pt idx="1">
                  <c:v>-0.3619412113022113</c:v>
                </c:pt>
                <c:pt idx="2">
                  <c:v>-0.38908165976564896</c:v>
                </c:pt>
                <c:pt idx="3">
                  <c:v>-0.39332823158388475</c:v>
                </c:pt>
                <c:pt idx="4">
                  <c:v>-0.36436489269050781</c:v>
                </c:pt>
                <c:pt idx="5">
                  <c:v>-0.28881276102905101</c:v>
                </c:pt>
                <c:pt idx="6">
                  <c:v>-0.16179309545877743</c:v>
                </c:pt>
                <c:pt idx="7">
                  <c:v>2.8954996457102197E-2</c:v>
                </c:pt>
                <c:pt idx="8">
                  <c:v>0.29513461872890068</c:v>
                </c:pt>
                <c:pt idx="9">
                  <c:v>0.64637287915366093</c:v>
                </c:pt>
                <c:pt idx="10">
                  <c:v>1.0883363637612611</c:v>
                </c:pt>
                <c:pt idx="11" formatCode="&quot;$&quot;#,##0&quot;T&quot;">
                  <c:v>1.6206139691470431</c:v>
                </c:pt>
                <c:pt idx="12" formatCode="&quot;$&quot;#,##0&quot;T&quot;">
                  <c:v>2.2345946406894464</c:v>
                </c:pt>
                <c:pt idx="13" formatCode="&quot;$&quot;#,##0&quot;T&quot;">
                  <c:v>2.9116534390633322</c:v>
                </c:pt>
                <c:pt idx="14" formatCode="&quot;$&quot;#,##0&quot;T&quot;">
                  <c:v>3.756183281039009</c:v>
                </c:pt>
                <c:pt idx="15" formatCode="&quot;$&quot;#,##0&quot;T&quot;">
                  <c:v>4.8055174745127784</c:v>
                </c:pt>
                <c:pt idx="16" formatCode="&quot;$&quot;#,##0&quot;T&quot;">
                  <c:v>6.1048842208326217</c:v>
                </c:pt>
                <c:pt idx="17" formatCode="&quot;$&quot;#,##0&quot;T&quot;">
                  <c:v>7.7090315192126146</c:v>
                </c:pt>
                <c:pt idx="18" formatCode="&quot;$&quot;#,##0&quot;T&quot;">
                  <c:v>9.6841818617802122</c:v>
                </c:pt>
                <c:pt idx="19" formatCode="&quot;$&quot;#,##0&quot;T&quot;">
                  <c:v>12.110383173560425</c:v>
                </c:pt>
                <c:pt idx="20" formatCode="&quot;$&quot;#,##0&quot;T&quot;">
                  <c:v>15.084335793243532</c:v>
                </c:pt>
                <c:pt idx="21" formatCode="&quot;$&quot;#,##0&quot;T&quot;">
                  <c:v>18.722791305577122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52E-44E7-98EE-FC133E368AB7}"/>
            </c:ext>
          </c:extLst>
        </c:ser>
        <c:dLbls>
          <c:showLegendKey val="0"/>
          <c:showVal val="0"/>
          <c:showCatName val="0"/>
          <c:showSerName val="0"/>
          <c:showPercent val="0"/>
          <c:showBubbleSize val="0"/>
        </c:dLbls>
        <c:gapWidth val="150"/>
        <c:axId val="569501399"/>
        <c:axId val="1019753887"/>
      </c:barChart>
      <c:lineChart>
        <c:grouping val="standard"/>
        <c:varyColors val="0"/>
        <c:ser>
          <c:idx val="1"/>
          <c:order val="1"/>
          <c:tx>
            <c:v>BTC (#)</c:v>
          </c:tx>
          <c:spPr>
            <a:ln w="28575" cmpd="sng">
              <a:solidFill>
                <a:srgbClr val="C00000">
                  <a:alpha val="100000"/>
                </a:srgbClr>
              </a:solidFill>
            </a:ln>
          </c:spPr>
          <c:marker>
            <c:symbol val="none"/>
          </c:marker>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'Indebted Nation'!$AJ$5:$AJ$34</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'Indebted Nation'!$AN$5:$AN$34</c:f>
              <c:numCache>
                <c:formatCode>#,##0"K"</c:formatCode>
                <c:ptCount val="22"/>
                <c:pt idx="0">
                  <c:v>0</c:v>
                </c:pt>
                <c:pt idx="1">
                  <c:v>475.89743589743591</c:v>
                </c:pt>
                <c:pt idx="2">
                  <c:v>823.32386196792982</c:v>
                </c:pt>
                <c:pt idx="3">
                  <c:v>1081.5241822726564</c:v>
                </c:pt>
                <c:pt idx="4">
                  <c:v>1276.9210302859201</c:v>
                </c:pt>
                <c:pt idx="5">
                  <c:v>1369.8320291786472</c:v>
                </c:pt>
                <c:pt idx="6">
                  <c:v>1444.1608282928287</c:v>
                </c:pt>
                <c:pt idx="7">
                  <c:v>1504.7250349784581</c:v>
                </c:pt>
                <c:pt idx="8">
                  <c:v>1555.0047537363394</c:v>
                </c:pt>
                <c:pt idx="9">
                  <c:v>1597.5491311468541</c:v>
                </c:pt>
                <c:pt idx="10">
                  <c:v>1634.2540842069061</c:v>
                </c:pt>
                <c:pt idx="11">
                  <c:v>1666.5544428997518</c:v>
                </c:pt>
                <c:pt idx="12">
                  <c:v>1695.5588466239399</c:v>
                </c:pt>
                <c:pt idx="13">
                  <c:v>1722.1462167044456</c:v>
                </c:pt>
                <c:pt idx="14">
                  <c:v>1746.5179726115759</c:v>
                </c:pt>
                <c:pt idx="15">
                  <c:v>1768.8587488597784</c:v>
                </c:pt>
                <c:pt idx="16">
                  <c:v>1789.3377937539644</c:v>
                </c:pt>
                <c:pt idx="17">
                  <c:v>1808.1102515736347</c:v>
                </c:pt>
                <c:pt idx="18">
                  <c:v>1825.3183379083328</c:v>
                </c:pt>
                <c:pt idx="19">
                  <c:v>1841.0924170484725</c:v>
                </c:pt>
                <c:pt idx="20">
                  <c:v>1855.5519895936004</c:v>
                </c:pt>
                <c:pt idx="21">
                  <c:v>1868.8065977599676</c:v>
                </c:pt>
              </c:numCache>
            </c:numRef>
          </c:val>
          <c:smooth val="0"/>
          <c:extLst>
            <c:ext xmlns:c16="http://schemas.microsoft.com/office/drawing/2014/chart" uri="{C3380CC4-5D6E-409C-BE32-E72D297353CC}">
              <c16:uniqueId val="{00000001-852E-44E7-98EE-FC133E368AB7}"/>
            </c:ext>
          </c:extLst>
        </c:ser>
        <c:dLbls>
          <c:showLegendKey val="0"/>
          <c:showVal val="0"/>
          <c:showCatName val="0"/>
          <c:showSerName val="0"/>
          <c:showPercent val="0"/>
          <c:showBubbleSize val="0"/>
        </c:dLbls>
        <c:marker val="1"/>
        <c:smooth val="0"/>
        <c:axId val="569501399"/>
        <c:axId val="1019753887"/>
      </c:lineChart>
      <c:catAx>
        <c:axId val="56950139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1200" b="1" i="0">
                <a:solidFill>
                  <a:srgbClr val="000000"/>
                </a:solidFill>
                <a:latin typeface="+mn-lt"/>
              </a:defRPr>
            </a:pPr>
            <a:endParaRPr lang="en-US"/>
          </a:p>
        </c:txPr>
        <c:crossAx val="1019753887"/>
        <c:crosses val="autoZero"/>
        <c:auto val="1"/>
        <c:lblAlgn val="ctr"/>
        <c:lblOffset val="100"/>
        <c:noMultiLvlLbl val="1"/>
      </c:catAx>
      <c:valAx>
        <c:axId val="1019753887"/>
        <c:scaling>
          <c:orientation val="minMax"/>
        </c:scaling>
        <c:delete val="0"/>
        <c:axPos val="l"/>
        <c:title>
          <c:tx>
            <c:rich>
              <a:bodyPr/>
              <a:lstStyle/>
              <a:p>
                <a:pPr lvl="0">
                  <a:defRPr b="0">
                    <a:solidFill>
                      <a:srgbClr val="000000"/>
                    </a:solidFill>
                    <a:latin typeface="+mn-lt"/>
                  </a:defRPr>
                </a:pPr>
                <a:endParaRPr/>
              </a:p>
            </c:rich>
          </c:tx>
          <c:overlay val="0"/>
        </c:title>
        <c:numFmt formatCode="#,##0" sourceLinked="0"/>
        <c:majorTickMark val="out"/>
        <c:minorTickMark val="none"/>
        <c:tickLblPos val="nextTo"/>
        <c:spPr>
          <a:ln/>
        </c:spPr>
        <c:txPr>
          <a:bodyPr/>
          <a:lstStyle/>
          <a:p>
            <a:pPr lvl="0">
              <a:defRPr sz="1100" b="0" i="0">
                <a:solidFill>
                  <a:srgbClr val="000000"/>
                </a:solidFill>
                <a:latin typeface="+mn-lt"/>
              </a:defRPr>
            </a:pPr>
            <a:endParaRPr lang="en-US"/>
          </a:p>
        </c:txPr>
        <c:crossAx val="569501399"/>
        <c:crosses val="autoZero"/>
        <c:crossBetween val="between"/>
      </c:valAx>
    </c:plotArea>
    <c:legend>
      <c:legendPos val="t"/>
      <c:layout>
        <c:manualLayout>
          <c:xMode val="edge"/>
          <c:yMode val="edge"/>
          <c:x val="5.4582656334368129E-3"/>
          <c:y val="1.4437955228767573E-2"/>
        </c:manualLayout>
      </c:layout>
      <c:overlay val="0"/>
      <c:txPr>
        <a:bodyPr/>
        <a:lstStyle/>
        <a:p>
          <a:pPr lvl="0">
            <a:defRPr sz="1200" b="1" i="0">
              <a:solidFill>
                <a:srgbClr val="000000"/>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Net Assets</a:t>
            </a:r>
          </a:p>
        </c:rich>
      </c:tx>
      <c:overlay val="0"/>
    </c:title>
    <c:autoTitleDeleted val="0"/>
    <c:plotArea>
      <c:layout>
        <c:manualLayout>
          <c:xMode val="edge"/>
          <c:yMode val="edge"/>
          <c:x val="1.1785694591841376E-2"/>
          <c:y val="8.1456384984950891E-2"/>
          <c:w val="0.97909263901075672"/>
          <c:h val="0.77865466178786524"/>
        </c:manualLayout>
      </c:layout>
      <c:barChart>
        <c:barDir val="col"/>
        <c:grouping val="clustered"/>
        <c:varyColors val="1"/>
        <c:ser>
          <c:idx val="0"/>
          <c:order val="0"/>
          <c:spPr>
            <a:solidFill>
              <a:srgbClr val="FFAC00"/>
            </a:solidFill>
            <a:ln cmpd="sng">
              <a:solidFill>
                <a:srgbClr val="000000"/>
              </a:solidFill>
            </a:ln>
          </c:spPr>
          <c:invertIfNegative val="1"/>
          <c:dLbls>
            <c:numFmt formatCode="&quot;$&quot;#,##0&quot;T&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'Wealthy Nation'!$B$79:$B$83</c:f>
              <c:strCache>
                <c:ptCount val="5"/>
                <c:pt idx="0">
                  <c:v>Normie</c:v>
                </c:pt>
                <c:pt idx="1">
                  <c:v>BTC 10%</c:v>
                </c:pt>
                <c:pt idx="2">
                  <c:v>BTC Maxi</c:v>
                </c:pt>
                <c:pt idx="3">
                  <c:v>Double Maxi</c:v>
                </c:pt>
                <c:pt idx="4">
                  <c:v>Triple Maxi</c:v>
                </c:pt>
              </c:strCache>
            </c:strRef>
          </c:cat>
          <c:val>
            <c:numRef>
              <c:f>'Wealthy Nation'!$C$79:$C$83</c:f>
              <c:numCache>
                <c:formatCode>_("$"* #,##0_);_("$"* \(#,##0\);_("$"* "-"??_);_(@_)</c:formatCode>
                <c:ptCount val="5"/>
                <c:pt idx="0">
                  <c:v>6.1183440990582332</c:v>
                </c:pt>
                <c:pt idx="1">
                  <c:v>15.064343446890245</c:v>
                </c:pt>
                <c:pt idx="2">
                  <c:v>26.688425226292914</c:v>
                </c:pt>
                <c:pt idx="3">
                  <c:v>41.114688640829357</c:v>
                </c:pt>
                <c:pt idx="4">
                  <c:v>57.734675468702939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3AE-4990-9071-885A2FCC8EA0}"/>
            </c:ext>
          </c:extLst>
        </c:ser>
        <c:dLbls>
          <c:showLegendKey val="0"/>
          <c:showVal val="0"/>
          <c:showCatName val="0"/>
          <c:showSerName val="0"/>
          <c:showPercent val="0"/>
          <c:showBubbleSize val="0"/>
        </c:dLbls>
        <c:gapWidth val="150"/>
        <c:axId val="583788960"/>
        <c:axId val="2146561070"/>
      </c:barChart>
      <c:catAx>
        <c:axId val="58378896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2146561070"/>
        <c:crosses val="autoZero"/>
        <c:auto val="1"/>
        <c:lblAlgn val="ctr"/>
        <c:lblOffset val="100"/>
        <c:noMultiLvlLbl val="1"/>
      </c:catAx>
      <c:valAx>
        <c:axId val="2146561070"/>
        <c:scaling>
          <c:orientation val="minMax"/>
        </c:scaling>
        <c:delete val="0"/>
        <c:axPos val="l"/>
        <c:title>
          <c:tx>
            <c:rich>
              <a:bodyPr/>
              <a:lstStyle/>
              <a:p>
                <a:pPr lvl="0">
                  <a:defRPr b="0">
                    <a:solidFill>
                      <a:srgbClr val="000000"/>
                    </a:solidFill>
                    <a:latin typeface="+mn-lt"/>
                  </a:defRPr>
                </a:pPr>
                <a:endParaRPr/>
              </a:p>
            </c:rich>
          </c:tx>
          <c:overlay val="0"/>
        </c:title>
        <c:numFmt formatCode="_(&quot;$&quot;* #,##0_);_(&quot;$&quot;* \(#,##0\);_(&quot;$&quot;* &quot;-&quot;??_);_(@_)" sourceLinked="1"/>
        <c:majorTickMark val="none"/>
        <c:minorTickMark val="none"/>
        <c:tickLblPos val="nextTo"/>
        <c:spPr>
          <a:ln/>
        </c:spPr>
        <c:txPr>
          <a:bodyPr/>
          <a:lstStyle/>
          <a:p>
            <a:pPr lvl="0">
              <a:defRPr b="0">
                <a:solidFill>
                  <a:srgbClr val="000000"/>
                </a:solidFill>
                <a:latin typeface="+mn-lt"/>
              </a:defRPr>
            </a:pPr>
            <a:endParaRPr lang="en-US"/>
          </a:p>
        </c:txPr>
        <c:crossAx val="583788960"/>
        <c:crosses val="autoZero"/>
        <c:crossBetween val="between"/>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BTC (#)</a:t>
            </a:r>
          </a:p>
        </c:rich>
      </c:tx>
      <c:overlay val="0"/>
    </c:title>
    <c:autoTitleDeleted val="0"/>
    <c:plotArea>
      <c:layout>
        <c:manualLayout>
          <c:xMode val="edge"/>
          <c:yMode val="edge"/>
          <c:x val="1.9905882810876655E-3"/>
          <c:y val="7.4638464201838714E-2"/>
          <c:w val="0.99800941171891233"/>
          <c:h val="0.7790143002170663"/>
        </c:manualLayout>
      </c:layout>
      <c:barChart>
        <c:barDir val="col"/>
        <c:grouping val="clustered"/>
        <c:varyColors val="1"/>
        <c:ser>
          <c:idx val="0"/>
          <c:order val="0"/>
          <c:spPr>
            <a:solidFill>
              <a:srgbClr val="E97132"/>
            </a:solidFill>
            <a:ln cmpd="sng">
              <a:solidFill>
                <a:srgbClr val="000000"/>
              </a:solidFill>
            </a:ln>
          </c:spPr>
          <c:invertIfNegative val="1"/>
          <c:dLbls>
            <c:numFmt formatCode="#,##0.0&quot;M&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'Wealthy Nation'!$B$79:$B$83</c:f>
              <c:strCache>
                <c:ptCount val="5"/>
                <c:pt idx="0">
                  <c:v>Normie</c:v>
                </c:pt>
                <c:pt idx="1">
                  <c:v>BTC 10%</c:v>
                </c:pt>
                <c:pt idx="2">
                  <c:v>BTC Maxi</c:v>
                </c:pt>
                <c:pt idx="3">
                  <c:v>Double Maxi</c:v>
                </c:pt>
                <c:pt idx="4">
                  <c:v>Triple Maxi</c:v>
                </c:pt>
              </c:strCache>
            </c:strRef>
          </c:cat>
          <c:val>
            <c:numRef>
              <c:f>'Wealthy Nation'!$E$79:$E$83</c:f>
              <c:numCache>
                <c:formatCode>#,##0.0</c:formatCode>
                <c:ptCount val="5"/>
                <c:pt idx="0">
                  <c:v>0</c:v>
                </c:pt>
                <c:pt idx="1">
                  <c:v>0.71441371043959367</c:v>
                </c:pt>
                <c:pt idx="2">
                  <c:v>1.6541630755592986</c:v>
                </c:pt>
                <c:pt idx="3">
                  <c:v>2.8546667491957622</c:v>
                </c:pt>
                <c:pt idx="4">
                  <c:v>4.2109715090789113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578-45B5-8E09-806512BA895C}"/>
            </c:ext>
          </c:extLst>
        </c:ser>
        <c:dLbls>
          <c:showLegendKey val="0"/>
          <c:showVal val="0"/>
          <c:showCatName val="0"/>
          <c:showSerName val="0"/>
          <c:showPercent val="0"/>
          <c:showBubbleSize val="0"/>
        </c:dLbls>
        <c:gapWidth val="150"/>
        <c:axId val="1412287620"/>
        <c:axId val="654650109"/>
      </c:barChart>
      <c:catAx>
        <c:axId val="141228762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654650109"/>
        <c:crosses val="autoZero"/>
        <c:auto val="1"/>
        <c:lblAlgn val="ctr"/>
        <c:lblOffset val="100"/>
        <c:noMultiLvlLbl val="1"/>
      </c:catAx>
      <c:valAx>
        <c:axId val="654650109"/>
        <c:scaling>
          <c:orientation val="minMax"/>
        </c:scaling>
        <c:delete val="0"/>
        <c:axPos val="l"/>
        <c:title>
          <c:tx>
            <c:rich>
              <a:bodyPr/>
              <a:lstStyle/>
              <a:p>
                <a:pPr lvl="0">
                  <a:defRPr b="0">
                    <a:solidFill>
                      <a:srgbClr val="000000"/>
                    </a:solidFill>
                    <a:latin typeface="+mn-lt"/>
                  </a:defRPr>
                </a:pPr>
                <a:endParaRPr/>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1412287620"/>
        <c:crosses val="autoZero"/>
        <c:crossBetween val="between"/>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
          <c:y val="7.4711338112737821E-2"/>
          <c:w val="1"/>
          <c:h val="0.82580437277535867"/>
        </c:manualLayout>
      </c:layout>
      <c:barChart>
        <c:barDir val="col"/>
        <c:grouping val="clustered"/>
        <c:varyColors val="1"/>
        <c:ser>
          <c:idx val="0"/>
          <c:order val="0"/>
          <c:tx>
            <c:v>Net Assets</c:v>
          </c:tx>
          <c:spPr>
            <a:solidFill>
              <a:srgbClr val="FFAC00"/>
            </a:solidFill>
            <a:ln cmpd="sng">
              <a:solidFill>
                <a:srgbClr val="000000"/>
              </a:solidFill>
            </a:ln>
          </c:spPr>
          <c:invertIfNegative val="1"/>
          <c:dLbls>
            <c:numFmt formatCode="&quot;$&quot;#,##0&quot;T&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'Wealthy Nation'!$AJ$5:$AJ$33</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'Wealthy Nation'!$AM$5:$AM$33</c:f>
              <c:numCache>
                <c:formatCode>"$"#,##0.0"T"</c:formatCode>
                <c:ptCount val="22"/>
                <c:pt idx="0">
                  <c:v>0.34949999999999998</c:v>
                </c:pt>
                <c:pt idx="1">
                  <c:v>0.4381953582583259</c:v>
                </c:pt>
                <c:pt idx="2">
                  <c:v>0.56186287119881473</c:v>
                </c:pt>
                <c:pt idx="3">
                  <c:v>0.70791451794090032</c:v>
                </c:pt>
                <c:pt idx="4">
                  <c:v>0.88114747257737325</c:v>
                </c:pt>
                <c:pt idx="5">
                  <c:v>1.0870389814028572</c:v>
                </c:pt>
                <c:pt idx="6">
                  <c:v>1.3315856105737296</c:v>
                </c:pt>
                <c:pt idx="7">
                  <c:v>1.6210089381616877</c:v>
                </c:pt>
                <c:pt idx="8">
                  <c:v>1.961309256566214</c:v>
                </c:pt>
                <c:pt idx="9">
                  <c:v>2.3576667846410531</c:v>
                </c:pt>
                <c:pt idx="10">
                  <c:v>2.8137164502179179</c:v>
                </c:pt>
                <c:pt idx="11" formatCode="&quot;$&quot;#,##0&quot;T&quot;">
                  <c:v>3.3307556159068268</c:v>
                </c:pt>
                <c:pt idx="12" formatCode="&quot;$&quot;#,##0&quot;T&quot;">
                  <c:v>3.9069797278167209</c:v>
                </c:pt>
                <c:pt idx="13" formatCode="&quot;$&quot;#,##0&quot;T&quot;">
                  <c:v>4.5368717330005905</c:v>
                </c:pt>
                <c:pt idx="14" formatCode="&quot;$&quot;#,##0&quot;T&quot;">
                  <c:v>5.2657243553512849</c:v>
                </c:pt>
                <c:pt idx="15" formatCode="&quot;$&quot;#,##0&quot;T&quot;">
                  <c:v>6.1106426183657945</c:v>
                </c:pt>
                <c:pt idx="16" formatCode="&quot;$&quot;#,##0&quot;T&quot;">
                  <c:v>7.0919098449679243</c:v>
                </c:pt>
                <c:pt idx="17" formatCode="&quot;$&quot;#,##0&quot;T&quot;">
                  <c:v>8.2336019058327174</c:v>
                </c:pt>
                <c:pt idx="18" formatCode="&quot;$&quot;#,##0&quot;T&quot;">
                  <c:v>9.5643224363766866</c:v>
                </c:pt>
                <c:pt idx="19" formatCode="&quot;$&quot;#,##0&quot;T&quot;">
                  <c:v>11.118083050730204</c:v>
                </c:pt>
                <c:pt idx="20" formatCode="&quot;$&quot;#,##0&quot;T&quot;">
                  <c:v>12.935357372093328</c:v>
                </c:pt>
                <c:pt idx="21" formatCode="&quot;$&quot;#,##0&quot;T&quot;">
                  <c:v>15.064343446890245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A7B-4936-9EE2-912C55828121}"/>
            </c:ext>
          </c:extLst>
        </c:ser>
        <c:dLbls>
          <c:showLegendKey val="0"/>
          <c:showVal val="0"/>
          <c:showCatName val="0"/>
          <c:showSerName val="0"/>
          <c:showPercent val="0"/>
          <c:showBubbleSize val="0"/>
        </c:dLbls>
        <c:gapWidth val="150"/>
        <c:axId val="1644682355"/>
        <c:axId val="1343162237"/>
      </c:barChart>
      <c:lineChart>
        <c:grouping val="standard"/>
        <c:varyColors val="0"/>
        <c:ser>
          <c:idx val="1"/>
          <c:order val="1"/>
          <c:tx>
            <c:v>BTC (#)</c:v>
          </c:tx>
          <c:spPr>
            <a:ln w="28575" cmpd="sng">
              <a:solidFill>
                <a:srgbClr val="C00000">
                  <a:alpha val="100000"/>
                </a:srgbClr>
              </a:solidFill>
            </a:ln>
          </c:spPr>
          <c:marker>
            <c:symbol val="none"/>
          </c:marker>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'Wealthy Nation'!$AJ$5:$AJ$33</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'Wealthy Nation'!$AN$5:$AN$33</c:f>
              <c:numCache>
                <c:formatCode>#,##0.0"M"</c:formatCode>
                <c:ptCount val="22"/>
                <c:pt idx="0">
                  <c:v>0</c:v>
                </c:pt>
                <c:pt idx="1">
                  <c:v>0.56483076923076925</c:v>
                </c:pt>
                <c:pt idx="2">
                  <c:v>0.60166435462842238</c:v>
                </c:pt>
                <c:pt idx="3">
                  <c:v>0.62793680061142831</c:v>
                </c:pt>
                <c:pt idx="4">
                  <c:v>0.64700242761270843</c:v>
                </c:pt>
                <c:pt idx="5">
                  <c:v>0.66108336653273692</c:v>
                </c:pt>
                <c:pt idx="6">
                  <c:v>0.67167060424671232</c:v>
                </c:pt>
                <c:pt idx="7">
                  <c:v>0.67977741107849921</c:v>
                </c:pt>
                <c:pt idx="8">
                  <c:v>0.68610129606920078</c:v>
                </c:pt>
                <c:pt idx="9">
                  <c:v>0.69112867407616674</c:v>
                </c:pt>
                <c:pt idx="10">
                  <c:v>0.69520327378655011</c:v>
                </c:pt>
                <c:pt idx="11">
                  <c:v>0.69857135745916199</c:v>
                </c:pt>
                <c:pt idx="12">
                  <c:v>0.70141196129103633</c:v>
                </c:pt>
                <c:pt idx="13">
                  <c:v>0.70385736632241269</c:v>
                </c:pt>
                <c:pt idx="14">
                  <c:v>0.70596235570408106</c:v>
                </c:pt>
                <c:pt idx="15">
                  <c:v>0.707774152198127</c:v>
                </c:pt>
                <c:pt idx="16">
                  <c:v>0.70933345580672258</c:v>
                </c:pt>
                <c:pt idx="17">
                  <c:v>0.71067533997455024</c:v>
                </c:pt>
                <c:pt idx="18">
                  <c:v>0.71183002547175456</c:v>
                </c:pt>
                <c:pt idx="19">
                  <c:v>0.71282354851225982</c:v>
                </c:pt>
                <c:pt idx="20">
                  <c:v>0.71367833744597531</c:v>
                </c:pt>
                <c:pt idx="21">
                  <c:v>0.71441371043959367</c:v>
                </c:pt>
              </c:numCache>
            </c:numRef>
          </c:val>
          <c:smooth val="0"/>
          <c:extLst>
            <c:ext xmlns:c16="http://schemas.microsoft.com/office/drawing/2014/chart" uri="{C3380CC4-5D6E-409C-BE32-E72D297353CC}">
              <c16:uniqueId val="{00000001-7A7B-4936-9EE2-912C55828121}"/>
            </c:ext>
          </c:extLst>
        </c:ser>
        <c:dLbls>
          <c:showLegendKey val="0"/>
          <c:showVal val="0"/>
          <c:showCatName val="0"/>
          <c:showSerName val="0"/>
          <c:showPercent val="0"/>
          <c:showBubbleSize val="0"/>
        </c:dLbls>
        <c:marker val="1"/>
        <c:smooth val="0"/>
        <c:axId val="1644682355"/>
        <c:axId val="1343162237"/>
      </c:lineChart>
      <c:catAx>
        <c:axId val="164468235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1200" b="1" i="0">
                <a:solidFill>
                  <a:srgbClr val="000000"/>
                </a:solidFill>
                <a:latin typeface="+mn-lt"/>
              </a:defRPr>
            </a:pPr>
            <a:endParaRPr lang="en-US"/>
          </a:p>
        </c:txPr>
        <c:crossAx val="1343162237"/>
        <c:crosses val="autoZero"/>
        <c:auto val="1"/>
        <c:lblAlgn val="ctr"/>
        <c:lblOffset val="100"/>
        <c:noMultiLvlLbl val="1"/>
      </c:catAx>
      <c:valAx>
        <c:axId val="1343162237"/>
        <c:scaling>
          <c:orientation val="minMax"/>
        </c:scaling>
        <c:delete val="0"/>
        <c:axPos val="l"/>
        <c:title>
          <c:tx>
            <c:rich>
              <a:bodyPr/>
              <a:lstStyle/>
              <a:p>
                <a:pPr lvl="0">
                  <a:defRPr b="0">
                    <a:solidFill>
                      <a:srgbClr val="000000"/>
                    </a:solidFill>
                    <a:latin typeface="+mn-lt"/>
                  </a:defRPr>
                </a:pPr>
                <a:endParaRPr/>
              </a:p>
            </c:rich>
          </c:tx>
          <c:overlay val="0"/>
        </c:title>
        <c:numFmt formatCode="#,##0" sourceLinked="0"/>
        <c:majorTickMark val="out"/>
        <c:minorTickMark val="none"/>
        <c:tickLblPos val="nextTo"/>
        <c:spPr>
          <a:ln/>
        </c:spPr>
        <c:txPr>
          <a:bodyPr/>
          <a:lstStyle/>
          <a:p>
            <a:pPr lvl="0">
              <a:defRPr sz="1100" b="0" i="0">
                <a:solidFill>
                  <a:srgbClr val="000000"/>
                </a:solidFill>
                <a:latin typeface="+mn-lt"/>
              </a:defRPr>
            </a:pPr>
            <a:endParaRPr lang="en-US"/>
          </a:p>
        </c:txPr>
        <c:crossAx val="1644682355"/>
        <c:crosses val="autoZero"/>
        <c:crossBetween val="between"/>
      </c:valAx>
    </c:plotArea>
    <c:legend>
      <c:legendPos val="t"/>
      <c:layout>
        <c:manualLayout>
          <c:xMode val="edge"/>
          <c:yMode val="edge"/>
          <c:x val="5.6011134424257258E-3"/>
          <c:y val="2.1550248444909222E-2"/>
        </c:manualLayout>
      </c:layout>
      <c:overlay val="0"/>
      <c:txPr>
        <a:bodyPr/>
        <a:lstStyle/>
        <a:p>
          <a:pPr lvl="0">
            <a:defRPr sz="1200" b="1" i="0">
              <a:solidFill>
                <a:srgbClr val="000000"/>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Net Assets </a:t>
            </a:r>
          </a:p>
        </c:rich>
      </c:tx>
      <c:overlay val="0"/>
    </c:title>
    <c:autoTitleDeleted val="0"/>
    <c:plotArea>
      <c:layout>
        <c:manualLayout>
          <c:xMode val="edge"/>
          <c:yMode val="edge"/>
          <c:x val="1.1785694591841376E-2"/>
          <c:y val="8.1456384984950891E-2"/>
          <c:w val="0.97909263901075672"/>
          <c:h val="0.83410880803494147"/>
        </c:manualLayout>
      </c:layout>
      <c:barChart>
        <c:barDir val="col"/>
        <c:grouping val="clustered"/>
        <c:varyColors val="1"/>
        <c:ser>
          <c:idx val="0"/>
          <c:order val="0"/>
          <c:spPr>
            <a:solidFill>
              <a:srgbClr val="FFAC00"/>
            </a:solidFill>
            <a:ln cmpd="sng">
              <a:solidFill>
                <a:srgbClr val="000000"/>
              </a:solidFill>
            </a:ln>
          </c:spPr>
          <c:invertIfNegative val="1"/>
          <c:dLbls>
            <c:numFmt formatCode="&quot;$&quot;#,##0&quot;T&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'United States'!$B$90:$B$94</c:f>
              <c:strCache>
                <c:ptCount val="5"/>
                <c:pt idx="0">
                  <c:v>Normie</c:v>
                </c:pt>
                <c:pt idx="1">
                  <c:v>BTC 10%</c:v>
                </c:pt>
                <c:pt idx="2">
                  <c:v>BTC Maxi</c:v>
                </c:pt>
                <c:pt idx="3">
                  <c:v>Double Maxi</c:v>
                </c:pt>
                <c:pt idx="4">
                  <c:v>Triple Maxi</c:v>
                </c:pt>
              </c:strCache>
            </c:strRef>
          </c:cat>
          <c:val>
            <c:numRef>
              <c:f>'United States'!$C$90:$C$94</c:f>
              <c:numCache>
                <c:formatCode>_("$"* #,##0_);_("$"* \(#,##0\);_("$"* "-"??_);_(@_)</c:formatCode>
                <c:ptCount val="5"/>
                <c:pt idx="0">
                  <c:v>-30.394802272894253</c:v>
                </c:pt>
                <c:pt idx="1">
                  <c:v>-23.792021414621598</c:v>
                </c:pt>
                <c:pt idx="2">
                  <c:v>-17.230478209606311</c:v>
                </c:pt>
                <c:pt idx="3">
                  <c:v>1.1870932648287535</c:v>
                </c:pt>
                <c:pt idx="4">
                  <c:v>29.792182347859509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923-462A-BAB3-2467374CFA5E}"/>
            </c:ext>
          </c:extLst>
        </c:ser>
        <c:dLbls>
          <c:showLegendKey val="0"/>
          <c:showVal val="0"/>
          <c:showCatName val="0"/>
          <c:showSerName val="0"/>
          <c:showPercent val="0"/>
          <c:showBubbleSize val="0"/>
        </c:dLbls>
        <c:gapWidth val="150"/>
        <c:axId val="1060600755"/>
        <c:axId val="1156586498"/>
      </c:barChart>
      <c:catAx>
        <c:axId val="106060075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1156586498"/>
        <c:crosses val="autoZero"/>
        <c:auto val="1"/>
        <c:lblAlgn val="ctr"/>
        <c:lblOffset val="100"/>
        <c:noMultiLvlLbl val="1"/>
      </c:catAx>
      <c:valAx>
        <c:axId val="1156586498"/>
        <c:scaling>
          <c:orientation val="minMax"/>
        </c:scaling>
        <c:delete val="0"/>
        <c:axPos val="l"/>
        <c:title>
          <c:tx>
            <c:rich>
              <a:bodyPr/>
              <a:lstStyle/>
              <a:p>
                <a:pPr lvl="0">
                  <a:defRPr b="0">
                    <a:solidFill>
                      <a:srgbClr val="000000"/>
                    </a:solidFill>
                    <a:latin typeface="+mn-lt"/>
                  </a:defRPr>
                </a:pPr>
                <a:endParaRPr/>
              </a:p>
            </c:rich>
          </c:tx>
          <c:overlay val="0"/>
        </c:title>
        <c:numFmt formatCode="_(&quot;$&quot;* #,##0_);_(&quot;$&quot;* \(#,##0\);_(&quot;$&quot;* &quot;-&quot;??_);_(@_)" sourceLinked="1"/>
        <c:majorTickMark val="none"/>
        <c:minorTickMark val="none"/>
        <c:tickLblPos val="nextTo"/>
        <c:spPr>
          <a:ln/>
        </c:spPr>
        <c:txPr>
          <a:bodyPr/>
          <a:lstStyle/>
          <a:p>
            <a:pPr lvl="0">
              <a:defRPr b="0">
                <a:solidFill>
                  <a:srgbClr val="000000"/>
                </a:solidFill>
                <a:latin typeface="+mn-lt"/>
              </a:defRPr>
            </a:pPr>
            <a:endParaRPr lang="en-US"/>
          </a:p>
        </c:txPr>
        <c:crossAx val="1060600755"/>
        <c:crosses val="autoZero"/>
        <c:crossBetween val="between"/>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1" i="0">
                <a:solidFill>
                  <a:srgbClr val="757575"/>
                </a:solidFill>
                <a:latin typeface="+mn-lt"/>
              </a:defRPr>
            </a:pPr>
            <a:r>
              <a:rPr sz="1400" b="1" i="0">
                <a:solidFill>
                  <a:srgbClr val="757575"/>
                </a:solidFill>
                <a:latin typeface="+mn-lt"/>
              </a:rPr>
              <a:t>2045 BTC (#)</a:t>
            </a:r>
          </a:p>
        </c:rich>
      </c:tx>
      <c:overlay val="0"/>
    </c:title>
    <c:autoTitleDeleted val="0"/>
    <c:plotArea>
      <c:layout>
        <c:manualLayout>
          <c:xMode val="edge"/>
          <c:yMode val="edge"/>
          <c:x val="1.9905882810876655E-3"/>
          <c:y val="7.4638464201838714E-2"/>
          <c:w val="0.99800941171891233"/>
          <c:h val="0.7790143002170663"/>
        </c:manualLayout>
      </c:layout>
      <c:barChart>
        <c:barDir val="col"/>
        <c:grouping val="clustered"/>
        <c:varyColors val="1"/>
        <c:ser>
          <c:idx val="0"/>
          <c:order val="0"/>
          <c:spPr>
            <a:solidFill>
              <a:srgbClr val="E97132"/>
            </a:solidFill>
            <a:ln cmpd="sng">
              <a:solidFill>
                <a:srgbClr val="000000"/>
              </a:solidFill>
            </a:ln>
          </c:spPr>
          <c:invertIfNegative val="1"/>
          <c:dLbls>
            <c:numFmt formatCode="#,##0.0&quot;M&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'United States'!$B$90:$B$94</c:f>
              <c:strCache>
                <c:ptCount val="5"/>
                <c:pt idx="0">
                  <c:v>Normie</c:v>
                </c:pt>
                <c:pt idx="1">
                  <c:v>BTC 10%</c:v>
                </c:pt>
                <c:pt idx="2">
                  <c:v>BTC Maxi</c:v>
                </c:pt>
                <c:pt idx="3">
                  <c:v>Double Maxi</c:v>
                </c:pt>
                <c:pt idx="4">
                  <c:v>Triple Maxi</c:v>
                </c:pt>
              </c:strCache>
            </c:strRef>
          </c:cat>
          <c:val>
            <c:numRef>
              <c:f>'United States'!$E$90:$E$94</c:f>
              <c:numCache>
                <c:formatCode>#,##0.0</c:formatCode>
                <c:ptCount val="5"/>
                <c:pt idx="0">
                  <c:v>0</c:v>
                </c:pt>
                <c:pt idx="1">
                  <c:v>0.5</c:v>
                </c:pt>
                <c:pt idx="2">
                  <c:v>1</c:v>
                </c:pt>
                <c:pt idx="3">
                  <c:v>3.2632025077939377</c:v>
                </c:pt>
                <c:pt idx="4">
                  <c:v>5.8420971115518769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6C9-4978-ACB2-9112EFEDCCF1}"/>
            </c:ext>
          </c:extLst>
        </c:ser>
        <c:dLbls>
          <c:showLegendKey val="0"/>
          <c:showVal val="0"/>
          <c:showCatName val="0"/>
          <c:showSerName val="0"/>
          <c:showPercent val="0"/>
          <c:showBubbleSize val="0"/>
        </c:dLbls>
        <c:gapWidth val="150"/>
        <c:axId val="1858694431"/>
        <c:axId val="1226261208"/>
      </c:barChart>
      <c:catAx>
        <c:axId val="185869443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400" b="1" i="0">
                <a:solidFill>
                  <a:srgbClr val="000000"/>
                </a:solidFill>
                <a:latin typeface="+mn-lt"/>
              </a:defRPr>
            </a:pPr>
            <a:endParaRPr lang="en-US"/>
          </a:p>
        </c:txPr>
        <c:crossAx val="1226261208"/>
        <c:crosses val="autoZero"/>
        <c:auto val="1"/>
        <c:lblAlgn val="ctr"/>
        <c:lblOffset val="100"/>
        <c:noMultiLvlLbl val="1"/>
      </c:catAx>
      <c:valAx>
        <c:axId val="1226261208"/>
        <c:scaling>
          <c:orientation val="minMax"/>
        </c:scaling>
        <c:delete val="0"/>
        <c:axPos val="l"/>
        <c:title>
          <c:tx>
            <c:rich>
              <a:bodyPr/>
              <a:lstStyle/>
              <a:p>
                <a:pPr lvl="0">
                  <a:defRPr b="0">
                    <a:solidFill>
                      <a:srgbClr val="000000"/>
                    </a:solidFill>
                    <a:latin typeface="+mn-lt"/>
                  </a:defRPr>
                </a:pPr>
                <a:endParaRPr/>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1858694431"/>
        <c:crosses val="autoZero"/>
        <c:crossBetween val="between"/>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
          <c:y val="7.4711338112737821E-2"/>
          <c:w val="1"/>
          <c:h val="0.82580437277535867"/>
        </c:manualLayout>
      </c:layout>
      <c:barChart>
        <c:barDir val="col"/>
        <c:grouping val="clustered"/>
        <c:varyColors val="1"/>
        <c:ser>
          <c:idx val="0"/>
          <c:order val="0"/>
          <c:tx>
            <c:v>Net Assets</c:v>
          </c:tx>
          <c:spPr>
            <a:solidFill>
              <a:srgbClr val="FFAC00"/>
            </a:solidFill>
            <a:ln cmpd="sng">
              <a:solidFill>
                <a:srgbClr val="000000"/>
              </a:solidFill>
            </a:ln>
          </c:spPr>
          <c:invertIfNegative val="1"/>
          <c:dLbls>
            <c:numFmt formatCode="&quot;$&quot;#,##0&quot;T&quot;" sourceLinked="0"/>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'United States'!$AJ$5:$AJ$39</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'United States'!$AM$5:$AM$39</c:f>
              <c:numCache>
                <c:formatCode>"$"#,##0"T"</c:formatCode>
                <c:ptCount val="22"/>
                <c:pt idx="0">
                  <c:v>-35.4</c:v>
                </c:pt>
                <c:pt idx="1">
                  <c:v>-37.533835380835384</c:v>
                </c:pt>
                <c:pt idx="2">
                  <c:v>-39.577943623957893</c:v>
                </c:pt>
                <c:pt idx="3">
                  <c:v>-41.479748677057287</c:v>
                </c:pt>
                <c:pt idx="4">
                  <c:v>-43.168843959552355</c:v>
                </c:pt>
                <c:pt idx="5">
                  <c:v>-44.553740730679344</c:v>
                </c:pt>
                <c:pt idx="6">
                  <c:v>-45.661294466003241</c:v>
                </c:pt>
                <c:pt idx="7">
                  <c:v>-46.436580894268452</c:v>
                </c:pt>
                <c:pt idx="8">
                  <c:v>-46.823812270145361</c:v>
                </c:pt>
                <c:pt idx="9">
                  <c:v>-46.769505160308192</c:v>
                </c:pt>
                <c:pt idx="10">
                  <c:v>-46.226321456710338</c:v>
                </c:pt>
                <c:pt idx="11">
                  <c:v>-45.157242288312887</c:v>
                </c:pt>
                <c:pt idx="12">
                  <c:v>-43.539536937576088</c:v>
                </c:pt>
                <c:pt idx="13">
                  <c:v>-41.367819577745301</c:v>
                </c:pt>
                <c:pt idx="14">
                  <c:v>-38.335568174653673</c:v>
                </c:pt>
                <c:pt idx="15">
                  <c:v>-34.246594570223564</c:v>
                </c:pt>
                <c:pt idx="16">
                  <c:v>-28.863951351726943</c:v>
                </c:pt>
                <c:pt idx="17">
                  <c:v>-21.901679505938137</c:v>
                </c:pt>
                <c:pt idx="18">
                  <c:v>-13.01489880652656</c:v>
                </c:pt>
                <c:pt idx="19">
                  <c:v>-1.7879090149897934</c:v>
                </c:pt>
                <c:pt idx="20">
                  <c:v>12.28009644077602</c:v>
                </c:pt>
                <c:pt idx="21">
                  <c:v>29.792182347859509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B85-4216-A325-5F142D769917}"/>
            </c:ext>
          </c:extLst>
        </c:ser>
        <c:dLbls>
          <c:showLegendKey val="0"/>
          <c:showVal val="0"/>
          <c:showCatName val="0"/>
          <c:showSerName val="0"/>
          <c:showPercent val="0"/>
          <c:showBubbleSize val="0"/>
        </c:dLbls>
        <c:gapWidth val="150"/>
        <c:axId val="132397719"/>
        <c:axId val="2086431404"/>
      </c:barChart>
      <c:lineChart>
        <c:grouping val="standard"/>
        <c:varyColors val="0"/>
        <c:ser>
          <c:idx val="1"/>
          <c:order val="1"/>
          <c:tx>
            <c:v>BTC (#)</c:v>
          </c:tx>
          <c:spPr>
            <a:ln w="28575" cmpd="sng">
              <a:solidFill>
                <a:srgbClr val="C00000">
                  <a:alpha val="100000"/>
                </a:srgbClr>
              </a:solidFill>
            </a:ln>
          </c:spPr>
          <c:marker>
            <c:symbol val="none"/>
          </c:marker>
          <c:dLbls>
            <c:spPr>
              <a:noFill/>
              <a:ln>
                <a:noFill/>
              </a:ln>
              <a:effectLst/>
            </c:spPr>
            <c:txPr>
              <a:bodyPr/>
              <a:lstStyle/>
              <a:p>
                <a:pPr lvl="0">
                  <a:defRPr sz="12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'United States'!$AJ$5:$AJ$39</c:f>
              <c:numCache>
                <c:formatCode>General</c:formatCode>
                <c:ptCount val="22"/>
                <c:pt idx="0">
                  <c:v>2024</c:v>
                </c:pt>
                <c:pt idx="1">
                  <c:v>2025</c:v>
                </c:pt>
                <c:pt idx="2">
                  <c:v>2026</c:v>
                </c:pt>
                <c:pt idx="3">
                  <c:v>2027</c:v>
                </c:pt>
                <c:pt idx="4">
                  <c:v>2028</c:v>
                </c:pt>
                <c:pt idx="5">
                  <c:v>2029</c:v>
                </c:pt>
                <c:pt idx="6">
                  <c:v>2030</c:v>
                </c:pt>
                <c:pt idx="7">
                  <c:v>2031</c:v>
                </c:pt>
                <c:pt idx="8">
                  <c:v>2032</c:v>
                </c:pt>
                <c:pt idx="9">
                  <c:v>2033</c:v>
                </c:pt>
                <c:pt idx="10">
                  <c:v>2034</c:v>
                </c:pt>
                <c:pt idx="11">
                  <c:v>2035</c:v>
                </c:pt>
                <c:pt idx="12">
                  <c:v>2036</c:v>
                </c:pt>
                <c:pt idx="13">
                  <c:v>2037</c:v>
                </c:pt>
                <c:pt idx="14">
                  <c:v>2038</c:v>
                </c:pt>
                <c:pt idx="15">
                  <c:v>2039</c:v>
                </c:pt>
                <c:pt idx="16">
                  <c:v>2040</c:v>
                </c:pt>
                <c:pt idx="17">
                  <c:v>2041</c:v>
                </c:pt>
                <c:pt idx="18">
                  <c:v>2042</c:v>
                </c:pt>
                <c:pt idx="19">
                  <c:v>2043</c:v>
                </c:pt>
                <c:pt idx="20">
                  <c:v>2044</c:v>
                </c:pt>
                <c:pt idx="21">
                  <c:v>2045</c:v>
                </c:pt>
              </c:numCache>
            </c:numRef>
          </c:cat>
          <c:val>
            <c:numRef>
              <c:f>'United States'!$AN$5:$AN$39</c:f>
              <c:numCache>
                <c:formatCode>#,##0.0"M"</c:formatCode>
                <c:ptCount val="22"/>
                <c:pt idx="0">
                  <c:v>0</c:v>
                </c:pt>
                <c:pt idx="1">
                  <c:v>1</c:v>
                </c:pt>
                <c:pt idx="2">
                  <c:v>2</c:v>
                </c:pt>
                <c:pt idx="3">
                  <c:v>3</c:v>
                </c:pt>
                <c:pt idx="4">
                  <c:v>4</c:v>
                </c:pt>
                <c:pt idx="5">
                  <c:v>4</c:v>
                </c:pt>
                <c:pt idx="6">
                  <c:v>4</c:v>
                </c:pt>
                <c:pt idx="7">
                  <c:v>4</c:v>
                </c:pt>
                <c:pt idx="8">
                  <c:v>4</c:v>
                </c:pt>
                <c:pt idx="9">
                  <c:v>4</c:v>
                </c:pt>
                <c:pt idx="10">
                  <c:v>4</c:v>
                </c:pt>
                <c:pt idx="11">
                  <c:v>4</c:v>
                </c:pt>
                <c:pt idx="12">
                  <c:v>4</c:v>
                </c:pt>
                <c:pt idx="13">
                  <c:v>4.015939109838631</c:v>
                </c:pt>
                <c:pt idx="14">
                  <c:v>4.1163036328454785</c:v>
                </c:pt>
                <c:pt idx="15">
                  <c:v>4.2801872488098116</c:v>
                </c:pt>
                <c:pt idx="16">
                  <c:v>4.4905600741187053</c:v>
                </c:pt>
                <c:pt idx="17">
                  <c:v>4.7336268949967542</c:v>
                </c:pt>
                <c:pt idx="18">
                  <c:v>4.9982856076968396</c:v>
                </c:pt>
                <c:pt idx="19">
                  <c:v>5.275670742611406</c:v>
                </c:pt>
                <c:pt idx="20">
                  <c:v>5.5587691846725331</c:v>
                </c:pt>
                <c:pt idx="21">
                  <c:v>5.8420971115518769</c:v>
                </c:pt>
              </c:numCache>
            </c:numRef>
          </c:val>
          <c:smooth val="0"/>
          <c:extLst>
            <c:ext xmlns:c16="http://schemas.microsoft.com/office/drawing/2014/chart" uri="{C3380CC4-5D6E-409C-BE32-E72D297353CC}">
              <c16:uniqueId val="{00000001-DB85-4216-A325-5F142D769917}"/>
            </c:ext>
          </c:extLst>
        </c:ser>
        <c:dLbls>
          <c:showLegendKey val="0"/>
          <c:showVal val="0"/>
          <c:showCatName val="0"/>
          <c:showSerName val="0"/>
          <c:showPercent val="0"/>
          <c:showBubbleSize val="0"/>
        </c:dLbls>
        <c:marker val="1"/>
        <c:smooth val="0"/>
        <c:axId val="132397719"/>
        <c:axId val="2086431404"/>
      </c:lineChart>
      <c:catAx>
        <c:axId val="13239771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0"/>
          <a:lstStyle/>
          <a:p>
            <a:pPr lvl="0">
              <a:defRPr sz="1200" b="1" i="0">
                <a:solidFill>
                  <a:srgbClr val="000000"/>
                </a:solidFill>
                <a:latin typeface="+mn-lt"/>
              </a:defRPr>
            </a:pPr>
            <a:endParaRPr lang="en-US"/>
          </a:p>
        </c:txPr>
        <c:crossAx val="2086431404"/>
        <c:crosses val="autoZero"/>
        <c:auto val="1"/>
        <c:lblAlgn val="ctr"/>
        <c:lblOffset val="100"/>
        <c:noMultiLvlLbl val="1"/>
      </c:catAx>
      <c:valAx>
        <c:axId val="2086431404"/>
        <c:scaling>
          <c:orientation val="minMax"/>
        </c:scaling>
        <c:delete val="0"/>
        <c:axPos val="l"/>
        <c:title>
          <c:tx>
            <c:rich>
              <a:bodyPr/>
              <a:lstStyle/>
              <a:p>
                <a:pPr lvl="0">
                  <a:defRPr b="0">
                    <a:solidFill>
                      <a:srgbClr val="000000"/>
                    </a:solidFill>
                    <a:latin typeface="+mn-lt"/>
                  </a:defRPr>
                </a:pPr>
                <a:endParaRPr/>
              </a:p>
            </c:rich>
          </c:tx>
          <c:overlay val="0"/>
        </c:title>
        <c:numFmt formatCode="#,##0" sourceLinked="0"/>
        <c:majorTickMark val="out"/>
        <c:minorTickMark val="none"/>
        <c:tickLblPos val="nextTo"/>
        <c:spPr>
          <a:ln/>
        </c:spPr>
        <c:txPr>
          <a:bodyPr/>
          <a:lstStyle/>
          <a:p>
            <a:pPr lvl="0">
              <a:defRPr sz="1100" b="0" i="0">
                <a:solidFill>
                  <a:srgbClr val="000000"/>
                </a:solidFill>
                <a:latin typeface="+mn-lt"/>
              </a:defRPr>
            </a:pPr>
            <a:endParaRPr lang="en-US"/>
          </a:p>
        </c:txPr>
        <c:crossAx val="132397719"/>
        <c:crosses val="autoZero"/>
        <c:crossBetween val="between"/>
      </c:valAx>
    </c:plotArea>
    <c:legend>
      <c:legendPos val="t"/>
      <c:layout>
        <c:manualLayout>
          <c:xMode val="edge"/>
          <c:yMode val="edge"/>
          <c:x val="1.4834917075555105E-2"/>
          <c:y val="1.2067190823387013E-2"/>
        </c:manualLayout>
      </c:layout>
      <c:overlay val="0"/>
      <c:txPr>
        <a:bodyPr/>
        <a:lstStyle/>
        <a:p>
          <a:pPr lvl="0">
            <a:defRPr sz="1200" b="1" i="0">
              <a:solidFill>
                <a:srgbClr val="000000"/>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image" Target="../media/image6.png"/></Relationships>
</file>

<file path=xl/drawings/_rels/drawing8.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3</xdr:col>
      <xdr:colOff>628650</xdr:colOff>
      <xdr:row>0</xdr:row>
      <xdr:rowOff>190500</xdr:rowOff>
    </xdr:from>
    <xdr:ext cx="962025" cy="523875"/>
    <xdr:pic>
      <xdr:nvPicPr>
        <xdr:cNvPr id="2" name="image6.png" descr="Bitcoin Logo, symbol, meaning, history, PNG, brand"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1247775</xdr:colOff>
      <xdr:row>18</xdr:row>
      <xdr:rowOff>2933700</xdr:rowOff>
    </xdr:from>
    <xdr:ext cx="1485900" cy="847725"/>
    <xdr:pic>
      <xdr:nvPicPr>
        <xdr:cNvPr id="3" name="image3.jpg">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95250</xdr:colOff>
      <xdr:row>9</xdr:row>
      <xdr:rowOff>152400</xdr:rowOff>
    </xdr:from>
    <xdr:ext cx="11315700" cy="492442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47625</xdr:colOff>
      <xdr:row>2</xdr:row>
      <xdr:rowOff>9525</xdr:rowOff>
    </xdr:from>
    <xdr:ext cx="5057775" cy="14287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47625</xdr:colOff>
      <xdr:row>64</xdr:row>
      <xdr:rowOff>19050</xdr:rowOff>
    </xdr:from>
    <xdr:ext cx="18097500" cy="4305300"/>
    <xdr:graphicFrame macro="">
      <xdr:nvGraphicFramePr>
        <xdr:cNvPr id="3" name="Chart 3">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24</xdr:col>
      <xdr:colOff>742950</xdr:colOff>
      <xdr:row>64</xdr:row>
      <xdr:rowOff>28575</xdr:rowOff>
    </xdr:from>
    <xdr:ext cx="10372725" cy="4305300"/>
    <xdr:graphicFrame macro="">
      <xdr:nvGraphicFramePr>
        <xdr:cNvPr id="4" name="Chart 4">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9525</xdr:colOff>
      <xdr:row>35</xdr:row>
      <xdr:rowOff>47625</xdr:rowOff>
    </xdr:from>
    <xdr:ext cx="28755975" cy="5467350"/>
    <xdr:graphicFrame macro="">
      <xdr:nvGraphicFramePr>
        <xdr:cNvPr id="5" name="Chart 5">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24</xdr:col>
      <xdr:colOff>228600</xdr:colOff>
      <xdr:row>22</xdr:row>
      <xdr:rowOff>0</xdr:rowOff>
    </xdr:from>
    <xdr:ext cx="714375" cy="219075"/>
    <xdr:sp macro="" textlink="">
      <xdr:nvSpPr>
        <xdr:cNvPr id="2" name="Shape 3">
          <a:extLst>
            <a:ext uri="{FF2B5EF4-FFF2-40B4-BE49-F238E27FC236}">
              <a16:creationId xmlns:a16="http://schemas.microsoft.com/office/drawing/2014/main" id="{00000000-0008-0000-0300-000002000000}"/>
            </a:ext>
          </a:extLst>
        </xdr:cNvPr>
        <xdr:cNvSpPr/>
      </xdr:nvSpPr>
      <xdr:spPr>
        <a:xfrm>
          <a:off x="4998338" y="3679988"/>
          <a:ext cx="695325" cy="2000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133350</xdr:colOff>
      <xdr:row>32</xdr:row>
      <xdr:rowOff>0</xdr:rowOff>
    </xdr:from>
    <xdr:ext cx="790575" cy="200025"/>
    <xdr:sp macro="" textlink="">
      <xdr:nvSpPr>
        <xdr:cNvPr id="6" name="Shape 4">
          <a:extLst>
            <a:ext uri="{FF2B5EF4-FFF2-40B4-BE49-F238E27FC236}">
              <a16:creationId xmlns:a16="http://schemas.microsoft.com/office/drawing/2014/main" id="{00000000-0008-0000-0300-000006000000}"/>
            </a:ext>
          </a:extLst>
        </xdr:cNvPr>
        <xdr:cNvSpPr/>
      </xdr:nvSpPr>
      <xdr:spPr>
        <a:xfrm>
          <a:off x="4960238" y="3684750"/>
          <a:ext cx="771525" cy="19050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24</xdr:col>
      <xdr:colOff>9525</xdr:colOff>
      <xdr:row>31</xdr:row>
      <xdr:rowOff>161925</xdr:rowOff>
    </xdr:from>
    <xdr:ext cx="866775" cy="228600"/>
    <xdr:sp macro="" textlink="">
      <xdr:nvSpPr>
        <xdr:cNvPr id="7" name="Shape 5">
          <a:extLst>
            <a:ext uri="{FF2B5EF4-FFF2-40B4-BE49-F238E27FC236}">
              <a16:creationId xmlns:a16="http://schemas.microsoft.com/office/drawing/2014/main" id="{00000000-0008-0000-0300-000007000000}"/>
            </a:ext>
          </a:extLst>
        </xdr:cNvPr>
        <xdr:cNvSpPr/>
      </xdr:nvSpPr>
      <xdr:spPr>
        <a:xfrm>
          <a:off x="4922138" y="3675225"/>
          <a:ext cx="847725" cy="20955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0</xdr:colOff>
      <xdr:row>0</xdr:row>
      <xdr:rowOff>0</xdr:rowOff>
    </xdr:from>
    <xdr:ext cx="190500" cy="190500"/>
    <xdr:pic>
      <xdr:nvPicPr>
        <xdr:cNvPr id="8" name="image1.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79</xdr:row>
      <xdr:rowOff>28575</xdr:rowOff>
    </xdr:from>
    <xdr:ext cx="20126325" cy="3638550"/>
    <xdr:graphicFrame macro="">
      <xdr:nvGraphicFramePr>
        <xdr:cNvPr id="6" name="Chart 6">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24</xdr:col>
      <xdr:colOff>161925</xdr:colOff>
      <xdr:row>79</xdr:row>
      <xdr:rowOff>19050</xdr:rowOff>
    </xdr:from>
    <xdr:ext cx="11687175" cy="3648075"/>
    <xdr:graphicFrame macro="">
      <xdr:nvGraphicFramePr>
        <xdr:cNvPr id="7" name="Chart 7">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24</xdr:col>
      <xdr:colOff>190500</xdr:colOff>
      <xdr:row>19</xdr:row>
      <xdr:rowOff>161925</xdr:rowOff>
    </xdr:from>
    <xdr:ext cx="857250" cy="257175"/>
    <xdr:sp macro="" textlink="">
      <xdr:nvSpPr>
        <xdr:cNvPr id="2" name="Shape 6">
          <a:extLst>
            <a:ext uri="{FF2B5EF4-FFF2-40B4-BE49-F238E27FC236}">
              <a16:creationId xmlns:a16="http://schemas.microsoft.com/office/drawing/2014/main" id="{00000000-0008-0000-0400-000002000000}"/>
            </a:ext>
          </a:extLst>
        </xdr:cNvPr>
        <xdr:cNvSpPr/>
      </xdr:nvSpPr>
      <xdr:spPr>
        <a:xfrm>
          <a:off x="4926900" y="3660938"/>
          <a:ext cx="838200" cy="2381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828675</xdr:colOff>
      <xdr:row>42</xdr:row>
      <xdr:rowOff>161925</xdr:rowOff>
    </xdr:from>
    <xdr:ext cx="5638800" cy="276225"/>
    <xdr:sp macro="" textlink="">
      <xdr:nvSpPr>
        <xdr:cNvPr id="3" name="Shape 7">
          <a:extLst>
            <a:ext uri="{FF2B5EF4-FFF2-40B4-BE49-F238E27FC236}">
              <a16:creationId xmlns:a16="http://schemas.microsoft.com/office/drawing/2014/main" id="{00000000-0008-0000-0400-000003000000}"/>
            </a:ext>
          </a:extLst>
        </xdr:cNvPr>
        <xdr:cNvSpPr/>
      </xdr:nvSpPr>
      <xdr:spPr>
        <a:xfrm>
          <a:off x="2536125" y="3651413"/>
          <a:ext cx="5619750" cy="25717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847725</xdr:colOff>
      <xdr:row>46</xdr:row>
      <xdr:rowOff>152400</xdr:rowOff>
    </xdr:from>
    <xdr:ext cx="5638800" cy="276225"/>
    <xdr:sp macro="" textlink="">
      <xdr:nvSpPr>
        <xdr:cNvPr id="4" name="Shape 7">
          <a:extLst>
            <a:ext uri="{FF2B5EF4-FFF2-40B4-BE49-F238E27FC236}">
              <a16:creationId xmlns:a16="http://schemas.microsoft.com/office/drawing/2014/main" id="{00000000-0008-0000-0400-000004000000}"/>
            </a:ext>
          </a:extLst>
        </xdr:cNvPr>
        <xdr:cNvSpPr/>
      </xdr:nvSpPr>
      <xdr:spPr>
        <a:xfrm>
          <a:off x="2536125" y="3651413"/>
          <a:ext cx="5619750" cy="25717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238125</xdr:colOff>
      <xdr:row>46</xdr:row>
      <xdr:rowOff>152400</xdr:rowOff>
    </xdr:from>
    <xdr:ext cx="2914650" cy="276225"/>
    <xdr:sp macro="" textlink="">
      <xdr:nvSpPr>
        <xdr:cNvPr id="8" name="Shape 8">
          <a:extLst>
            <a:ext uri="{FF2B5EF4-FFF2-40B4-BE49-F238E27FC236}">
              <a16:creationId xmlns:a16="http://schemas.microsoft.com/office/drawing/2014/main" id="{00000000-0008-0000-0400-000008000000}"/>
            </a:ext>
          </a:extLst>
        </xdr:cNvPr>
        <xdr:cNvSpPr/>
      </xdr:nvSpPr>
      <xdr:spPr>
        <a:xfrm>
          <a:off x="3898200" y="3651413"/>
          <a:ext cx="2895600" cy="25717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247650</xdr:colOff>
      <xdr:row>42</xdr:row>
      <xdr:rowOff>152400</xdr:rowOff>
    </xdr:from>
    <xdr:ext cx="2914650" cy="276225"/>
    <xdr:sp macro="" textlink="">
      <xdr:nvSpPr>
        <xdr:cNvPr id="9" name="Shape 9">
          <a:extLst>
            <a:ext uri="{FF2B5EF4-FFF2-40B4-BE49-F238E27FC236}">
              <a16:creationId xmlns:a16="http://schemas.microsoft.com/office/drawing/2014/main" id="{00000000-0008-0000-0400-000009000000}"/>
            </a:ext>
          </a:extLst>
        </xdr:cNvPr>
        <xdr:cNvSpPr/>
      </xdr:nvSpPr>
      <xdr:spPr>
        <a:xfrm>
          <a:off x="3898200" y="3651413"/>
          <a:ext cx="2895600" cy="25717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0</xdr:colOff>
      <xdr:row>0</xdr:row>
      <xdr:rowOff>0</xdr:rowOff>
    </xdr:from>
    <xdr:ext cx="190500" cy="190500"/>
    <xdr:pic>
      <xdr:nvPicPr>
        <xdr:cNvPr id="5" name="image2.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38100</xdr:colOff>
      <xdr:row>38</xdr:row>
      <xdr:rowOff>85725</xdr:rowOff>
    </xdr:from>
    <xdr:ext cx="28413075" cy="5610225"/>
    <xdr:graphicFrame macro="">
      <xdr:nvGraphicFramePr>
        <xdr:cNvPr id="8" name="Chart 8">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47625</xdr:colOff>
      <xdr:row>68</xdr:row>
      <xdr:rowOff>38100</xdr:rowOff>
    </xdr:from>
    <xdr:ext cx="18107025" cy="3638550"/>
    <xdr:graphicFrame macro="">
      <xdr:nvGraphicFramePr>
        <xdr:cNvPr id="9" name="Chart 9">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24</xdr:col>
      <xdr:colOff>219075</xdr:colOff>
      <xdr:row>68</xdr:row>
      <xdr:rowOff>28575</xdr:rowOff>
    </xdr:from>
    <xdr:ext cx="9991725" cy="3648075"/>
    <xdr:graphicFrame macro="">
      <xdr:nvGraphicFramePr>
        <xdr:cNvPr id="10" name="Chart 10">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24</xdr:col>
      <xdr:colOff>209550</xdr:colOff>
      <xdr:row>18</xdr:row>
      <xdr:rowOff>-9525</xdr:rowOff>
    </xdr:from>
    <xdr:ext cx="790575" cy="209550"/>
    <xdr:sp macro="" textlink="">
      <xdr:nvSpPr>
        <xdr:cNvPr id="2" name="Shape 10">
          <a:extLst>
            <a:ext uri="{FF2B5EF4-FFF2-40B4-BE49-F238E27FC236}">
              <a16:creationId xmlns:a16="http://schemas.microsoft.com/office/drawing/2014/main" id="{00000000-0008-0000-0500-000002000000}"/>
            </a:ext>
          </a:extLst>
        </xdr:cNvPr>
        <xdr:cNvSpPr/>
      </xdr:nvSpPr>
      <xdr:spPr>
        <a:xfrm>
          <a:off x="4960238" y="3684750"/>
          <a:ext cx="771525" cy="19050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133350</xdr:colOff>
      <xdr:row>34</xdr:row>
      <xdr:rowOff>28575</xdr:rowOff>
    </xdr:from>
    <xdr:ext cx="781050" cy="247650"/>
    <xdr:sp macro="" textlink="">
      <xdr:nvSpPr>
        <xdr:cNvPr id="11" name="Shape 11">
          <a:extLst>
            <a:ext uri="{FF2B5EF4-FFF2-40B4-BE49-F238E27FC236}">
              <a16:creationId xmlns:a16="http://schemas.microsoft.com/office/drawing/2014/main" id="{00000000-0008-0000-0500-00000B000000}"/>
            </a:ext>
          </a:extLst>
        </xdr:cNvPr>
        <xdr:cNvSpPr/>
      </xdr:nvSpPr>
      <xdr:spPr>
        <a:xfrm>
          <a:off x="4965000" y="3665700"/>
          <a:ext cx="762000" cy="22860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790575</xdr:colOff>
      <xdr:row>34</xdr:row>
      <xdr:rowOff>28575</xdr:rowOff>
    </xdr:from>
    <xdr:ext cx="4248150" cy="247650"/>
    <xdr:sp macro="" textlink="">
      <xdr:nvSpPr>
        <xdr:cNvPr id="12" name="Shape 12">
          <a:extLst>
            <a:ext uri="{FF2B5EF4-FFF2-40B4-BE49-F238E27FC236}">
              <a16:creationId xmlns:a16="http://schemas.microsoft.com/office/drawing/2014/main" id="{00000000-0008-0000-0500-00000C000000}"/>
            </a:ext>
          </a:extLst>
        </xdr:cNvPr>
        <xdr:cNvSpPr/>
      </xdr:nvSpPr>
      <xdr:spPr>
        <a:xfrm>
          <a:off x="3231450" y="3665700"/>
          <a:ext cx="4229100" cy="22860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457200</xdr:colOff>
      <xdr:row>0</xdr:row>
      <xdr:rowOff>9525</xdr:rowOff>
    </xdr:from>
    <xdr:ext cx="314325" cy="314325"/>
    <xdr:pic>
      <xdr:nvPicPr>
        <xdr:cNvPr id="3" name="image4.png" descr="Building with solid fill">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78</xdr:row>
      <xdr:rowOff>28575</xdr:rowOff>
    </xdr:from>
    <xdr:ext cx="19688175" cy="4067175"/>
    <xdr:graphicFrame macro="">
      <xdr:nvGraphicFramePr>
        <xdr:cNvPr id="11" name="Chart 11">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24</xdr:col>
      <xdr:colOff>95250</xdr:colOff>
      <xdr:row>78</xdr:row>
      <xdr:rowOff>19050</xdr:rowOff>
    </xdr:from>
    <xdr:ext cx="11087100" cy="4076700"/>
    <xdr:graphicFrame macro="">
      <xdr:nvGraphicFramePr>
        <xdr:cNvPr id="12" name="Chart 12">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0</xdr:colOff>
      <xdr:row>48</xdr:row>
      <xdr:rowOff>0</xdr:rowOff>
    </xdr:from>
    <xdr:ext cx="35613975" cy="5610225"/>
    <xdr:graphicFrame macro="">
      <xdr:nvGraphicFramePr>
        <xdr:cNvPr id="13" name="Chart 13">
          <a:extLst>
            <a:ext uri="{FF2B5EF4-FFF2-40B4-BE49-F238E27FC236}">
              <a16:creationId xmlns:a16="http://schemas.microsoft.com/office/drawing/2014/main" id="{00000000-0008-0000-06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24</xdr:col>
      <xdr:colOff>95250</xdr:colOff>
      <xdr:row>19</xdr:row>
      <xdr:rowOff>161925</xdr:rowOff>
    </xdr:from>
    <xdr:ext cx="904875" cy="257175"/>
    <xdr:sp macro="" textlink="">
      <xdr:nvSpPr>
        <xdr:cNvPr id="2" name="Shape 13">
          <a:extLst>
            <a:ext uri="{FF2B5EF4-FFF2-40B4-BE49-F238E27FC236}">
              <a16:creationId xmlns:a16="http://schemas.microsoft.com/office/drawing/2014/main" id="{00000000-0008-0000-0600-000002000000}"/>
            </a:ext>
          </a:extLst>
        </xdr:cNvPr>
        <xdr:cNvSpPr/>
      </xdr:nvSpPr>
      <xdr:spPr>
        <a:xfrm>
          <a:off x="4903088" y="3660938"/>
          <a:ext cx="885825" cy="2381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24</xdr:col>
      <xdr:colOff>9525</xdr:colOff>
      <xdr:row>37</xdr:row>
      <xdr:rowOff>152400</xdr:rowOff>
    </xdr:from>
    <xdr:ext cx="971550" cy="295275"/>
    <xdr:sp macro="" textlink="">
      <xdr:nvSpPr>
        <xdr:cNvPr id="14" name="Shape 14">
          <a:extLst>
            <a:ext uri="{FF2B5EF4-FFF2-40B4-BE49-F238E27FC236}">
              <a16:creationId xmlns:a16="http://schemas.microsoft.com/office/drawing/2014/main" id="{00000000-0008-0000-0600-00000E000000}"/>
            </a:ext>
          </a:extLst>
        </xdr:cNvPr>
        <xdr:cNvSpPr/>
      </xdr:nvSpPr>
      <xdr:spPr>
        <a:xfrm>
          <a:off x="4869750" y="3641888"/>
          <a:ext cx="952500" cy="2762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24</xdr:col>
      <xdr:colOff>0</xdr:colOff>
      <xdr:row>44</xdr:row>
      <xdr:rowOff>9525</xdr:rowOff>
    </xdr:from>
    <xdr:ext cx="971550" cy="276225"/>
    <xdr:sp macro="" textlink="">
      <xdr:nvSpPr>
        <xdr:cNvPr id="15" name="Shape 15">
          <a:extLst>
            <a:ext uri="{FF2B5EF4-FFF2-40B4-BE49-F238E27FC236}">
              <a16:creationId xmlns:a16="http://schemas.microsoft.com/office/drawing/2014/main" id="{00000000-0008-0000-0600-00000F000000}"/>
            </a:ext>
          </a:extLst>
        </xdr:cNvPr>
        <xdr:cNvSpPr/>
      </xdr:nvSpPr>
      <xdr:spPr>
        <a:xfrm>
          <a:off x="4869750" y="3651413"/>
          <a:ext cx="952500" cy="25717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57150</xdr:colOff>
      <xdr:row>37</xdr:row>
      <xdr:rowOff>161925</xdr:rowOff>
    </xdr:from>
    <xdr:ext cx="838200" cy="276225"/>
    <xdr:sp macro="" textlink="">
      <xdr:nvSpPr>
        <xdr:cNvPr id="16" name="Shape 16">
          <a:extLst>
            <a:ext uri="{FF2B5EF4-FFF2-40B4-BE49-F238E27FC236}">
              <a16:creationId xmlns:a16="http://schemas.microsoft.com/office/drawing/2014/main" id="{00000000-0008-0000-0600-000010000000}"/>
            </a:ext>
          </a:extLst>
        </xdr:cNvPr>
        <xdr:cNvSpPr/>
      </xdr:nvSpPr>
      <xdr:spPr>
        <a:xfrm>
          <a:off x="4936425" y="3651413"/>
          <a:ext cx="819150" cy="25717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438150</xdr:colOff>
      <xdr:row>0</xdr:row>
      <xdr:rowOff>0</xdr:rowOff>
    </xdr:from>
    <xdr:ext cx="314325" cy="304800"/>
    <xdr:pic>
      <xdr:nvPicPr>
        <xdr:cNvPr id="3" name="image5.png" descr="Court with solid fill">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77</xdr:row>
      <xdr:rowOff>9525</xdr:rowOff>
    </xdr:from>
    <xdr:ext cx="19678650" cy="3686175"/>
    <xdr:graphicFrame macro="">
      <xdr:nvGraphicFramePr>
        <xdr:cNvPr id="14" name="Chart 14">
          <a:extLst>
            <a:ext uri="{FF2B5EF4-FFF2-40B4-BE49-F238E27FC236}">
              <a16:creationId xmlns:a16="http://schemas.microsoft.com/office/drawing/2014/main" id="{00000000-0008-0000-07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24</xdr:col>
      <xdr:colOff>95250</xdr:colOff>
      <xdr:row>77</xdr:row>
      <xdr:rowOff>0</xdr:rowOff>
    </xdr:from>
    <xdr:ext cx="11068050" cy="3695700"/>
    <xdr:graphicFrame macro="">
      <xdr:nvGraphicFramePr>
        <xdr:cNvPr id="15" name="Chart 15">
          <a:extLst>
            <a:ext uri="{FF2B5EF4-FFF2-40B4-BE49-F238E27FC236}">
              <a16:creationId xmlns:a16="http://schemas.microsoft.com/office/drawing/2014/main" id="{00000000-0008-0000-07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0</xdr:colOff>
      <xdr:row>47</xdr:row>
      <xdr:rowOff>0</xdr:rowOff>
    </xdr:from>
    <xdr:ext cx="35623500" cy="5610225"/>
    <xdr:graphicFrame macro="">
      <xdr:nvGraphicFramePr>
        <xdr:cNvPr id="16" name="Chart 16">
          <a:extLst>
            <a:ext uri="{FF2B5EF4-FFF2-40B4-BE49-F238E27FC236}">
              <a16:creationId xmlns:a16="http://schemas.microsoft.com/office/drawing/2014/main" id="{00000000-0008-0000-07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24</xdr:col>
      <xdr:colOff>95250</xdr:colOff>
      <xdr:row>19</xdr:row>
      <xdr:rowOff>161925</xdr:rowOff>
    </xdr:from>
    <xdr:ext cx="904875" cy="257175"/>
    <xdr:sp macro="" textlink="">
      <xdr:nvSpPr>
        <xdr:cNvPr id="17" name="Shape 17">
          <a:extLst>
            <a:ext uri="{FF2B5EF4-FFF2-40B4-BE49-F238E27FC236}">
              <a16:creationId xmlns:a16="http://schemas.microsoft.com/office/drawing/2014/main" id="{00000000-0008-0000-0700-000011000000}"/>
            </a:ext>
          </a:extLst>
        </xdr:cNvPr>
        <xdr:cNvSpPr/>
      </xdr:nvSpPr>
      <xdr:spPr>
        <a:xfrm>
          <a:off x="4903088" y="3660938"/>
          <a:ext cx="885825" cy="2381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20</xdr:col>
      <xdr:colOff>-9525</xdr:colOff>
      <xdr:row>36</xdr:row>
      <xdr:rowOff>152400</xdr:rowOff>
    </xdr:from>
    <xdr:ext cx="5391150" cy="295275"/>
    <xdr:sp macro="" textlink="">
      <xdr:nvSpPr>
        <xdr:cNvPr id="18" name="Shape 18">
          <a:extLst>
            <a:ext uri="{FF2B5EF4-FFF2-40B4-BE49-F238E27FC236}">
              <a16:creationId xmlns:a16="http://schemas.microsoft.com/office/drawing/2014/main" id="{00000000-0008-0000-0700-000012000000}"/>
            </a:ext>
          </a:extLst>
        </xdr:cNvPr>
        <xdr:cNvSpPr/>
      </xdr:nvSpPr>
      <xdr:spPr>
        <a:xfrm>
          <a:off x="2659950" y="3641888"/>
          <a:ext cx="5372100" cy="2762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20</xdr:col>
      <xdr:colOff>-9525</xdr:colOff>
      <xdr:row>43</xdr:row>
      <xdr:rowOff>9525</xdr:rowOff>
    </xdr:from>
    <xdr:ext cx="5391150" cy="266700"/>
    <xdr:sp macro="" textlink="">
      <xdr:nvSpPr>
        <xdr:cNvPr id="19" name="Shape 19">
          <a:extLst>
            <a:ext uri="{FF2B5EF4-FFF2-40B4-BE49-F238E27FC236}">
              <a16:creationId xmlns:a16="http://schemas.microsoft.com/office/drawing/2014/main" id="{00000000-0008-0000-0700-000013000000}"/>
            </a:ext>
          </a:extLst>
        </xdr:cNvPr>
        <xdr:cNvSpPr/>
      </xdr:nvSpPr>
      <xdr:spPr>
        <a:xfrm>
          <a:off x="2659950" y="3656175"/>
          <a:ext cx="5372100" cy="24765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38100</xdr:colOff>
      <xdr:row>44</xdr:row>
      <xdr:rowOff>0</xdr:rowOff>
    </xdr:from>
    <xdr:ext cx="866775" cy="209550"/>
    <xdr:sp macro="" textlink="">
      <xdr:nvSpPr>
        <xdr:cNvPr id="20" name="Shape 20">
          <a:extLst>
            <a:ext uri="{FF2B5EF4-FFF2-40B4-BE49-F238E27FC236}">
              <a16:creationId xmlns:a16="http://schemas.microsoft.com/office/drawing/2014/main" id="{00000000-0008-0000-0700-000014000000}"/>
            </a:ext>
          </a:extLst>
        </xdr:cNvPr>
        <xdr:cNvSpPr/>
      </xdr:nvSpPr>
      <xdr:spPr>
        <a:xfrm>
          <a:off x="4922138" y="3679988"/>
          <a:ext cx="847725" cy="2000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447675</xdr:colOff>
      <xdr:row>0</xdr:row>
      <xdr:rowOff>0</xdr:rowOff>
    </xdr:from>
    <xdr:ext cx="314325" cy="304800"/>
    <xdr:pic>
      <xdr:nvPicPr>
        <xdr:cNvPr id="2" name="image5.png" descr="Court with solid fill">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87</xdr:row>
      <xdr:rowOff>0</xdr:rowOff>
    </xdr:from>
    <xdr:ext cx="19688175" cy="3714750"/>
    <xdr:graphicFrame macro="">
      <xdr:nvGraphicFramePr>
        <xdr:cNvPr id="17" name="Chart 17">
          <a:extLst>
            <a:ext uri="{FF2B5EF4-FFF2-40B4-BE49-F238E27FC236}">
              <a16:creationId xmlns:a16="http://schemas.microsoft.com/office/drawing/2014/main" id="{00000000-0008-0000-08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24</xdr:col>
      <xdr:colOff>38100</xdr:colOff>
      <xdr:row>86</xdr:row>
      <xdr:rowOff>190500</xdr:rowOff>
    </xdr:from>
    <xdr:ext cx="11163300" cy="3733800"/>
    <xdr:graphicFrame macro="">
      <xdr:nvGraphicFramePr>
        <xdr:cNvPr id="18" name="Chart 18">
          <a:extLst>
            <a:ext uri="{FF2B5EF4-FFF2-40B4-BE49-F238E27FC236}">
              <a16:creationId xmlns:a16="http://schemas.microsoft.com/office/drawing/2014/main" id="{00000000-0008-0000-08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0</xdr:colOff>
      <xdr:row>56</xdr:row>
      <xdr:rowOff>190500</xdr:rowOff>
    </xdr:from>
    <xdr:ext cx="35613975" cy="5638800"/>
    <xdr:graphicFrame macro="">
      <xdr:nvGraphicFramePr>
        <xdr:cNvPr id="19" name="Chart 19">
          <a:extLst>
            <a:ext uri="{FF2B5EF4-FFF2-40B4-BE49-F238E27FC236}">
              <a16:creationId xmlns:a16="http://schemas.microsoft.com/office/drawing/2014/main" id="{00000000-0008-0000-08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24</xdr:col>
      <xdr:colOff>219075</xdr:colOff>
      <xdr:row>22</xdr:row>
      <xdr:rowOff>0</xdr:rowOff>
    </xdr:from>
    <xdr:ext cx="781050" cy="428625"/>
    <xdr:sp macro="" textlink="">
      <xdr:nvSpPr>
        <xdr:cNvPr id="21" name="Shape 21">
          <a:extLst>
            <a:ext uri="{FF2B5EF4-FFF2-40B4-BE49-F238E27FC236}">
              <a16:creationId xmlns:a16="http://schemas.microsoft.com/office/drawing/2014/main" id="{00000000-0008-0000-0800-000015000000}"/>
            </a:ext>
          </a:extLst>
        </xdr:cNvPr>
        <xdr:cNvSpPr/>
      </xdr:nvSpPr>
      <xdr:spPr>
        <a:xfrm>
          <a:off x="4965000" y="3575213"/>
          <a:ext cx="762000" cy="40957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20</xdr:col>
      <xdr:colOff>-9525</xdr:colOff>
      <xdr:row>49</xdr:row>
      <xdr:rowOff>19050</xdr:rowOff>
    </xdr:from>
    <xdr:ext cx="5400675" cy="266700"/>
    <xdr:sp macro="" textlink="">
      <xdr:nvSpPr>
        <xdr:cNvPr id="22" name="Shape 22">
          <a:extLst>
            <a:ext uri="{FF2B5EF4-FFF2-40B4-BE49-F238E27FC236}">
              <a16:creationId xmlns:a16="http://schemas.microsoft.com/office/drawing/2014/main" id="{00000000-0008-0000-0800-000016000000}"/>
            </a:ext>
          </a:extLst>
        </xdr:cNvPr>
        <xdr:cNvSpPr/>
      </xdr:nvSpPr>
      <xdr:spPr>
        <a:xfrm>
          <a:off x="2655188" y="3656175"/>
          <a:ext cx="5381625" cy="24765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20</xdr:col>
      <xdr:colOff>-9525</xdr:colOff>
      <xdr:row>39</xdr:row>
      <xdr:rowOff>161925</xdr:rowOff>
    </xdr:from>
    <xdr:ext cx="5400675" cy="876300"/>
    <xdr:sp macro="" textlink="">
      <xdr:nvSpPr>
        <xdr:cNvPr id="23" name="Shape 23">
          <a:extLst>
            <a:ext uri="{FF2B5EF4-FFF2-40B4-BE49-F238E27FC236}">
              <a16:creationId xmlns:a16="http://schemas.microsoft.com/office/drawing/2014/main" id="{00000000-0008-0000-0800-000017000000}"/>
            </a:ext>
          </a:extLst>
        </xdr:cNvPr>
        <xdr:cNvSpPr/>
      </xdr:nvSpPr>
      <xdr:spPr>
        <a:xfrm>
          <a:off x="2655188" y="3351375"/>
          <a:ext cx="5381625" cy="857250"/>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9525</xdr:colOff>
      <xdr:row>39</xdr:row>
      <xdr:rowOff>161925</xdr:rowOff>
    </xdr:from>
    <xdr:ext cx="885825" cy="866775"/>
    <xdr:sp macro="" textlink="">
      <xdr:nvSpPr>
        <xdr:cNvPr id="24" name="Shape 24">
          <a:extLst>
            <a:ext uri="{FF2B5EF4-FFF2-40B4-BE49-F238E27FC236}">
              <a16:creationId xmlns:a16="http://schemas.microsoft.com/office/drawing/2014/main" id="{00000000-0008-0000-0800-000018000000}"/>
            </a:ext>
          </a:extLst>
        </xdr:cNvPr>
        <xdr:cNvSpPr/>
      </xdr:nvSpPr>
      <xdr:spPr>
        <a:xfrm>
          <a:off x="4907850" y="3356138"/>
          <a:ext cx="876300" cy="847725"/>
        </a:xfrm>
        <a:prstGeom prst="ellipse">
          <a:avLst/>
        </a:prstGeom>
        <a:noFill/>
        <a:ln w="19050" cap="flat" cmpd="sng">
          <a:solidFill>
            <a:schemeClr val="accent6"/>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447675</xdr:colOff>
      <xdr:row>0</xdr:row>
      <xdr:rowOff>0</xdr:rowOff>
    </xdr:from>
    <xdr:ext cx="314325" cy="304800"/>
    <xdr:pic>
      <xdr:nvPicPr>
        <xdr:cNvPr id="2" name="image5.png" descr="Court with solid fill">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com/_ChaitanyaJ" TargetMode="External"/><Relationship Id="rId2" Type="http://schemas.openxmlformats.org/officeDocument/2006/relationships/hyperlink" Target="https://x.com/shirishjajodia" TargetMode="External"/><Relationship Id="rId1" Type="http://schemas.openxmlformats.org/officeDocument/2006/relationships/hyperlink" Target="https://x.com/saylo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E2841"/>
    <pageSetUpPr fitToPage="1"/>
  </sheetPr>
  <dimension ref="A1:J1000"/>
  <sheetViews>
    <sheetView showGridLines="0" tabSelected="1" workbookViewId="0">
      <selection activeCell="F19" sqref="F19"/>
    </sheetView>
  </sheetViews>
  <sheetFormatPr defaultColWidth="12.5703125" defaultRowHeight="15" customHeight="1"/>
  <cols>
    <col min="1" max="5" width="19.42578125" customWidth="1"/>
    <col min="6" max="6" width="8.85546875" customWidth="1"/>
    <col min="7" max="8" width="19.42578125" customWidth="1"/>
    <col min="9" max="26" width="8.85546875" customWidth="1"/>
  </cols>
  <sheetData>
    <row r="1" spans="1:10" ht="63.75" customHeight="1">
      <c r="A1" s="267" t="s">
        <v>0</v>
      </c>
      <c r="B1" s="268"/>
      <c r="C1" s="268"/>
      <c r="D1" s="268"/>
      <c r="E1" s="268"/>
      <c r="I1" s="181"/>
      <c r="J1" s="181"/>
    </row>
    <row r="2" spans="1:10" ht="18.75" customHeight="1">
      <c r="A2" s="269" t="s">
        <v>1</v>
      </c>
      <c r="B2" s="257"/>
      <c r="C2" s="257"/>
      <c r="D2" s="257"/>
      <c r="E2" s="257"/>
      <c r="I2" s="181"/>
      <c r="J2" s="181"/>
    </row>
    <row r="3" spans="1:10" ht="18.75" customHeight="1">
      <c r="A3" s="180"/>
      <c r="B3" s="1"/>
      <c r="C3" s="1"/>
      <c r="D3" s="1"/>
      <c r="E3" s="1"/>
      <c r="G3" s="181"/>
      <c r="H3" s="181"/>
      <c r="I3" s="181"/>
      <c r="J3" s="181"/>
    </row>
    <row r="4" spans="1:10" ht="18.75" customHeight="1">
      <c r="A4" s="270" t="s">
        <v>2</v>
      </c>
      <c r="B4" s="268"/>
      <c r="C4" s="268"/>
      <c r="D4" s="268"/>
      <c r="E4" s="268"/>
    </row>
    <row r="5" spans="1:10" ht="18.75" customHeight="1">
      <c r="A5" s="2" t="s">
        <v>3</v>
      </c>
      <c r="B5" s="3" t="s">
        <v>4</v>
      </c>
      <c r="C5" s="3" t="s">
        <v>5</v>
      </c>
      <c r="D5" s="3" t="s">
        <v>6</v>
      </c>
      <c r="E5" s="4" t="s">
        <v>7</v>
      </c>
      <c r="G5" s="251" t="s">
        <v>8</v>
      </c>
      <c r="H5" s="252"/>
    </row>
    <row r="6" spans="1:10" ht="18.75" customHeight="1">
      <c r="G6" s="5" t="s">
        <v>9</v>
      </c>
      <c r="H6" s="6" t="s">
        <v>10</v>
      </c>
    </row>
    <row r="7" spans="1:10" ht="18.75" customHeight="1">
      <c r="A7" s="253" t="s">
        <v>11</v>
      </c>
      <c r="B7" s="254"/>
      <c r="C7" s="254"/>
      <c r="D7" s="254"/>
      <c r="E7" s="255"/>
      <c r="G7" s="5" t="s">
        <v>12</v>
      </c>
      <c r="H7" s="182" t="s">
        <v>13</v>
      </c>
    </row>
    <row r="8" spans="1:10" ht="18.75" customHeight="1">
      <c r="A8" s="256"/>
      <c r="B8" s="257"/>
      <c r="C8" s="257"/>
      <c r="D8" s="257"/>
      <c r="E8" s="258"/>
      <c r="H8" s="182" t="s">
        <v>14</v>
      </c>
    </row>
    <row r="9" spans="1:10" ht="18.75" customHeight="1">
      <c r="A9" s="256"/>
      <c r="B9" s="257"/>
      <c r="C9" s="257"/>
      <c r="D9" s="257"/>
      <c r="E9" s="258"/>
      <c r="H9" s="182" t="s">
        <v>15</v>
      </c>
    </row>
    <row r="10" spans="1:10" ht="18.75" customHeight="1">
      <c r="A10" s="259"/>
      <c r="B10" s="260"/>
      <c r="C10" s="260"/>
      <c r="D10" s="260"/>
      <c r="E10" s="261"/>
      <c r="H10" s="182" t="s">
        <v>16</v>
      </c>
    </row>
    <row r="11" spans="1:10" ht="18.75" customHeight="1">
      <c r="H11" s="182" t="s">
        <v>17</v>
      </c>
    </row>
    <row r="12" spans="1:10" ht="18.75" customHeight="1">
      <c r="A12" s="262" t="s">
        <v>18</v>
      </c>
      <c r="B12" s="254"/>
      <c r="C12" s="254"/>
      <c r="D12" s="254"/>
      <c r="E12" s="255"/>
      <c r="H12" s="182" t="s">
        <v>19</v>
      </c>
    </row>
    <row r="13" spans="1:10" ht="18.75" customHeight="1">
      <c r="A13" s="259"/>
      <c r="B13" s="260"/>
      <c r="C13" s="260"/>
      <c r="D13" s="260"/>
      <c r="E13" s="261"/>
    </row>
    <row r="14" spans="1:10" ht="18.75" customHeight="1"/>
    <row r="15" spans="1:10" ht="18.75" customHeight="1">
      <c r="A15" s="263" t="s">
        <v>20</v>
      </c>
      <c r="B15" s="252"/>
      <c r="C15" s="7" t="s">
        <v>21</v>
      </c>
      <c r="D15" s="7" t="s">
        <v>22</v>
      </c>
      <c r="E15" s="7" t="s">
        <v>23</v>
      </c>
    </row>
    <row r="16" spans="1:10" ht="18.75" customHeight="1"/>
    <row r="17" spans="1:5" ht="18.75" customHeight="1">
      <c r="A17" s="264" t="s">
        <v>24</v>
      </c>
      <c r="B17" s="257"/>
      <c r="C17" s="257"/>
      <c r="D17" s="257"/>
      <c r="E17" s="257"/>
    </row>
    <row r="18" spans="1:5" ht="18.75" customHeight="1">
      <c r="A18" s="257"/>
      <c r="B18" s="257"/>
      <c r="C18" s="257"/>
      <c r="D18" s="257"/>
      <c r="E18" s="257"/>
    </row>
    <row r="19" spans="1:5" ht="334.5" customHeight="1">
      <c r="A19" s="266"/>
      <c r="B19" s="257"/>
      <c r="C19" s="257"/>
      <c r="D19" s="257"/>
      <c r="E19" s="257"/>
    </row>
    <row r="20" spans="1:5">
      <c r="A20" s="265" t="s">
        <v>25</v>
      </c>
      <c r="B20" s="257"/>
      <c r="C20" s="257"/>
      <c r="D20" s="257"/>
      <c r="E20" s="257"/>
    </row>
    <row r="21" spans="1:5" ht="15.75" customHeight="1">
      <c r="A21" s="257"/>
      <c r="B21" s="257"/>
      <c r="C21" s="257"/>
      <c r="D21" s="257"/>
      <c r="E21" s="257"/>
    </row>
    <row r="22" spans="1:5" ht="15.75" customHeight="1">
      <c r="A22" s="257"/>
      <c r="B22" s="257"/>
      <c r="C22" s="257"/>
      <c r="D22" s="257"/>
      <c r="E22" s="257"/>
    </row>
    <row r="23" spans="1:5" ht="15.75" customHeight="1">
      <c r="A23" s="257"/>
      <c r="B23" s="257"/>
      <c r="C23" s="257"/>
      <c r="D23" s="257"/>
      <c r="E23" s="257"/>
    </row>
    <row r="24" spans="1:5" ht="14.25" customHeight="1">
      <c r="A24" s="257"/>
      <c r="B24" s="257"/>
      <c r="C24" s="257"/>
      <c r="D24" s="257"/>
      <c r="E24" s="257"/>
    </row>
    <row r="25" spans="1:5" ht="15.75" customHeight="1">
      <c r="A25" s="257"/>
      <c r="B25" s="257"/>
      <c r="C25" s="257"/>
      <c r="D25" s="257"/>
      <c r="E25" s="257"/>
    </row>
    <row r="26" spans="1:5" ht="15.75" customHeight="1">
      <c r="A26" s="257"/>
      <c r="B26" s="257"/>
      <c r="C26" s="257"/>
      <c r="D26" s="257"/>
      <c r="E26" s="257"/>
    </row>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20:E26"/>
    <mergeCell ref="A19:E19"/>
    <mergeCell ref="A1:E1"/>
    <mergeCell ref="A2:E2"/>
    <mergeCell ref="A4:E4"/>
    <mergeCell ref="G5:H5"/>
    <mergeCell ref="A7:E10"/>
    <mergeCell ref="A12:E13"/>
    <mergeCell ref="A15:B15"/>
    <mergeCell ref="A17:E18"/>
  </mergeCells>
  <hyperlinks>
    <hyperlink ref="G6" location="BTC!A1" display="BTC Model" xr:uid="{00000000-0004-0000-0000-000000000000}"/>
    <hyperlink ref="G7" location="Macro!A1" display="Macro Model" xr:uid="{00000000-0004-0000-0000-000001000000}"/>
    <hyperlink ref="H7" location="Individual!A1" display="Individual" xr:uid="{00000000-0004-0000-0000-000002000000}"/>
    <hyperlink ref="H8" location="Corporate!A1" display="Corporate" xr:uid="{00000000-0004-0000-0000-000003000000}"/>
    <hyperlink ref="H9" location="Institution!A1" display="Institution" xr:uid="{00000000-0004-0000-0000-000004000000}"/>
    <hyperlink ref="H10" location="'Indebted Nation'!A1" display="Nation" xr:uid="{00000000-0004-0000-0000-000005000000}"/>
    <hyperlink ref="H11" location="'Wealthy Nation'!A1" display="Wealthy Nation" xr:uid="{00000000-0004-0000-0000-000006000000}"/>
    <hyperlink ref="H12" location="'United States'!A1" display="United States" xr:uid="{00000000-0004-0000-0000-000007000000}"/>
    <hyperlink ref="C15" r:id="rId1" xr:uid="{00000000-0004-0000-0000-000008000000}"/>
    <hyperlink ref="D15" r:id="rId2" xr:uid="{00000000-0004-0000-0000-000009000000}"/>
    <hyperlink ref="E15" r:id="rId3" xr:uid="{00000000-0004-0000-0000-00000A000000}"/>
  </hyperlinks>
  <pageMargins left="0.7" right="0.7" top="0.75" bottom="0.75" header="0" footer="0"/>
  <pageSetup orientation="portrait"/>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B1:AE1000"/>
  <sheetViews>
    <sheetView showGridLines="0" workbookViewId="0"/>
  </sheetViews>
  <sheetFormatPr defaultColWidth="12.5703125" defaultRowHeight="15" customHeight="1" outlineLevelCol="1"/>
  <cols>
    <col min="1" max="1" width="0.85546875" customWidth="1"/>
    <col min="2" max="2" width="9.140625" customWidth="1"/>
    <col min="3" max="3" width="13.5703125" customWidth="1"/>
    <col min="4" max="5" width="9.140625" customWidth="1"/>
    <col min="6" max="7" width="8.85546875" customWidth="1"/>
    <col min="8" max="8" width="0.85546875" customWidth="1"/>
    <col min="9" max="10" width="8.85546875" customWidth="1"/>
    <col min="11" max="11" width="9.140625" hidden="1" customWidth="1" outlineLevel="1"/>
    <col min="12" max="12" width="9.140625" customWidth="1"/>
    <col min="13" max="13" width="8.85546875" customWidth="1"/>
    <col min="14" max="14" width="9.42578125" customWidth="1"/>
    <col min="15" max="15" width="0.85546875" customWidth="1"/>
    <col min="16" max="31" width="8.85546875" customWidth="1"/>
  </cols>
  <sheetData>
    <row r="1" spans="2:31">
      <c r="B1" s="9" t="s">
        <v>26</v>
      </c>
      <c r="C1" s="10"/>
      <c r="D1" s="11" t="s">
        <v>9</v>
      </c>
      <c r="E1" s="10"/>
      <c r="F1" s="10"/>
      <c r="G1" s="10"/>
      <c r="H1" s="10"/>
      <c r="I1" s="10"/>
      <c r="J1" s="10"/>
      <c r="K1" s="10"/>
      <c r="L1" s="10"/>
      <c r="M1" s="10"/>
      <c r="N1" s="10"/>
      <c r="O1" s="10"/>
      <c r="P1" s="10"/>
      <c r="Q1" s="10"/>
      <c r="R1" s="10"/>
      <c r="S1" s="10"/>
      <c r="T1" s="10"/>
      <c r="U1" s="10"/>
      <c r="V1" s="10"/>
      <c r="W1" s="10"/>
    </row>
    <row r="2" spans="2:31" ht="3.75" customHeight="1">
      <c r="C2" s="12"/>
      <c r="D2" s="13"/>
      <c r="E2" s="13"/>
      <c r="F2" s="13"/>
      <c r="G2" s="13"/>
      <c r="V2" s="8"/>
    </row>
    <row r="3" spans="2:31">
      <c r="B3" s="271" t="s">
        <v>27</v>
      </c>
      <c r="C3" s="268"/>
      <c r="D3" s="268"/>
      <c r="E3" s="268"/>
      <c r="F3" s="268"/>
      <c r="G3" s="268"/>
      <c r="I3" s="271" t="s">
        <v>28</v>
      </c>
      <c r="J3" s="268"/>
      <c r="K3" s="268"/>
      <c r="L3" s="268"/>
      <c r="M3" s="268"/>
      <c r="N3" s="268"/>
    </row>
    <row r="4" spans="2:31">
      <c r="C4" s="12" t="s">
        <v>29</v>
      </c>
      <c r="D4" s="14">
        <v>65</v>
      </c>
      <c r="E4" s="13"/>
      <c r="F4" s="13"/>
      <c r="G4" s="13"/>
    </row>
    <row r="5" spans="2:31">
      <c r="K5" s="15" t="str">
        <f>D6</f>
        <v>Base</v>
      </c>
      <c r="L5" s="16" t="s">
        <v>30</v>
      </c>
      <c r="M5" s="183" t="s">
        <v>31</v>
      </c>
      <c r="N5" s="17" t="s">
        <v>32</v>
      </c>
    </row>
    <row r="6" spans="2:31">
      <c r="C6" s="18" t="s">
        <v>33</v>
      </c>
      <c r="D6" s="184" t="s">
        <v>31</v>
      </c>
      <c r="E6" s="19" t="s">
        <v>30</v>
      </c>
      <c r="F6" s="20" t="s">
        <v>31</v>
      </c>
      <c r="G6" s="21" t="s">
        <v>32</v>
      </c>
      <c r="J6" s="22" t="s">
        <v>34</v>
      </c>
      <c r="K6" s="23">
        <f>Macro!X20/10^3</f>
        <v>13.399566130733223</v>
      </c>
      <c r="L6" s="24">
        <v>3.2495229161720021</v>
      </c>
      <c r="M6" s="25">
        <v>13.399566130733223</v>
      </c>
      <c r="N6" s="26">
        <v>49.227809646836207</v>
      </c>
    </row>
    <row r="7" spans="2:31">
      <c r="C7" s="22" t="s">
        <v>35</v>
      </c>
      <c r="D7" s="27">
        <f t="shared" ref="D7:D9" si="0">INDEX($E$6:$G$9,MATCH(C7,$C$6:$C$9,0),MATCH($D$6,$E$6:$G$6,0))</f>
        <v>0.5</v>
      </c>
      <c r="E7" s="28">
        <v>0.25</v>
      </c>
      <c r="F7" s="29">
        <v>0.5</v>
      </c>
      <c r="G7" s="30">
        <v>0.75</v>
      </c>
      <c r="J7" s="22" t="s">
        <v>36</v>
      </c>
      <c r="K7" s="31">
        <f>Macro!X22</f>
        <v>280.96210262921426</v>
      </c>
      <c r="L7" s="32">
        <v>68.135996506294546</v>
      </c>
      <c r="M7" s="33">
        <v>280.96210262921426</v>
      </c>
      <c r="N7" s="34">
        <v>1032.2087126748615</v>
      </c>
    </row>
    <row r="8" spans="2:31">
      <c r="C8" s="35" t="s">
        <v>37</v>
      </c>
      <c r="D8" s="36">
        <f t="shared" si="0"/>
        <v>2.5000000000000001E-2</v>
      </c>
      <c r="E8" s="37">
        <v>5.0000000000000001E-3</v>
      </c>
      <c r="F8" s="38">
        <v>2.5000000000000001E-2</v>
      </c>
      <c r="G8" s="39">
        <v>0.05</v>
      </c>
      <c r="J8" s="22" t="s">
        <v>38</v>
      </c>
      <c r="K8" s="40">
        <f>Macro!AD20</f>
        <v>0.28883975252734717</v>
      </c>
      <c r="L8" s="41">
        <v>0.20475932780290518</v>
      </c>
      <c r="M8" s="42">
        <v>0.28883975252734717</v>
      </c>
      <c r="N8" s="43">
        <v>0.37122710194011188</v>
      </c>
    </row>
    <row r="9" spans="2:31">
      <c r="B9" s="22"/>
      <c r="C9" s="22" t="s">
        <v>39</v>
      </c>
      <c r="D9" s="44">
        <f t="shared" si="0"/>
        <v>0.2</v>
      </c>
      <c r="E9" s="45">
        <v>0.18</v>
      </c>
      <c r="F9" s="46">
        <v>0.2</v>
      </c>
      <c r="G9" s="47">
        <v>0.25</v>
      </c>
      <c r="J9" s="22" t="s">
        <v>40</v>
      </c>
      <c r="K9" s="48">
        <f>Macro!AG22</f>
        <v>7.0494895335945912E-2</v>
      </c>
      <c r="L9" s="49">
        <v>1.8060080205793895E-2</v>
      </c>
      <c r="M9" s="50">
        <v>7.0494895335945912E-2</v>
      </c>
      <c r="N9" s="51">
        <v>0.2179120560110045</v>
      </c>
    </row>
    <row r="11" spans="2:31">
      <c r="B11" s="271" t="s">
        <v>41</v>
      </c>
      <c r="C11" s="268"/>
      <c r="D11" s="268"/>
    </row>
    <row r="12" spans="2:31" ht="3.75" customHeight="1">
      <c r="J12" s="52"/>
      <c r="K12" s="52"/>
      <c r="L12" s="52"/>
      <c r="M12" s="52"/>
      <c r="N12" s="52"/>
      <c r="O12" s="52"/>
      <c r="P12" s="52"/>
      <c r="Q12" s="52"/>
      <c r="R12" s="52"/>
      <c r="S12" s="52"/>
      <c r="T12" s="52"/>
      <c r="U12" s="52"/>
      <c r="V12" s="52"/>
      <c r="W12" s="52"/>
      <c r="X12" s="52"/>
      <c r="Y12" s="52"/>
      <c r="Z12" s="52"/>
      <c r="AA12" s="52"/>
      <c r="AB12" s="52"/>
      <c r="AC12" s="52"/>
      <c r="AD12" s="52"/>
      <c r="AE12" s="52"/>
    </row>
    <row r="13" spans="2:31">
      <c r="B13" s="185" t="s">
        <v>42</v>
      </c>
      <c r="C13" s="186" t="s">
        <v>34</v>
      </c>
      <c r="D13" s="185" t="s">
        <v>43</v>
      </c>
    </row>
    <row r="14" spans="2:31">
      <c r="B14" s="1">
        <v>2024</v>
      </c>
      <c r="C14" s="53">
        <f>HLOOKUP(B14,Macro!$C$17:$X$20,4)/10^3</f>
        <v>6.5000000000000002E-2</v>
      </c>
      <c r="D14" s="1"/>
    </row>
    <row r="15" spans="2:31">
      <c r="B15" s="54">
        <f t="shared" ref="B15:B35" si="1">B14+1</f>
        <v>2025</v>
      </c>
      <c r="C15" s="55">
        <f>HLOOKUP(B15,Macro!$C$17:$X$20,4)/10^3</f>
        <v>9.7500000000000003E-2</v>
      </c>
      <c r="D15" s="56">
        <f t="shared" ref="D15:D35" si="2">C15/C14-1</f>
        <v>0.5</v>
      </c>
    </row>
    <row r="16" spans="2:31">
      <c r="B16" s="1">
        <f t="shared" si="1"/>
        <v>2026</v>
      </c>
      <c r="C16" s="53">
        <f>HLOOKUP(B16,Macro!$C$17:$X$20,4)/10^3</f>
        <v>0.14381250000000001</v>
      </c>
      <c r="D16" s="57">
        <f t="shared" si="2"/>
        <v>0.47500000000000009</v>
      </c>
    </row>
    <row r="17" spans="2:4">
      <c r="B17" s="1">
        <f t="shared" si="1"/>
        <v>2027</v>
      </c>
      <c r="C17" s="53">
        <f>HLOOKUP(B17,Macro!$C$17:$X$20,4)/10^3</f>
        <v>0.20852812499999998</v>
      </c>
      <c r="D17" s="57">
        <f t="shared" si="2"/>
        <v>0.44999999999999973</v>
      </c>
    </row>
    <row r="18" spans="2:4">
      <c r="B18" s="1">
        <f t="shared" si="1"/>
        <v>2028</v>
      </c>
      <c r="C18" s="53">
        <f>HLOOKUP(B18,Macro!$C$17:$X$20,4)/10^3</f>
        <v>0.29715257812499996</v>
      </c>
      <c r="D18" s="57">
        <f t="shared" si="2"/>
        <v>0.42499999999999982</v>
      </c>
    </row>
    <row r="19" spans="2:4">
      <c r="B19" s="1">
        <f t="shared" si="1"/>
        <v>2029</v>
      </c>
      <c r="C19" s="53">
        <f>HLOOKUP(B19,Macro!$C$17:$X$20,4)/10^3</f>
        <v>0.41601360937499987</v>
      </c>
      <c r="D19" s="57">
        <f t="shared" si="2"/>
        <v>0.39999999999999969</v>
      </c>
    </row>
    <row r="20" spans="2:4">
      <c r="B20" s="54">
        <f t="shared" si="1"/>
        <v>2030</v>
      </c>
      <c r="C20" s="58">
        <f>HLOOKUP(B20,Macro!$C$17:$X$20,4)/10^3</f>
        <v>0.57201871289062478</v>
      </c>
      <c r="D20" s="56">
        <f t="shared" si="2"/>
        <v>0.375</v>
      </c>
    </row>
    <row r="21" spans="2:4" ht="15.75" customHeight="1">
      <c r="B21" s="1">
        <f t="shared" si="1"/>
        <v>2031</v>
      </c>
      <c r="C21" s="59">
        <f>HLOOKUP(B21,Macro!$C$17:$X$20,4)/10^3</f>
        <v>0.77222526240234335</v>
      </c>
      <c r="D21" s="57">
        <f t="shared" si="2"/>
        <v>0.34999999999999987</v>
      </c>
    </row>
    <row r="22" spans="2:4" ht="15.75" customHeight="1">
      <c r="B22" s="1">
        <f t="shared" si="1"/>
        <v>2032</v>
      </c>
      <c r="C22" s="59">
        <f>HLOOKUP(B22,Macro!$C$17:$X$20,4)/10^3</f>
        <v>1.0231984726831047</v>
      </c>
      <c r="D22" s="57">
        <f t="shared" si="2"/>
        <v>0.32499999999999973</v>
      </c>
    </row>
    <row r="23" spans="2:4" ht="15.75" customHeight="1">
      <c r="B23" s="1">
        <f t="shared" si="1"/>
        <v>2033</v>
      </c>
      <c r="C23" s="59">
        <f>HLOOKUP(B23,Macro!$C$17:$X$20,4)/10^3</f>
        <v>1.3301580144880358</v>
      </c>
      <c r="D23" s="57">
        <f t="shared" si="2"/>
        <v>0.29999999999999982</v>
      </c>
    </row>
    <row r="24" spans="2:4" ht="15.75" customHeight="1">
      <c r="B24" s="1">
        <f t="shared" si="1"/>
        <v>2034</v>
      </c>
      <c r="C24" s="59">
        <f>HLOOKUP(B24,Macro!$C$17:$X$20,4)/10^3</f>
        <v>1.6959514684722456</v>
      </c>
      <c r="D24" s="57">
        <f t="shared" si="2"/>
        <v>0.27499999999999991</v>
      </c>
    </row>
    <row r="25" spans="2:4" ht="15.75" customHeight="1">
      <c r="B25" s="54">
        <f t="shared" si="1"/>
        <v>2035</v>
      </c>
      <c r="C25" s="58">
        <f>HLOOKUP(B25,Macro!$C$17:$X$20,4)/10^3</f>
        <v>2.1199393355903067</v>
      </c>
      <c r="D25" s="56">
        <f t="shared" si="2"/>
        <v>0.24999999999999978</v>
      </c>
    </row>
    <row r="26" spans="2:4" ht="15.75" customHeight="1">
      <c r="B26" s="1">
        <f t="shared" si="1"/>
        <v>2036</v>
      </c>
      <c r="C26" s="59">
        <f>HLOOKUP(B26,Macro!$C$17:$X$20,4)/10^3</f>
        <v>2.5969256860981256</v>
      </c>
      <c r="D26" s="57">
        <f t="shared" si="2"/>
        <v>0.22499999999999987</v>
      </c>
    </row>
    <row r="27" spans="2:4" ht="15.75" customHeight="1">
      <c r="B27" s="1">
        <f t="shared" si="1"/>
        <v>2037</v>
      </c>
      <c r="C27" s="59">
        <f>HLOOKUP(B27,Macro!$C$17:$X$20,4)/10^3</f>
        <v>3.1163108233177503</v>
      </c>
      <c r="D27" s="57">
        <f t="shared" si="2"/>
        <v>0.19999999999999996</v>
      </c>
    </row>
    <row r="28" spans="2:4" ht="15.75" customHeight="1">
      <c r="B28" s="1">
        <f t="shared" si="1"/>
        <v>2038</v>
      </c>
      <c r="C28" s="59">
        <f>HLOOKUP(B28,Macro!$C$17:$X$20,4)/10^3</f>
        <v>3.7395729879813002</v>
      </c>
      <c r="D28" s="57">
        <f t="shared" si="2"/>
        <v>0.19999999999999996</v>
      </c>
    </row>
    <row r="29" spans="2:4" ht="15.75" customHeight="1">
      <c r="B29" s="1">
        <f t="shared" si="1"/>
        <v>2039</v>
      </c>
      <c r="C29" s="59">
        <f>HLOOKUP(B29,Macro!$C$17:$X$20,4)/10^3</f>
        <v>4.4874875855775596</v>
      </c>
      <c r="D29" s="57">
        <f t="shared" si="2"/>
        <v>0.19999999999999973</v>
      </c>
    </row>
    <row r="30" spans="2:4" ht="15.75" customHeight="1">
      <c r="B30" s="54">
        <f t="shared" si="1"/>
        <v>2040</v>
      </c>
      <c r="C30" s="58">
        <f>HLOOKUP(B30,Macro!$C$17:$X$20,4)/10^3</f>
        <v>5.3849851026930722</v>
      </c>
      <c r="D30" s="56">
        <f t="shared" si="2"/>
        <v>0.20000000000000018</v>
      </c>
    </row>
    <row r="31" spans="2:4" ht="15.75" customHeight="1">
      <c r="B31" s="1">
        <f t="shared" si="1"/>
        <v>2041</v>
      </c>
      <c r="C31" s="59">
        <f>HLOOKUP(B31,Macro!$C$17:$X$20,4)/10^3</f>
        <v>6.4619821232316861</v>
      </c>
      <c r="D31" s="57">
        <f t="shared" si="2"/>
        <v>0.19999999999999996</v>
      </c>
    </row>
    <row r="32" spans="2:4" ht="15.75" customHeight="1">
      <c r="B32" s="1">
        <f t="shared" si="1"/>
        <v>2042</v>
      </c>
      <c r="C32" s="59">
        <f>HLOOKUP(B32,Macro!$C$17:$X$20,4)/10^3</f>
        <v>7.7543785478780229</v>
      </c>
      <c r="D32" s="57">
        <f t="shared" si="2"/>
        <v>0.19999999999999996</v>
      </c>
    </row>
    <row r="33" spans="2:4" ht="15.75" customHeight="1">
      <c r="B33" s="1">
        <f t="shared" si="1"/>
        <v>2043</v>
      </c>
      <c r="C33" s="59">
        <f>HLOOKUP(B33,Macro!$C$17:$X$20,4)/10^3</f>
        <v>9.3052542574536279</v>
      </c>
      <c r="D33" s="57">
        <f t="shared" si="2"/>
        <v>0.19999999999999996</v>
      </c>
    </row>
    <row r="34" spans="2:4" ht="15.75" customHeight="1">
      <c r="B34" s="1">
        <f t="shared" si="1"/>
        <v>2044</v>
      </c>
      <c r="C34" s="59">
        <f>HLOOKUP(B34,Macro!$C$17:$X$20,4)/10^3</f>
        <v>11.166305108944352</v>
      </c>
      <c r="D34" s="57">
        <f t="shared" si="2"/>
        <v>0.19999999999999973</v>
      </c>
    </row>
    <row r="35" spans="2:4" ht="15.75" customHeight="1">
      <c r="B35" s="54">
        <f t="shared" si="1"/>
        <v>2045</v>
      </c>
      <c r="C35" s="58">
        <f>HLOOKUP(B35,Macro!$C$17:$X$20,4)/10^3</f>
        <v>13.399566130733223</v>
      </c>
      <c r="D35" s="56">
        <f t="shared" si="2"/>
        <v>0.20000000000000018</v>
      </c>
    </row>
    <row r="36" spans="2:4" ht="15.75" customHeight="1"/>
    <row r="37" spans="2:4" ht="15.75" customHeight="1"/>
    <row r="38" spans="2:4" ht="15.75" customHeight="1"/>
    <row r="39" spans="2:4" ht="15.75" customHeight="1"/>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3:G3"/>
    <mergeCell ref="I3:N3"/>
    <mergeCell ref="B11:D11"/>
  </mergeCells>
  <dataValidations count="1">
    <dataValidation type="list" allowBlank="1" showErrorMessage="1" sqref="D6" xr:uid="{00000000-0002-0000-0100-000000000000}">
      <formula1>$E$6:$G$6</formula1>
    </dataValidation>
  </dataValidations>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9F2D0"/>
    <pageSetUpPr fitToPage="1"/>
  </sheetPr>
  <dimension ref="B1:AR1000"/>
  <sheetViews>
    <sheetView showGridLines="0" workbookViewId="0"/>
  </sheetViews>
  <sheetFormatPr defaultColWidth="12.5703125" defaultRowHeight="15" customHeight="1" outlineLevelRow="1" outlineLevelCol="1"/>
  <cols>
    <col min="1" max="1" width="0.85546875" customWidth="1"/>
    <col min="2" max="2" width="21.5703125" customWidth="1"/>
    <col min="3" max="4" width="10.42578125" customWidth="1"/>
    <col min="5" max="8" width="10.42578125" hidden="1" customWidth="1" outlineLevel="1"/>
    <col min="9" max="9" width="10.42578125" customWidth="1"/>
    <col min="10" max="13" width="10.42578125" hidden="1" customWidth="1" outlineLevel="1"/>
    <col min="14" max="14" width="10.42578125" customWidth="1"/>
    <col min="15" max="18" width="10.42578125" hidden="1" customWidth="1" outlineLevel="1"/>
    <col min="19" max="19" width="10.42578125" customWidth="1"/>
    <col min="20" max="23" width="10.42578125" hidden="1" customWidth="1" outlineLevel="1"/>
    <col min="24" max="24" width="10.42578125" customWidth="1"/>
    <col min="25" max="25" width="0.85546875" customWidth="1"/>
    <col min="26" max="27" width="8.85546875" hidden="1" customWidth="1" outlineLevel="1"/>
    <col min="28" max="28" width="9.42578125" hidden="1" customWidth="1" outlineLevel="1"/>
    <col min="29" max="29" width="8.85546875" hidden="1" customWidth="1" outlineLevel="1"/>
    <col min="30" max="30" width="8.85546875" customWidth="1"/>
    <col min="31" max="31" width="0.85546875" customWidth="1"/>
    <col min="32" max="33" width="8.85546875" customWidth="1"/>
    <col min="34" max="34" width="0.85546875" customWidth="1"/>
    <col min="35" max="35" width="2.5703125" customWidth="1"/>
    <col min="36" max="44" width="8.85546875" customWidth="1"/>
  </cols>
  <sheetData>
    <row r="1" spans="2:44" ht="26.25" customHeight="1">
      <c r="B1" s="60" t="s">
        <v>26</v>
      </c>
      <c r="C1" s="61" t="s">
        <v>12</v>
      </c>
      <c r="D1" s="62"/>
      <c r="E1" s="62"/>
      <c r="F1" s="62"/>
      <c r="G1" s="62"/>
      <c r="H1" s="62"/>
      <c r="I1" s="10"/>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row>
    <row r="2" spans="2:44" ht="3.75" customHeight="1">
      <c r="B2" s="63"/>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row>
    <row r="3" spans="2:44">
      <c r="B3" s="272" t="s">
        <v>27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c r="AJ3" s="272" t="s">
        <v>44</v>
      </c>
      <c r="AK3" s="268"/>
      <c r="AL3" s="268"/>
      <c r="AM3" s="268"/>
      <c r="AN3" s="268"/>
      <c r="AO3" s="268"/>
      <c r="AP3" s="268"/>
      <c r="AQ3" s="268"/>
      <c r="AR3" s="268"/>
    </row>
    <row r="4" spans="2:44">
      <c r="B4" s="187" t="s">
        <v>45</v>
      </c>
      <c r="C4" s="64" t="s">
        <v>31</v>
      </c>
      <c r="D4" s="65"/>
      <c r="E4" s="65"/>
      <c r="F4" s="65"/>
      <c r="G4" s="65"/>
      <c r="H4" s="65"/>
      <c r="I4" s="188" t="s">
        <v>46</v>
      </c>
      <c r="L4" s="65"/>
      <c r="M4" s="65"/>
      <c r="N4" s="188"/>
      <c r="O4" s="65"/>
      <c r="P4" s="65"/>
      <c r="Q4" s="65"/>
      <c r="R4" s="65"/>
      <c r="S4" s="65"/>
      <c r="T4" s="65"/>
      <c r="U4" s="65"/>
      <c r="V4" s="65"/>
      <c r="W4" s="65"/>
      <c r="X4" s="188" t="s">
        <v>47</v>
      </c>
      <c r="AD4" s="188"/>
      <c r="AJ4" s="66" t="s">
        <v>48</v>
      </c>
      <c r="AL4" s="67">
        <v>2045</v>
      </c>
    </row>
    <row r="5" spans="2:44">
      <c r="D5" s="65"/>
      <c r="E5" s="65"/>
      <c r="F5" s="65"/>
      <c r="G5" s="65"/>
      <c r="H5" s="65"/>
      <c r="I5" s="8" t="s">
        <v>49</v>
      </c>
      <c r="L5" s="65"/>
      <c r="M5" s="65"/>
      <c r="N5" s="38">
        <v>-0.04</v>
      </c>
      <c r="O5" s="65"/>
      <c r="P5" s="65"/>
      <c r="Q5" s="65"/>
      <c r="R5" s="65"/>
      <c r="S5" s="65"/>
      <c r="T5" s="65"/>
      <c r="U5" s="65"/>
      <c r="V5" s="65"/>
      <c r="W5" s="65"/>
      <c r="X5" s="8" t="s">
        <v>49</v>
      </c>
      <c r="AD5" s="68">
        <v>1.7500000000000002E-2</v>
      </c>
    </row>
    <row r="6" spans="2:44">
      <c r="B6" s="188" t="s">
        <v>50</v>
      </c>
      <c r="D6" s="65"/>
      <c r="E6" s="65"/>
      <c r="F6" s="65"/>
      <c r="G6" s="65"/>
      <c r="H6" s="65"/>
      <c r="I6" s="8" t="s">
        <v>51</v>
      </c>
      <c r="L6" s="65"/>
      <c r="M6" s="65"/>
      <c r="N6" s="38">
        <v>0</v>
      </c>
      <c r="O6" s="65"/>
      <c r="P6" s="65"/>
      <c r="Q6" s="65"/>
      <c r="R6" s="65"/>
      <c r="S6" s="65"/>
      <c r="T6" s="65"/>
      <c r="U6" s="65"/>
      <c r="V6" s="65"/>
      <c r="W6" s="65"/>
      <c r="X6" s="8" t="s">
        <v>51</v>
      </c>
      <c r="AD6" s="68">
        <v>1.2500000000000001E-2</v>
      </c>
    </row>
    <row r="7" spans="2:44">
      <c r="B7" s="8" t="s">
        <v>52</v>
      </c>
      <c r="C7" s="38">
        <v>0.06</v>
      </c>
      <c r="D7" s="65"/>
      <c r="E7" s="65"/>
      <c r="F7" s="65"/>
      <c r="G7" s="65"/>
      <c r="H7" s="65"/>
      <c r="I7" s="8" t="s">
        <v>53</v>
      </c>
      <c r="L7" s="65"/>
      <c r="M7" s="65"/>
      <c r="N7" s="38">
        <v>0.01</v>
      </c>
      <c r="O7" s="65"/>
      <c r="P7" s="65"/>
      <c r="Q7" s="65"/>
      <c r="R7" s="65"/>
      <c r="S7" s="65"/>
      <c r="T7" s="65"/>
      <c r="U7" s="65"/>
      <c r="V7" s="65"/>
      <c r="W7" s="65"/>
      <c r="X7" s="8" t="s">
        <v>53</v>
      </c>
      <c r="AD7" s="38">
        <v>0.01</v>
      </c>
      <c r="AK7" s="189" t="s">
        <v>54</v>
      </c>
      <c r="AL7" s="190"/>
      <c r="AM7" s="190"/>
    </row>
    <row r="8" spans="2:44">
      <c r="B8" s="8" t="s">
        <v>55</v>
      </c>
      <c r="C8" s="38">
        <v>0.03</v>
      </c>
      <c r="E8" s="65"/>
      <c r="F8" s="65"/>
      <c r="G8" s="65"/>
      <c r="H8" s="65"/>
      <c r="I8" s="8" t="s">
        <v>56</v>
      </c>
      <c r="L8" s="65"/>
      <c r="M8" s="65"/>
      <c r="N8" s="38">
        <v>-0.02</v>
      </c>
      <c r="O8" s="65"/>
      <c r="P8" s="65"/>
      <c r="Q8" s="65"/>
      <c r="R8" s="65"/>
      <c r="S8" s="65"/>
      <c r="T8" s="65"/>
      <c r="U8" s="65"/>
      <c r="V8" s="65"/>
      <c r="W8" s="65"/>
      <c r="X8" s="8" t="s">
        <v>56</v>
      </c>
      <c r="AD8" s="38">
        <v>0.02</v>
      </c>
      <c r="AK8" s="190" t="s">
        <v>57</v>
      </c>
      <c r="AL8" s="191">
        <f t="shared" ref="AL8:AL13" si="0">MROUND(INDEX($B$22:$X$28,MATCH(AK8,$B$22:$B$28,0),MATCH($AL$4,$B$17:$X$17,0)),5)</f>
        <v>280</v>
      </c>
      <c r="AM8" s="192">
        <f t="shared" ref="AM8:AM13" si="1">AL8/AL$16</f>
        <v>7.0351758793969849E-2</v>
      </c>
    </row>
    <row r="9" spans="2:44">
      <c r="E9" s="65"/>
      <c r="F9" s="65"/>
      <c r="G9" s="65"/>
      <c r="H9" s="65"/>
      <c r="I9" s="8" t="s">
        <v>58</v>
      </c>
      <c r="L9" s="65"/>
      <c r="M9" s="65"/>
      <c r="N9" s="38">
        <v>-0.04</v>
      </c>
      <c r="O9" s="65"/>
      <c r="P9" s="65"/>
      <c r="Q9" s="65"/>
      <c r="R9" s="65"/>
      <c r="S9" s="65"/>
      <c r="T9" s="65"/>
      <c r="U9" s="65"/>
      <c r="V9" s="65"/>
      <c r="W9" s="65"/>
      <c r="AK9" s="190" t="s">
        <v>49</v>
      </c>
      <c r="AL9" s="191">
        <f t="shared" si="0"/>
        <v>45</v>
      </c>
      <c r="AM9" s="192">
        <f t="shared" si="1"/>
        <v>1.1306532663316583E-2</v>
      </c>
    </row>
    <row r="10" spans="2:44">
      <c r="B10" s="188" t="s">
        <v>59</v>
      </c>
      <c r="E10" s="65"/>
      <c r="F10" s="65"/>
      <c r="G10" s="65"/>
      <c r="H10" s="65"/>
      <c r="I10" s="8" t="s">
        <v>60</v>
      </c>
      <c r="L10" s="65"/>
      <c r="M10" s="65"/>
      <c r="N10" s="38">
        <v>-0.02</v>
      </c>
      <c r="O10" s="65"/>
      <c r="P10" s="65"/>
      <c r="Q10" s="65"/>
      <c r="R10" s="65"/>
      <c r="S10" s="65"/>
      <c r="T10" s="65"/>
      <c r="U10" s="65"/>
      <c r="V10" s="65"/>
      <c r="W10" s="65"/>
      <c r="X10" s="188" t="s">
        <v>61</v>
      </c>
      <c r="AD10" s="57"/>
      <c r="AF10" s="188"/>
      <c r="AK10" s="190" t="s">
        <v>51</v>
      </c>
      <c r="AL10" s="191">
        <f t="shared" si="0"/>
        <v>110</v>
      </c>
      <c r="AM10" s="192">
        <f t="shared" si="1"/>
        <v>2.7638190954773871E-2</v>
      </c>
    </row>
    <row r="11" spans="2:44">
      <c r="B11" s="8" t="s">
        <v>62</v>
      </c>
      <c r="C11" s="8"/>
      <c r="D11" s="38">
        <v>0.03</v>
      </c>
      <c r="F11" s="65"/>
      <c r="G11" s="65"/>
      <c r="H11" s="65"/>
      <c r="I11" s="65"/>
      <c r="J11" s="65"/>
      <c r="K11" s="65"/>
      <c r="L11" s="65"/>
      <c r="M11" s="65"/>
      <c r="N11" s="65"/>
      <c r="O11" s="65"/>
      <c r="P11" s="65"/>
      <c r="Q11" s="65"/>
      <c r="R11" s="65"/>
      <c r="S11" s="65"/>
      <c r="T11" s="65"/>
      <c r="U11" s="65"/>
      <c r="V11" s="65"/>
      <c r="W11" s="65"/>
      <c r="X11" s="8" t="s">
        <v>58</v>
      </c>
      <c r="AD11" s="38">
        <v>7.0000000000000007E-2</v>
      </c>
      <c r="AK11" s="190" t="s">
        <v>53</v>
      </c>
      <c r="AL11" s="191">
        <f t="shared" si="0"/>
        <v>850</v>
      </c>
      <c r="AM11" s="192">
        <f t="shared" si="1"/>
        <v>0.21356783919597991</v>
      </c>
    </row>
    <row r="12" spans="2:44">
      <c r="B12" s="8" t="s">
        <v>63</v>
      </c>
      <c r="C12" s="8"/>
      <c r="D12" s="38">
        <v>0.03</v>
      </c>
      <c r="F12" s="65"/>
      <c r="G12" s="65"/>
      <c r="H12" s="65"/>
      <c r="I12" s="65"/>
      <c r="J12" s="65"/>
      <c r="K12" s="65"/>
      <c r="L12" s="65"/>
      <c r="M12" s="65"/>
      <c r="N12" s="65"/>
      <c r="O12" s="65"/>
      <c r="P12" s="65"/>
      <c r="Q12" s="65"/>
      <c r="R12" s="65"/>
      <c r="S12" s="65"/>
      <c r="T12" s="65"/>
      <c r="U12" s="65"/>
      <c r="V12" s="65"/>
      <c r="W12" s="65"/>
      <c r="X12" s="8" t="s">
        <v>60</v>
      </c>
      <c r="AD12" s="38">
        <v>0.02</v>
      </c>
      <c r="AK12" s="190" t="s">
        <v>56</v>
      </c>
      <c r="AL12" s="191">
        <f t="shared" si="0"/>
        <v>1365</v>
      </c>
      <c r="AM12" s="192">
        <f t="shared" si="1"/>
        <v>0.34296482412060303</v>
      </c>
    </row>
    <row r="13" spans="2:44" ht="15" customHeight="1">
      <c r="B13" s="8" t="s">
        <v>64</v>
      </c>
      <c r="C13" s="8"/>
      <c r="D13" s="38">
        <v>1E-3</v>
      </c>
      <c r="F13" s="65"/>
      <c r="G13" s="65"/>
      <c r="H13" s="65"/>
      <c r="I13" s="65"/>
      <c r="J13" s="65"/>
      <c r="K13" s="65"/>
      <c r="L13" s="65"/>
      <c r="M13" s="65"/>
      <c r="N13" s="65"/>
      <c r="O13" s="65"/>
      <c r="P13" s="65"/>
      <c r="Q13" s="65"/>
      <c r="R13" s="65"/>
      <c r="S13" s="65"/>
      <c r="T13" s="65"/>
      <c r="U13" s="65"/>
      <c r="V13" s="65"/>
      <c r="W13" s="65"/>
      <c r="X13" s="65"/>
      <c r="AK13" s="190" t="s">
        <v>58</v>
      </c>
      <c r="AL13" s="191">
        <f t="shared" si="0"/>
        <v>835</v>
      </c>
      <c r="AM13" s="192">
        <f t="shared" si="1"/>
        <v>0.20979899497487436</v>
      </c>
    </row>
    <row r="14" spans="2:44" ht="15" customHeight="1">
      <c r="F14" s="65"/>
      <c r="G14" s="65"/>
      <c r="H14" s="65"/>
      <c r="I14" s="65"/>
      <c r="J14" s="65"/>
      <c r="K14" s="65"/>
      <c r="L14" s="65"/>
      <c r="M14" s="65"/>
      <c r="N14" s="65"/>
      <c r="O14" s="65"/>
      <c r="P14" s="65"/>
      <c r="Q14" s="65"/>
      <c r="R14" s="65"/>
      <c r="S14" s="65"/>
      <c r="T14" s="65"/>
      <c r="U14" s="65"/>
      <c r="V14" s="65"/>
      <c r="W14" s="65"/>
      <c r="X14" s="65"/>
      <c r="AK14" s="190"/>
      <c r="AL14" s="191"/>
      <c r="AM14" s="192"/>
    </row>
    <row r="15" spans="2:44">
      <c r="B15" s="272" t="s">
        <v>65</v>
      </c>
      <c r="C15" s="268"/>
      <c r="D15" s="268"/>
      <c r="E15" s="268"/>
      <c r="F15" s="268"/>
      <c r="G15" s="268"/>
      <c r="H15" s="268"/>
      <c r="I15" s="268"/>
      <c r="J15" s="268"/>
      <c r="K15" s="268"/>
      <c r="L15" s="268"/>
      <c r="M15" s="268"/>
      <c r="N15" s="268"/>
      <c r="O15" s="268"/>
      <c r="P15" s="268"/>
      <c r="Q15" s="268"/>
      <c r="R15" s="268"/>
      <c r="S15" s="268"/>
      <c r="T15" s="268"/>
      <c r="U15" s="268"/>
      <c r="V15" s="268"/>
      <c r="W15" s="268"/>
      <c r="X15" s="268"/>
      <c r="Y15" s="268"/>
      <c r="Z15" s="268"/>
      <c r="AA15" s="268"/>
      <c r="AB15" s="268"/>
      <c r="AC15" s="268"/>
      <c r="AD15" s="268"/>
      <c r="AE15" s="268"/>
      <c r="AF15" s="268"/>
      <c r="AG15" s="268"/>
      <c r="AK15" s="190" t="s">
        <v>60</v>
      </c>
      <c r="AL15" s="191">
        <f t="array" ref="AL15">MROUND(INDEX($B$22:$X$28,MATCH(AK15,$B$22:$B$28,0),MATCH($AL$4,$B$17:$X$17,0)),5)</f>
        <v>495</v>
      </c>
      <c r="AM15" s="192">
        <f t="shared" ref="AM15:AM16" si="2">AL15/AL$16</f>
        <v>0.12437185929648241</v>
      </c>
    </row>
    <row r="16" spans="2:44">
      <c r="B16" s="193"/>
      <c r="C16" s="273" t="s">
        <v>42</v>
      </c>
      <c r="D16" s="274"/>
      <c r="E16" s="274"/>
      <c r="F16" s="274"/>
      <c r="G16" s="274"/>
      <c r="H16" s="274"/>
      <c r="I16" s="274"/>
      <c r="J16" s="274"/>
      <c r="K16" s="274"/>
      <c r="L16" s="274"/>
      <c r="M16" s="274"/>
      <c r="N16" s="274"/>
      <c r="O16" s="274"/>
      <c r="P16" s="274"/>
      <c r="Q16" s="274"/>
      <c r="R16" s="274"/>
      <c r="S16" s="274"/>
      <c r="T16" s="274"/>
      <c r="U16" s="274"/>
      <c r="V16" s="274"/>
      <c r="W16" s="274"/>
      <c r="X16" s="274"/>
      <c r="Z16" s="275" t="s">
        <v>66</v>
      </c>
      <c r="AA16" s="268"/>
      <c r="AB16" s="268"/>
      <c r="AC16" s="268"/>
      <c r="AD16" s="268"/>
      <c r="AF16" s="275" t="s">
        <v>67</v>
      </c>
      <c r="AG16" s="268"/>
      <c r="AK16" s="69" t="s">
        <v>68</v>
      </c>
      <c r="AL16" s="70">
        <f>SUM(AL8:AL15)</f>
        <v>3980</v>
      </c>
      <c r="AM16" s="71">
        <f t="shared" si="2"/>
        <v>1</v>
      </c>
    </row>
    <row r="17" spans="2:33">
      <c r="B17" s="195"/>
      <c r="C17" s="196">
        <v>2024</v>
      </c>
      <c r="D17" s="196">
        <f t="shared" ref="D17:X17" si="3">C17+1</f>
        <v>2025</v>
      </c>
      <c r="E17" s="196">
        <f t="shared" si="3"/>
        <v>2026</v>
      </c>
      <c r="F17" s="196">
        <f t="shared" si="3"/>
        <v>2027</v>
      </c>
      <c r="G17" s="196">
        <f t="shared" si="3"/>
        <v>2028</v>
      </c>
      <c r="H17" s="196">
        <f t="shared" si="3"/>
        <v>2029</v>
      </c>
      <c r="I17" s="196">
        <f t="shared" si="3"/>
        <v>2030</v>
      </c>
      <c r="J17" s="196">
        <f t="shared" si="3"/>
        <v>2031</v>
      </c>
      <c r="K17" s="196">
        <f t="shared" si="3"/>
        <v>2032</v>
      </c>
      <c r="L17" s="196">
        <f t="shared" si="3"/>
        <v>2033</v>
      </c>
      <c r="M17" s="196">
        <f t="shared" si="3"/>
        <v>2034</v>
      </c>
      <c r="N17" s="196">
        <f t="shared" si="3"/>
        <v>2035</v>
      </c>
      <c r="O17" s="196">
        <f t="shared" si="3"/>
        <v>2036</v>
      </c>
      <c r="P17" s="196">
        <f t="shared" si="3"/>
        <v>2037</v>
      </c>
      <c r="Q17" s="196">
        <f t="shared" si="3"/>
        <v>2038</v>
      </c>
      <c r="R17" s="196">
        <f t="shared" si="3"/>
        <v>2039</v>
      </c>
      <c r="S17" s="196">
        <f t="shared" si="3"/>
        <v>2040</v>
      </c>
      <c r="T17" s="196">
        <f t="shared" si="3"/>
        <v>2041</v>
      </c>
      <c r="U17" s="196">
        <f t="shared" si="3"/>
        <v>2042</v>
      </c>
      <c r="V17" s="196">
        <f t="shared" si="3"/>
        <v>2043</v>
      </c>
      <c r="W17" s="196">
        <f t="shared" si="3"/>
        <v>2044</v>
      </c>
      <c r="X17" s="196">
        <f t="shared" si="3"/>
        <v>2045</v>
      </c>
      <c r="Z17" s="196" t="s">
        <v>69</v>
      </c>
      <c r="AA17" s="196" t="s">
        <v>70</v>
      </c>
      <c r="AB17" s="196" t="s">
        <v>71</v>
      </c>
      <c r="AC17" s="196" t="s">
        <v>72</v>
      </c>
      <c r="AD17" s="196" t="s">
        <v>73</v>
      </c>
      <c r="AF17" s="196">
        <v>2024</v>
      </c>
      <c r="AG17" s="196">
        <f>X17</f>
        <v>2045</v>
      </c>
    </row>
    <row r="18" spans="2:33" ht="3.75" customHeight="1">
      <c r="B18" s="72"/>
      <c r="C18" s="73"/>
      <c r="D18" s="65"/>
      <c r="E18" s="65"/>
      <c r="F18" s="65"/>
      <c r="G18" s="65"/>
      <c r="H18" s="65"/>
      <c r="I18" s="65"/>
      <c r="J18" s="65"/>
      <c r="K18" s="65"/>
      <c r="L18" s="65"/>
      <c r="M18" s="65"/>
      <c r="N18" s="65"/>
      <c r="O18" s="65"/>
      <c r="P18" s="65"/>
      <c r="Q18" s="65"/>
      <c r="R18" s="65"/>
      <c r="S18" s="65"/>
      <c r="T18" s="65"/>
      <c r="U18" s="65"/>
      <c r="V18" s="65"/>
      <c r="W18" s="65"/>
      <c r="X18" s="65"/>
    </row>
    <row r="19" spans="2:33">
      <c r="B19" s="197" t="s">
        <v>74</v>
      </c>
      <c r="C19" s="198"/>
      <c r="D19" s="198"/>
      <c r="E19" s="199"/>
      <c r="F19" s="199"/>
      <c r="G19" s="199"/>
      <c r="H19" s="199"/>
      <c r="I19" s="199"/>
      <c r="J19" s="199"/>
      <c r="K19" s="199"/>
      <c r="L19" s="199"/>
      <c r="M19" s="199"/>
      <c r="N19" s="199"/>
      <c r="O19" s="199"/>
      <c r="P19" s="199"/>
      <c r="Q19" s="199"/>
      <c r="R19" s="199"/>
      <c r="S19" s="199"/>
      <c r="T19" s="198"/>
      <c r="U19" s="198"/>
      <c r="V19" s="198"/>
      <c r="W19" s="198"/>
      <c r="X19" s="198"/>
      <c r="Y19" s="198"/>
      <c r="Z19" s="198"/>
      <c r="AA19" s="200"/>
      <c r="AB19" s="200"/>
      <c r="AC19" s="200"/>
      <c r="AD19" s="200"/>
      <c r="AE19" s="198"/>
      <c r="AF19" s="198"/>
      <c r="AG19" s="198"/>
    </row>
    <row r="20" spans="2:33">
      <c r="B20" s="74" t="s">
        <v>75</v>
      </c>
      <c r="C20" s="75">
        <f>BTC!D4</f>
        <v>65</v>
      </c>
      <c r="D20" s="65">
        <f t="shared" ref="D20:X20" si="4">C20*(1+D52)</f>
        <v>97.5</v>
      </c>
      <c r="E20" s="65">
        <f t="shared" si="4"/>
        <v>143.8125</v>
      </c>
      <c r="F20" s="65">
        <f t="shared" si="4"/>
        <v>208.52812499999999</v>
      </c>
      <c r="G20" s="65">
        <f t="shared" si="4"/>
        <v>297.15257812499993</v>
      </c>
      <c r="H20" s="65">
        <f t="shared" si="4"/>
        <v>416.01360937499987</v>
      </c>
      <c r="I20" s="65">
        <f t="shared" si="4"/>
        <v>572.01871289062478</v>
      </c>
      <c r="J20" s="65">
        <f t="shared" si="4"/>
        <v>772.22526240234333</v>
      </c>
      <c r="K20" s="65">
        <f t="shared" si="4"/>
        <v>1023.1984726831047</v>
      </c>
      <c r="L20" s="65">
        <f t="shared" si="4"/>
        <v>1330.1580144880359</v>
      </c>
      <c r="M20" s="65">
        <f t="shared" si="4"/>
        <v>1695.9514684722456</v>
      </c>
      <c r="N20" s="65">
        <f t="shared" si="4"/>
        <v>2119.9393355903067</v>
      </c>
      <c r="O20" s="65">
        <f t="shared" si="4"/>
        <v>2596.9256860981254</v>
      </c>
      <c r="P20" s="65">
        <f t="shared" si="4"/>
        <v>3116.3108233177504</v>
      </c>
      <c r="Q20" s="65">
        <f t="shared" si="4"/>
        <v>3739.5729879813002</v>
      </c>
      <c r="R20" s="65">
        <f t="shared" si="4"/>
        <v>4487.4875855775599</v>
      </c>
      <c r="S20" s="65">
        <f t="shared" si="4"/>
        <v>5384.9851026930719</v>
      </c>
      <c r="T20" s="65">
        <f t="shared" si="4"/>
        <v>6461.9821232316863</v>
      </c>
      <c r="U20" s="65">
        <f t="shared" si="4"/>
        <v>7754.3785478780228</v>
      </c>
      <c r="V20" s="65">
        <f t="shared" si="4"/>
        <v>9305.2542574536274</v>
      </c>
      <c r="W20" s="65">
        <f t="shared" si="4"/>
        <v>11166.305108944352</v>
      </c>
      <c r="X20" s="65">
        <f t="shared" si="4"/>
        <v>13399.566130733223</v>
      </c>
      <c r="Z20" s="57">
        <f t="shared" ref="Z20:Z29" si="5">IFERROR((D20/C20)-1,"")</f>
        <v>0.5</v>
      </c>
      <c r="AA20" s="57">
        <f t="shared" ref="AA20:AA29" si="6">IFERROR((I20/C20)^(1/6)-1,"")</f>
        <v>0.43686559725988783</v>
      </c>
      <c r="AB20" s="57">
        <f t="shared" ref="AB20:AB29" si="7">IFERROR((N20/C20)^(1/11)-1,"")</f>
        <v>0.37272244333469207</v>
      </c>
      <c r="AC20" s="57">
        <f t="shared" ref="AC20:AC29" si="8">IFERROR((S20/C20)^(1/16)-1,"")</f>
        <v>0.31792879499327231</v>
      </c>
      <c r="AD20" s="57">
        <f t="shared" ref="AD20:AD29" si="9">IFERROR((X20/C20)^(1/21)-1,"")</f>
        <v>0.28883975252734717</v>
      </c>
    </row>
    <row r="21" spans="2:33" ht="15.75" customHeight="1">
      <c r="B21" s="76" t="s">
        <v>76</v>
      </c>
      <c r="C21" s="77">
        <v>19.802</v>
      </c>
      <c r="D21" s="77">
        <v>19.966000000000001</v>
      </c>
      <c r="E21" s="77">
        <v>20.13</v>
      </c>
      <c r="F21" s="77">
        <v>20.295000000000002</v>
      </c>
      <c r="G21" s="77">
        <v>20.401</v>
      </c>
      <c r="H21" s="77">
        <v>20.484000000000002</v>
      </c>
      <c r="I21" s="77">
        <v>20.565999999999999</v>
      </c>
      <c r="J21" s="77">
        <v>20.648</v>
      </c>
      <c r="K21" s="77">
        <v>20.701000000000001</v>
      </c>
      <c r="L21" s="77">
        <v>20.742000000000001</v>
      </c>
      <c r="M21" s="77">
        <v>20.783000000000001</v>
      </c>
      <c r="N21" s="77">
        <v>20.824000000000002</v>
      </c>
      <c r="O21" s="77">
        <v>20.85</v>
      </c>
      <c r="P21" s="77">
        <v>20.870999999999999</v>
      </c>
      <c r="Q21" s="77">
        <v>20.891999999999999</v>
      </c>
      <c r="R21" s="77">
        <v>20.911999999999999</v>
      </c>
      <c r="S21" s="77">
        <v>20.925000000000001</v>
      </c>
      <c r="T21" s="77">
        <v>20.934999999999999</v>
      </c>
      <c r="U21" s="77">
        <v>20.946000000000002</v>
      </c>
      <c r="V21" s="77">
        <v>20.956</v>
      </c>
      <c r="W21" s="77">
        <v>20.963000000000001</v>
      </c>
      <c r="X21" s="77">
        <v>20.968</v>
      </c>
      <c r="Z21" s="78">
        <f t="shared" si="5"/>
        <v>8.2819917180083635E-3</v>
      </c>
      <c r="AA21" s="78">
        <f t="shared" si="6"/>
        <v>6.3293267538062636E-3</v>
      </c>
      <c r="AB21" s="78">
        <f t="shared" si="7"/>
        <v>4.585319186082959E-3</v>
      </c>
      <c r="AC21" s="78">
        <f t="shared" si="8"/>
        <v>3.4535544290386078E-3</v>
      </c>
      <c r="AD21" s="78">
        <f t="shared" si="9"/>
        <v>2.7282159365804581E-3</v>
      </c>
    </row>
    <row r="22" spans="2:33" ht="15.75" customHeight="1">
      <c r="B22" s="8" t="s">
        <v>57</v>
      </c>
      <c r="C22" s="79">
        <f t="shared" ref="C22:X22" si="10">C20*C21/10^3</f>
        <v>1.2871299999999999</v>
      </c>
      <c r="D22" s="79">
        <f t="shared" si="10"/>
        <v>1.9466850000000002</v>
      </c>
      <c r="E22" s="79">
        <f t="shared" si="10"/>
        <v>2.8949456249999996</v>
      </c>
      <c r="F22" s="79">
        <f t="shared" si="10"/>
        <v>4.2320782968749997</v>
      </c>
      <c r="G22" s="79">
        <f t="shared" si="10"/>
        <v>6.062209746328123</v>
      </c>
      <c r="H22" s="79">
        <f t="shared" si="10"/>
        <v>8.5216227744374979</v>
      </c>
      <c r="I22" s="79">
        <f t="shared" si="10"/>
        <v>11.764136849308588</v>
      </c>
      <c r="J22" s="79">
        <f t="shared" si="10"/>
        <v>15.944907218083584</v>
      </c>
      <c r="K22" s="79">
        <f t="shared" si="10"/>
        <v>21.181231583012952</v>
      </c>
      <c r="L22" s="79">
        <f t="shared" si="10"/>
        <v>27.590137536510841</v>
      </c>
      <c r="M22" s="79">
        <f t="shared" si="10"/>
        <v>35.246959369258676</v>
      </c>
      <c r="N22" s="79">
        <f t="shared" si="10"/>
        <v>44.145616724332548</v>
      </c>
      <c r="O22" s="79">
        <f t="shared" si="10"/>
        <v>54.145900555145921</v>
      </c>
      <c r="P22" s="79">
        <f t="shared" si="10"/>
        <v>65.040523193464765</v>
      </c>
      <c r="Q22" s="79">
        <f t="shared" si="10"/>
        <v>78.127158864905311</v>
      </c>
      <c r="R22" s="79">
        <f t="shared" si="10"/>
        <v>93.842340389597922</v>
      </c>
      <c r="S22" s="79">
        <f t="shared" si="10"/>
        <v>112.68081327385254</v>
      </c>
      <c r="T22" s="79">
        <f t="shared" si="10"/>
        <v>135.28159574985534</v>
      </c>
      <c r="U22" s="79">
        <f t="shared" si="10"/>
        <v>162.42321306385307</v>
      </c>
      <c r="V22" s="79">
        <f t="shared" si="10"/>
        <v>195.00090821919821</v>
      </c>
      <c r="W22" s="79">
        <f t="shared" si="10"/>
        <v>234.07925399880048</v>
      </c>
      <c r="X22" s="79">
        <f t="shared" si="10"/>
        <v>280.96210262921426</v>
      </c>
      <c r="Z22" s="57">
        <f t="shared" si="5"/>
        <v>0.51242298757701277</v>
      </c>
      <c r="AA22" s="57">
        <f t="shared" si="6"/>
        <v>0.44595998912624846</v>
      </c>
      <c r="AB22" s="57">
        <f t="shared" si="7"/>
        <v>0.37901681389128128</v>
      </c>
      <c r="AC22" s="57">
        <f t="shared" si="8"/>
        <v>0.32248033382037877</v>
      </c>
      <c r="AD22" s="57">
        <f t="shared" si="9"/>
        <v>0.29235598567989074</v>
      </c>
      <c r="AF22" s="57">
        <f t="shared" ref="AF22:AF29" si="11">C22/C$29</f>
        <v>1.429688326212105E-3</v>
      </c>
      <c r="AG22" s="57">
        <f t="shared" ref="AG22:AG29" si="12">X22/X$29</f>
        <v>7.0494895335945912E-2</v>
      </c>
    </row>
    <row r="23" spans="2:33" ht="15.75" customHeight="1">
      <c r="B23" s="8" t="s">
        <v>49</v>
      </c>
      <c r="C23" s="80">
        <v>16</v>
      </c>
      <c r="D23" s="79">
        <f t="shared" ref="D23:X23" si="13">C23*(1+D55)</f>
        <v>16.8</v>
      </c>
      <c r="E23" s="79">
        <f t="shared" si="13"/>
        <v>17.64</v>
      </c>
      <c r="F23" s="79">
        <f t="shared" si="13"/>
        <v>18.522000000000002</v>
      </c>
      <c r="G23" s="79">
        <f t="shared" si="13"/>
        <v>19.448100000000004</v>
      </c>
      <c r="H23" s="79">
        <f t="shared" si="13"/>
        <v>20.420505000000006</v>
      </c>
      <c r="I23" s="79">
        <f t="shared" si="13"/>
        <v>21.441530250000007</v>
      </c>
      <c r="J23" s="79">
        <f t="shared" si="13"/>
        <v>22.513606762500007</v>
      </c>
      <c r="K23" s="79">
        <f t="shared" si="13"/>
        <v>23.639287100625008</v>
      </c>
      <c r="L23" s="79">
        <f t="shared" si="13"/>
        <v>24.82125145565626</v>
      </c>
      <c r="M23" s="79">
        <f t="shared" si="13"/>
        <v>26.062314028439072</v>
      </c>
      <c r="N23" s="79">
        <f t="shared" si="13"/>
        <v>27.365429729861027</v>
      </c>
      <c r="O23" s="79">
        <f t="shared" si="13"/>
        <v>28.733701216354081</v>
      </c>
      <c r="P23" s="79">
        <f t="shared" si="13"/>
        <v>30.170386277171787</v>
      </c>
      <c r="Q23" s="79">
        <f t="shared" si="13"/>
        <v>31.678905591030379</v>
      </c>
      <c r="R23" s="79">
        <f t="shared" si="13"/>
        <v>33.2628508705819</v>
      </c>
      <c r="S23" s="79">
        <f t="shared" si="13"/>
        <v>34.925993414110998</v>
      </c>
      <c r="T23" s="79">
        <f t="shared" si="13"/>
        <v>36.672293084816552</v>
      </c>
      <c r="U23" s="79">
        <f t="shared" si="13"/>
        <v>38.505907739057378</v>
      </c>
      <c r="V23" s="79">
        <f t="shared" si="13"/>
        <v>40.431203126010246</v>
      </c>
      <c r="W23" s="79">
        <f t="shared" si="13"/>
        <v>42.452763282310762</v>
      </c>
      <c r="X23" s="79">
        <f t="shared" si="13"/>
        <v>44.575401446426305</v>
      </c>
      <c r="Z23" s="57">
        <f t="shared" si="5"/>
        <v>5.0000000000000044E-2</v>
      </c>
      <c r="AA23" s="57">
        <f t="shared" si="6"/>
        <v>5.0000000000000044E-2</v>
      </c>
      <c r="AB23" s="57">
        <f t="shared" si="7"/>
        <v>5.0000000000000044E-2</v>
      </c>
      <c r="AC23" s="57">
        <f t="shared" si="8"/>
        <v>5.0000000000000044E-2</v>
      </c>
      <c r="AD23" s="57">
        <f t="shared" si="9"/>
        <v>5.0000000000000044E-2</v>
      </c>
      <c r="AF23" s="57">
        <f t="shared" si="11"/>
        <v>1.7772107882959517E-2</v>
      </c>
      <c r="AG23" s="57">
        <f t="shared" si="12"/>
        <v>1.1184206802689467E-2</v>
      </c>
    </row>
    <row r="24" spans="2:33" ht="15.75" customHeight="1">
      <c r="B24" s="8" t="s">
        <v>51</v>
      </c>
      <c r="C24" s="80">
        <v>18</v>
      </c>
      <c r="D24" s="79">
        <f t="shared" ref="D24:X24" si="14">C24*(1+D56)</f>
        <v>19.62</v>
      </c>
      <c r="E24" s="79">
        <f t="shared" si="14"/>
        <v>21.385800000000003</v>
      </c>
      <c r="F24" s="79">
        <f t="shared" si="14"/>
        <v>23.310522000000006</v>
      </c>
      <c r="G24" s="79">
        <f t="shared" si="14"/>
        <v>25.408468980000009</v>
      </c>
      <c r="H24" s="79">
        <f t="shared" si="14"/>
        <v>27.695231188200012</v>
      </c>
      <c r="I24" s="79">
        <f t="shared" si="14"/>
        <v>30.187801995138017</v>
      </c>
      <c r="J24" s="79">
        <f t="shared" si="14"/>
        <v>32.904704174700441</v>
      </c>
      <c r="K24" s="79">
        <f t="shared" si="14"/>
        <v>35.866127550423485</v>
      </c>
      <c r="L24" s="79">
        <f t="shared" si="14"/>
        <v>39.094079029961598</v>
      </c>
      <c r="M24" s="79">
        <f t="shared" si="14"/>
        <v>42.612546142658147</v>
      </c>
      <c r="N24" s="79">
        <f t="shared" si="14"/>
        <v>46.447675295497383</v>
      </c>
      <c r="O24" s="79">
        <f t="shared" si="14"/>
        <v>50.62796607209215</v>
      </c>
      <c r="P24" s="79">
        <f t="shared" si="14"/>
        <v>55.184483018580444</v>
      </c>
      <c r="Q24" s="79">
        <f t="shared" si="14"/>
        <v>60.151086490252688</v>
      </c>
      <c r="R24" s="79">
        <f t="shared" si="14"/>
        <v>65.564684274375438</v>
      </c>
      <c r="S24" s="79">
        <f t="shared" si="14"/>
        <v>71.465505859069239</v>
      </c>
      <c r="T24" s="79">
        <f t="shared" si="14"/>
        <v>77.897401386385482</v>
      </c>
      <c r="U24" s="79">
        <f t="shared" si="14"/>
        <v>84.908167511160187</v>
      </c>
      <c r="V24" s="79">
        <f t="shared" si="14"/>
        <v>92.54990258716461</v>
      </c>
      <c r="W24" s="79">
        <f t="shared" si="14"/>
        <v>100.87939382000943</v>
      </c>
      <c r="X24" s="79">
        <f t="shared" si="14"/>
        <v>109.95853926381028</v>
      </c>
      <c r="Z24" s="57">
        <f t="shared" si="5"/>
        <v>9.000000000000008E-2</v>
      </c>
      <c r="AA24" s="57">
        <f t="shared" si="6"/>
        <v>9.000000000000008E-2</v>
      </c>
      <c r="AB24" s="57">
        <f t="shared" si="7"/>
        <v>9.000000000000008E-2</v>
      </c>
      <c r="AC24" s="57">
        <f t="shared" si="8"/>
        <v>9.000000000000008E-2</v>
      </c>
      <c r="AD24" s="57">
        <f t="shared" si="9"/>
        <v>9.000000000000008E-2</v>
      </c>
      <c r="AF24" s="57">
        <f t="shared" si="11"/>
        <v>1.9993621368329457E-2</v>
      </c>
      <c r="AG24" s="57">
        <f t="shared" si="12"/>
        <v>2.7589186029567416E-2</v>
      </c>
    </row>
    <row r="25" spans="2:33" ht="15.75" customHeight="1">
      <c r="B25" s="8" t="s">
        <v>53</v>
      </c>
      <c r="C25" s="80">
        <v>115</v>
      </c>
      <c r="D25" s="79">
        <f t="shared" ref="D25:X25" si="15">C25*(1+D57)</f>
        <v>126.50000000000001</v>
      </c>
      <c r="E25" s="79">
        <f t="shared" si="15"/>
        <v>139.15000000000003</v>
      </c>
      <c r="F25" s="79">
        <f t="shared" si="15"/>
        <v>153.06500000000005</v>
      </c>
      <c r="G25" s="79">
        <f t="shared" si="15"/>
        <v>168.37150000000008</v>
      </c>
      <c r="H25" s="79">
        <f t="shared" si="15"/>
        <v>185.20865000000012</v>
      </c>
      <c r="I25" s="79">
        <f t="shared" si="15"/>
        <v>203.72951500000013</v>
      </c>
      <c r="J25" s="79">
        <f t="shared" si="15"/>
        <v>224.10246650000016</v>
      </c>
      <c r="K25" s="79">
        <f t="shared" si="15"/>
        <v>246.5127131500002</v>
      </c>
      <c r="L25" s="79">
        <f t="shared" si="15"/>
        <v>271.16398446500023</v>
      </c>
      <c r="M25" s="79">
        <f t="shared" si="15"/>
        <v>298.28038291150028</v>
      </c>
      <c r="N25" s="79">
        <f t="shared" si="15"/>
        <v>328.10842120265033</v>
      </c>
      <c r="O25" s="79">
        <f t="shared" si="15"/>
        <v>360.91926332291541</v>
      </c>
      <c r="P25" s="79">
        <f t="shared" si="15"/>
        <v>397.01118965520698</v>
      </c>
      <c r="Q25" s="79">
        <f t="shared" si="15"/>
        <v>436.7123086207277</v>
      </c>
      <c r="R25" s="79">
        <f t="shared" si="15"/>
        <v>480.38353948280053</v>
      </c>
      <c r="S25" s="79">
        <f t="shared" si="15"/>
        <v>528.42189343108066</v>
      </c>
      <c r="T25" s="79">
        <f t="shared" si="15"/>
        <v>581.26408277418875</v>
      </c>
      <c r="U25" s="79">
        <f t="shared" si="15"/>
        <v>639.39049105160768</v>
      </c>
      <c r="V25" s="79">
        <f t="shared" si="15"/>
        <v>703.32954015676853</v>
      </c>
      <c r="W25" s="79">
        <f t="shared" si="15"/>
        <v>773.66249417244546</v>
      </c>
      <c r="X25" s="79">
        <f t="shared" si="15"/>
        <v>851.02874358969007</v>
      </c>
      <c r="Z25" s="57">
        <f t="shared" si="5"/>
        <v>0.10000000000000009</v>
      </c>
      <c r="AA25" s="57">
        <f t="shared" si="6"/>
        <v>0.10000000000000009</v>
      </c>
      <c r="AB25" s="57">
        <f t="shared" si="7"/>
        <v>0.10000000000000009</v>
      </c>
      <c r="AC25" s="57">
        <f t="shared" si="8"/>
        <v>0.10000000000000009</v>
      </c>
      <c r="AD25" s="57">
        <f t="shared" si="9"/>
        <v>0.10000000000000009</v>
      </c>
      <c r="AF25" s="57">
        <f t="shared" si="11"/>
        <v>0.12773702540877152</v>
      </c>
      <c r="AG25" s="57">
        <f t="shared" si="12"/>
        <v>0.21352766670603174</v>
      </c>
    </row>
    <row r="26" spans="2:33" ht="15.75" customHeight="1">
      <c r="B26" s="8" t="s">
        <v>56</v>
      </c>
      <c r="C26" s="80">
        <v>330</v>
      </c>
      <c r="D26" s="79">
        <f t="shared" ref="D26:X26" si="16">C26*(1+D58)</f>
        <v>353.1</v>
      </c>
      <c r="E26" s="79">
        <f t="shared" si="16"/>
        <v>377.81700000000006</v>
      </c>
      <c r="F26" s="79">
        <f t="shared" si="16"/>
        <v>404.2641900000001</v>
      </c>
      <c r="G26" s="79">
        <f t="shared" si="16"/>
        <v>432.56268330000012</v>
      </c>
      <c r="H26" s="79">
        <f t="shared" si="16"/>
        <v>462.84207113100013</v>
      </c>
      <c r="I26" s="79">
        <f t="shared" si="16"/>
        <v>495.24101611017016</v>
      </c>
      <c r="J26" s="79">
        <f t="shared" si="16"/>
        <v>529.90788723788205</v>
      </c>
      <c r="K26" s="79">
        <f t="shared" si="16"/>
        <v>567.00143934453388</v>
      </c>
      <c r="L26" s="79">
        <f t="shared" si="16"/>
        <v>606.69154009865133</v>
      </c>
      <c r="M26" s="79">
        <f t="shared" si="16"/>
        <v>649.15994790555692</v>
      </c>
      <c r="N26" s="79">
        <f t="shared" si="16"/>
        <v>694.60114425894596</v>
      </c>
      <c r="O26" s="79">
        <f t="shared" si="16"/>
        <v>743.22322435707224</v>
      </c>
      <c r="P26" s="79">
        <f t="shared" si="16"/>
        <v>795.24885006206739</v>
      </c>
      <c r="Q26" s="79">
        <f t="shared" si="16"/>
        <v>850.91626956641221</v>
      </c>
      <c r="R26" s="79">
        <f t="shared" si="16"/>
        <v>910.48040843606111</v>
      </c>
      <c r="S26" s="79">
        <f t="shared" si="16"/>
        <v>974.2140370265854</v>
      </c>
      <c r="T26" s="79">
        <f t="shared" si="16"/>
        <v>1042.4090196184463</v>
      </c>
      <c r="U26" s="79">
        <f t="shared" si="16"/>
        <v>1115.3776509917377</v>
      </c>
      <c r="V26" s="79">
        <f t="shared" si="16"/>
        <v>1193.4540865611593</v>
      </c>
      <c r="W26" s="79">
        <f t="shared" si="16"/>
        <v>1276.9958726204407</v>
      </c>
      <c r="X26" s="79">
        <f t="shared" si="16"/>
        <v>1366.3855837038716</v>
      </c>
      <c r="Z26" s="57">
        <f t="shared" si="5"/>
        <v>7.0000000000000062E-2</v>
      </c>
      <c r="AA26" s="57">
        <f t="shared" si="6"/>
        <v>7.0000000000000062E-2</v>
      </c>
      <c r="AB26" s="57">
        <f t="shared" si="7"/>
        <v>7.0000000000000062E-2</v>
      </c>
      <c r="AC26" s="57">
        <f t="shared" si="8"/>
        <v>7.0000000000000062E-2</v>
      </c>
      <c r="AD26" s="57">
        <f t="shared" si="9"/>
        <v>7.0000000000000062E-2</v>
      </c>
      <c r="AF26" s="57">
        <f t="shared" si="11"/>
        <v>0.36654972508604006</v>
      </c>
      <c r="AG26" s="57">
        <f t="shared" si="12"/>
        <v>0.34283345622191452</v>
      </c>
    </row>
    <row r="27" spans="2:33" ht="15.75" customHeight="1">
      <c r="B27" s="8" t="s">
        <v>58</v>
      </c>
      <c r="C27" s="80">
        <v>300</v>
      </c>
      <c r="D27" s="79">
        <f t="shared" ref="D27:X27" si="17">C27*(1+D59)</f>
        <v>315</v>
      </c>
      <c r="E27" s="79">
        <f t="shared" si="17"/>
        <v>330.75</v>
      </c>
      <c r="F27" s="79">
        <f t="shared" si="17"/>
        <v>347.28750000000002</v>
      </c>
      <c r="G27" s="79">
        <f t="shared" si="17"/>
        <v>364.65187500000002</v>
      </c>
      <c r="H27" s="79">
        <f t="shared" si="17"/>
        <v>382.88446875000005</v>
      </c>
      <c r="I27" s="79">
        <f t="shared" si="17"/>
        <v>402.0286921875001</v>
      </c>
      <c r="J27" s="79">
        <f t="shared" si="17"/>
        <v>422.13012679687512</v>
      </c>
      <c r="K27" s="79">
        <f t="shared" si="17"/>
        <v>443.23663313671886</v>
      </c>
      <c r="L27" s="79">
        <f t="shared" si="17"/>
        <v>465.39846479355481</v>
      </c>
      <c r="M27" s="79">
        <f t="shared" si="17"/>
        <v>488.66838803323259</v>
      </c>
      <c r="N27" s="79">
        <f t="shared" si="17"/>
        <v>513.10180743489423</v>
      </c>
      <c r="O27" s="79">
        <f t="shared" si="17"/>
        <v>538.75689780663902</v>
      </c>
      <c r="P27" s="79">
        <f t="shared" si="17"/>
        <v>565.69474269697105</v>
      </c>
      <c r="Q27" s="79">
        <f t="shared" si="17"/>
        <v>593.97947983181962</v>
      </c>
      <c r="R27" s="79">
        <f t="shared" si="17"/>
        <v>623.67845382341068</v>
      </c>
      <c r="S27" s="79">
        <f t="shared" si="17"/>
        <v>654.86237651458123</v>
      </c>
      <c r="T27" s="79">
        <f t="shared" si="17"/>
        <v>687.60549534031031</v>
      </c>
      <c r="U27" s="79">
        <f t="shared" si="17"/>
        <v>721.98577010732583</v>
      </c>
      <c r="V27" s="79">
        <f t="shared" si="17"/>
        <v>758.08505861269214</v>
      </c>
      <c r="W27" s="79">
        <f t="shared" si="17"/>
        <v>795.98931154332672</v>
      </c>
      <c r="X27" s="79">
        <f t="shared" si="17"/>
        <v>835.78877712049314</v>
      </c>
      <c r="Z27" s="57">
        <f t="shared" si="5"/>
        <v>5.0000000000000044E-2</v>
      </c>
      <c r="AA27" s="57">
        <f t="shared" si="6"/>
        <v>5.0000000000000044E-2</v>
      </c>
      <c r="AB27" s="57">
        <f t="shared" si="7"/>
        <v>5.0000000000000044E-2</v>
      </c>
      <c r="AC27" s="57">
        <f t="shared" si="8"/>
        <v>5.0000000000000044E-2</v>
      </c>
      <c r="AD27" s="57">
        <f t="shared" si="9"/>
        <v>5.0000000000000044E-2</v>
      </c>
      <c r="AF27" s="57">
        <f t="shared" si="11"/>
        <v>0.33322702280549094</v>
      </c>
      <c r="AG27" s="57">
        <f t="shared" si="12"/>
        <v>0.20970387755042746</v>
      </c>
    </row>
    <row r="28" spans="2:33" ht="15.75" customHeight="1">
      <c r="B28" s="8" t="s">
        <v>60</v>
      </c>
      <c r="C28" s="81">
        <v>120</v>
      </c>
      <c r="D28" s="79">
        <f t="shared" ref="D28:X28" si="18">C28*(1+D60)</f>
        <v>128.4</v>
      </c>
      <c r="E28" s="79">
        <f t="shared" si="18"/>
        <v>137.38800000000001</v>
      </c>
      <c r="F28" s="79">
        <f t="shared" si="18"/>
        <v>147.00516000000002</v>
      </c>
      <c r="G28" s="79">
        <f t="shared" si="18"/>
        <v>157.29552120000002</v>
      </c>
      <c r="H28" s="79">
        <f t="shared" si="18"/>
        <v>168.30620768400004</v>
      </c>
      <c r="I28" s="79">
        <f t="shared" si="18"/>
        <v>180.08764222188006</v>
      </c>
      <c r="J28" s="79">
        <f t="shared" si="18"/>
        <v>192.69377717741168</v>
      </c>
      <c r="K28" s="79">
        <f t="shared" si="18"/>
        <v>206.18234157983051</v>
      </c>
      <c r="L28" s="79">
        <f t="shared" si="18"/>
        <v>220.61510549041864</v>
      </c>
      <c r="M28" s="79">
        <f t="shared" si="18"/>
        <v>236.05816287474795</v>
      </c>
      <c r="N28" s="79">
        <f t="shared" si="18"/>
        <v>252.58223427598031</v>
      </c>
      <c r="O28" s="79">
        <f t="shared" si="18"/>
        <v>270.26299067529897</v>
      </c>
      <c r="P28" s="79">
        <f t="shared" si="18"/>
        <v>289.1814000225699</v>
      </c>
      <c r="Q28" s="79">
        <f t="shared" si="18"/>
        <v>309.42409802414983</v>
      </c>
      <c r="R28" s="79">
        <f t="shared" si="18"/>
        <v>331.08378488584032</v>
      </c>
      <c r="S28" s="79">
        <f t="shared" si="18"/>
        <v>354.25964982784916</v>
      </c>
      <c r="T28" s="79">
        <f t="shared" si="18"/>
        <v>379.0578253157986</v>
      </c>
      <c r="U28" s="79">
        <f t="shared" si="18"/>
        <v>405.5918730879045</v>
      </c>
      <c r="V28" s="79">
        <f t="shared" si="18"/>
        <v>433.98330420405784</v>
      </c>
      <c r="W28" s="79">
        <f t="shared" si="18"/>
        <v>464.3621354983419</v>
      </c>
      <c r="X28" s="79">
        <f t="shared" si="18"/>
        <v>496.86748498322584</v>
      </c>
      <c r="Z28" s="57">
        <f t="shared" si="5"/>
        <v>7.0000000000000062E-2</v>
      </c>
      <c r="AA28" s="57">
        <f t="shared" si="6"/>
        <v>7.0000000000000062E-2</v>
      </c>
      <c r="AB28" s="57">
        <f t="shared" si="7"/>
        <v>7.0000000000000062E-2</v>
      </c>
      <c r="AC28" s="57">
        <f t="shared" si="8"/>
        <v>7.0000000000000062E-2</v>
      </c>
      <c r="AD28" s="57">
        <f t="shared" si="9"/>
        <v>7.0000000000000062E-2</v>
      </c>
      <c r="AF28" s="57">
        <f t="shared" si="11"/>
        <v>0.13329080912219637</v>
      </c>
      <c r="AG28" s="57">
        <f t="shared" si="12"/>
        <v>0.12466671135342342</v>
      </c>
    </row>
    <row r="29" spans="2:33" ht="15.75" customHeight="1">
      <c r="B29" s="82" t="s">
        <v>77</v>
      </c>
      <c r="C29" s="83">
        <f t="shared" ref="C29:X29" si="19">C22+SUM(C23:C28)</f>
        <v>900.28713000000005</v>
      </c>
      <c r="D29" s="83">
        <f t="shared" si="19"/>
        <v>961.36668499999996</v>
      </c>
      <c r="E29" s="83">
        <f t="shared" si="19"/>
        <v>1027.0257456250001</v>
      </c>
      <c r="F29" s="83">
        <f t="shared" si="19"/>
        <v>1097.6864502968751</v>
      </c>
      <c r="G29" s="83">
        <f t="shared" si="19"/>
        <v>1173.8003582263284</v>
      </c>
      <c r="H29" s="83">
        <f t="shared" si="19"/>
        <v>1255.878756527638</v>
      </c>
      <c r="I29" s="83">
        <f t="shared" si="19"/>
        <v>1344.4803346139972</v>
      </c>
      <c r="J29" s="83">
        <f t="shared" si="19"/>
        <v>1440.197475867453</v>
      </c>
      <c r="K29" s="83">
        <f t="shared" si="19"/>
        <v>1543.619773445145</v>
      </c>
      <c r="L29" s="83">
        <f t="shared" si="19"/>
        <v>1655.3745628697538</v>
      </c>
      <c r="M29" s="83">
        <f t="shared" si="19"/>
        <v>1776.0887012653936</v>
      </c>
      <c r="N29" s="83">
        <f t="shared" si="19"/>
        <v>1906.3523289221616</v>
      </c>
      <c r="O29" s="83">
        <f t="shared" si="19"/>
        <v>2046.6699440055177</v>
      </c>
      <c r="P29" s="83">
        <f t="shared" si="19"/>
        <v>2197.5315749260321</v>
      </c>
      <c r="Q29" s="83">
        <f t="shared" si="19"/>
        <v>2360.9893069892978</v>
      </c>
      <c r="R29" s="83">
        <f t="shared" si="19"/>
        <v>2538.296062162668</v>
      </c>
      <c r="S29" s="83">
        <f t="shared" si="19"/>
        <v>2730.8302693471287</v>
      </c>
      <c r="T29" s="83">
        <f t="shared" si="19"/>
        <v>2940.1877132698019</v>
      </c>
      <c r="U29" s="83">
        <f t="shared" si="19"/>
        <v>3168.183073552646</v>
      </c>
      <c r="V29" s="83">
        <f t="shared" si="19"/>
        <v>3416.8340034670509</v>
      </c>
      <c r="W29" s="83">
        <f t="shared" si="19"/>
        <v>3688.4212249356756</v>
      </c>
      <c r="X29" s="83">
        <f t="shared" si="19"/>
        <v>3985.5666327367317</v>
      </c>
      <c r="Z29" s="84">
        <f t="shared" si="5"/>
        <v>6.7844527556447431E-2</v>
      </c>
      <c r="AA29" s="84">
        <f t="shared" si="6"/>
        <v>6.9126026675805585E-2</v>
      </c>
      <c r="AB29" s="84">
        <f t="shared" si="7"/>
        <v>7.0582631615579761E-2</v>
      </c>
      <c r="AC29" s="84">
        <f t="shared" si="8"/>
        <v>7.1814440919043321E-2</v>
      </c>
      <c r="AD29" s="84">
        <f t="shared" si="9"/>
        <v>7.3413608281815312E-2</v>
      </c>
      <c r="AF29" s="84">
        <f t="shared" si="11"/>
        <v>1</v>
      </c>
      <c r="AG29" s="84">
        <f t="shared" si="12"/>
        <v>1</v>
      </c>
    </row>
    <row r="30" spans="2:33" ht="15.75" customHeight="1">
      <c r="B30" s="74" t="s">
        <v>78</v>
      </c>
      <c r="C30" s="85"/>
      <c r="D30" s="57">
        <f t="shared" ref="D30:X30" si="20">D29/C29-1</f>
        <v>6.7844527556447431E-2</v>
      </c>
      <c r="E30" s="57">
        <f t="shared" si="20"/>
        <v>6.8297624256659306E-2</v>
      </c>
      <c r="F30" s="57">
        <f t="shared" si="20"/>
        <v>6.8801298285734891E-2</v>
      </c>
      <c r="G30" s="57">
        <f t="shared" si="20"/>
        <v>6.9340300145700029E-2</v>
      </c>
      <c r="H30" s="57">
        <f t="shared" si="20"/>
        <v>6.9925347803892368E-2</v>
      </c>
      <c r="I30" s="57">
        <f t="shared" si="20"/>
        <v>7.0549467952887968E-2</v>
      </c>
      <c r="J30" s="57">
        <f t="shared" si="20"/>
        <v>7.1192667374295526E-2</v>
      </c>
      <c r="K30" s="57">
        <f t="shared" si="20"/>
        <v>7.1811192083501618E-2</v>
      </c>
      <c r="L30" s="57">
        <f t="shared" si="20"/>
        <v>7.2397873716781636E-2</v>
      </c>
      <c r="M30" s="57">
        <f t="shared" si="20"/>
        <v>7.2922552456267109E-2</v>
      </c>
      <c r="N30" s="57">
        <f t="shared" si="20"/>
        <v>7.3342974122835303E-2</v>
      </c>
      <c r="O30" s="57">
        <f t="shared" si="20"/>
        <v>7.3605289512611138E-2</v>
      </c>
      <c r="P30" s="57">
        <f t="shared" si="20"/>
        <v>7.371077655308933E-2</v>
      </c>
      <c r="Q30" s="57">
        <f t="shared" si="20"/>
        <v>7.438242705057263E-2</v>
      </c>
      <c r="R30" s="57">
        <f t="shared" si="20"/>
        <v>7.5098499873965663E-2</v>
      </c>
      <c r="S30" s="57">
        <f t="shared" si="20"/>
        <v>7.5851753487108375E-2</v>
      </c>
      <c r="T30" s="57">
        <f t="shared" si="20"/>
        <v>7.6664392610795717E-2</v>
      </c>
      <c r="U30" s="57">
        <f t="shared" si="20"/>
        <v>7.7544491208450417E-2</v>
      </c>
      <c r="V30" s="57">
        <f t="shared" si="20"/>
        <v>7.848376313543648E-2</v>
      </c>
      <c r="W30" s="57">
        <f t="shared" si="20"/>
        <v>7.9485049959420406E-2</v>
      </c>
      <c r="X30" s="57">
        <f t="shared" si="20"/>
        <v>8.056167928765734E-2</v>
      </c>
      <c r="Z30" s="86"/>
      <c r="AA30" s="86"/>
      <c r="AB30" s="86"/>
      <c r="AC30" s="86"/>
      <c r="AD30" s="86"/>
      <c r="AF30" s="86"/>
      <c r="AG30" s="86"/>
    </row>
    <row r="31" spans="2:33" ht="15.75" customHeight="1">
      <c r="B31" s="201" t="s">
        <v>79</v>
      </c>
      <c r="C31" s="202">
        <f>C29</f>
        <v>900.28713000000005</v>
      </c>
      <c r="D31" s="202">
        <f t="shared" ref="D31:X31" si="21">C31*(1+D30)/(1+D40)</f>
        <v>906.9497028301887</v>
      </c>
      <c r="E31" s="202">
        <f t="shared" si="21"/>
        <v>914.04925740922056</v>
      </c>
      <c r="F31" s="202">
        <f t="shared" si="21"/>
        <v>921.63871039253468</v>
      </c>
      <c r="G31" s="202">
        <f t="shared" si="21"/>
        <v>929.7598256575933</v>
      </c>
      <c r="H31" s="202">
        <f t="shared" si="21"/>
        <v>938.46566494413844</v>
      </c>
      <c r="I31" s="202">
        <f t="shared" si="21"/>
        <v>947.80558330000054</v>
      </c>
      <c r="J31" s="202">
        <f t="shared" si="21"/>
        <v>957.81357634658264</v>
      </c>
      <c r="K31" s="202">
        <f t="shared" si="21"/>
        <v>968.48614250735159</v>
      </c>
      <c r="L31" s="202">
        <f t="shared" si="21"/>
        <v>979.81366032929407</v>
      </c>
      <c r="M31" s="202">
        <f t="shared" si="21"/>
        <v>991.75865412455096</v>
      </c>
      <c r="N31" s="202">
        <f t="shared" si="21"/>
        <v>1004.2426258774583</v>
      </c>
      <c r="O31" s="202">
        <f t="shared" si="21"/>
        <v>1017.1322595245975</v>
      </c>
      <c r="P31" s="202">
        <f t="shared" si="21"/>
        <v>1030.2885549352395</v>
      </c>
      <c r="Q31" s="202">
        <f t="shared" si="21"/>
        <v>1044.267847371462</v>
      </c>
      <c r="R31" s="202">
        <f t="shared" si="21"/>
        <v>1059.1422605430889</v>
      </c>
      <c r="S31" s="202">
        <f t="shared" si="21"/>
        <v>1074.9811869788507</v>
      </c>
      <c r="T31" s="202">
        <f t="shared" si="21"/>
        <v>1091.8811007043553</v>
      </c>
      <c r="U31" s="202">
        <f t="shared" si="21"/>
        <v>1109.9532689798086</v>
      </c>
      <c r="V31" s="202">
        <f t="shared" si="21"/>
        <v>1129.3080928620975</v>
      </c>
      <c r="W31" s="202">
        <f t="shared" si="21"/>
        <v>1150.0671726819048</v>
      </c>
      <c r="X31" s="202">
        <f t="shared" si="21"/>
        <v>1172.3759579309124</v>
      </c>
      <c r="Y31" s="66"/>
      <c r="Z31" s="203">
        <f>IFERROR((D31/C31)-1,"")</f>
        <v>7.4004976947616985E-3</v>
      </c>
      <c r="AA31" s="203">
        <f>IFERROR((I31/C31)^(1/6)-1,"")</f>
        <v>8.6094591281185018E-3</v>
      </c>
      <c r="AB31" s="203">
        <f>IFERROR((N31/C31)^(1/11)-1,"")</f>
        <v>9.9836147316789692E-3</v>
      </c>
      <c r="AC31" s="203">
        <f>IFERROR((S31/C31)^(1/16)-1,"")</f>
        <v>1.1145698980229435E-2</v>
      </c>
      <c r="AD31" s="203">
        <f>IFERROR((X31/C31)^(1/21)-1,"")</f>
        <v>1.265434743567484E-2</v>
      </c>
    </row>
    <row r="32" spans="2:33" ht="15.75" customHeight="1">
      <c r="B32" s="74" t="s">
        <v>78</v>
      </c>
      <c r="C32" s="85"/>
      <c r="D32" s="57">
        <f t="shared" ref="D32:X32" si="22">D31/C31-1</f>
        <v>7.4004976947616985E-3</v>
      </c>
      <c r="E32" s="57">
        <f t="shared" si="22"/>
        <v>7.8279474119427039E-3</v>
      </c>
      <c r="F32" s="57">
        <f t="shared" si="22"/>
        <v>8.3031115903158259E-3</v>
      </c>
      <c r="G32" s="57">
        <f t="shared" si="22"/>
        <v>8.8116039110377464E-3</v>
      </c>
      <c r="H32" s="57">
        <f t="shared" si="22"/>
        <v>9.3635356640493494E-3</v>
      </c>
      <c r="I32" s="57">
        <f t="shared" si="22"/>
        <v>9.9523282574414118E-3</v>
      </c>
      <c r="J32" s="57">
        <f t="shared" si="22"/>
        <v>1.0559120164429725E-2</v>
      </c>
      <c r="K32" s="57">
        <f t="shared" si="22"/>
        <v>1.1142634041039212E-2</v>
      </c>
      <c r="L32" s="57">
        <f t="shared" si="22"/>
        <v>1.1696107279982604E-2</v>
      </c>
      <c r="M32" s="57">
        <f t="shared" si="22"/>
        <v>1.2191087222893415E-2</v>
      </c>
      <c r="N32" s="57">
        <f t="shared" si="22"/>
        <v>1.2587711436637061E-2</v>
      </c>
      <c r="O32" s="57">
        <f t="shared" si="22"/>
        <v>1.2835178785482126E-2</v>
      </c>
      <c r="P32" s="57">
        <f t="shared" si="22"/>
        <v>1.2934694861404861E-2</v>
      </c>
      <c r="Q32" s="57">
        <f t="shared" si="22"/>
        <v>1.3568327406200398E-2</v>
      </c>
      <c r="R32" s="57">
        <f t="shared" si="22"/>
        <v>1.424386780562803E-2</v>
      </c>
      <c r="S32" s="57">
        <f t="shared" si="22"/>
        <v>1.495448442180014E-2</v>
      </c>
      <c r="T32" s="57">
        <f t="shared" si="22"/>
        <v>1.5721125104524392E-2</v>
      </c>
      <c r="U32" s="57">
        <f t="shared" si="22"/>
        <v>1.6551406800424662E-2</v>
      </c>
      <c r="V32" s="57">
        <f t="shared" si="22"/>
        <v>1.7437512391921262E-2</v>
      </c>
      <c r="W32" s="57">
        <f t="shared" si="22"/>
        <v>1.8382122603226803E-2</v>
      </c>
      <c r="X32" s="57">
        <f t="shared" si="22"/>
        <v>1.9397810648733138E-2</v>
      </c>
      <c r="Z32" s="86"/>
      <c r="AA32" s="86"/>
      <c r="AB32" s="86"/>
      <c r="AC32" s="86"/>
      <c r="AD32" s="86"/>
    </row>
    <row r="33" spans="2:35" ht="15.75" customHeight="1">
      <c r="B33" s="201" t="s">
        <v>80</v>
      </c>
      <c r="C33" s="202">
        <f>C31</f>
        <v>900.28713000000005</v>
      </c>
      <c r="D33" s="202">
        <f t="shared" ref="D33:X33" si="23">C33*(1+D30)/(1+D42)</f>
        <v>942.51635784313726</v>
      </c>
      <c r="E33" s="202">
        <f t="shared" si="23"/>
        <v>987.14508422241465</v>
      </c>
      <c r="F33" s="202">
        <f t="shared" si="23"/>
        <v>1034.3744584444096</v>
      </c>
      <c r="G33" s="202">
        <f t="shared" si="23"/>
        <v>1084.4100920156775</v>
      </c>
      <c r="H33" s="202">
        <f t="shared" si="23"/>
        <v>1137.4880831979654</v>
      </c>
      <c r="I33" s="202">
        <f t="shared" si="23"/>
        <v>1193.8600610493452</v>
      </c>
      <c r="J33" s="202">
        <f t="shared" si="23"/>
        <v>1253.7785718304779</v>
      </c>
      <c r="K33" s="202">
        <f t="shared" si="23"/>
        <v>1317.4646134140926</v>
      </c>
      <c r="L33" s="202">
        <f t="shared" si="23"/>
        <v>1385.1433824729163</v>
      </c>
      <c r="M33" s="202">
        <f t="shared" si="23"/>
        <v>1457.011346510538</v>
      </c>
      <c r="N33" s="202">
        <f t="shared" si="23"/>
        <v>1533.2087176415075</v>
      </c>
      <c r="O33" s="202">
        <f t="shared" si="23"/>
        <v>1613.7852835164413</v>
      </c>
      <c r="P33" s="202">
        <f t="shared" si="23"/>
        <v>1698.7633823082213</v>
      </c>
      <c r="Q33" s="202">
        <f t="shared" si="23"/>
        <v>1789.3348290872025</v>
      </c>
      <c r="R33" s="202">
        <f t="shared" si="23"/>
        <v>1885.9913632587156</v>
      </c>
      <c r="S33" s="202">
        <f t="shared" si="23"/>
        <v>1989.2618776700303</v>
      </c>
      <c r="T33" s="202">
        <f t="shared" si="23"/>
        <v>2099.7719914366808</v>
      </c>
      <c r="U33" s="202">
        <f t="shared" si="23"/>
        <v>2218.233080555287</v>
      </c>
      <c r="V33" s="202">
        <f t="shared" si="23"/>
        <v>2345.4199610086057</v>
      </c>
      <c r="W33" s="202">
        <f t="shared" si="23"/>
        <v>2482.201748809016</v>
      </c>
      <c r="X33" s="202">
        <f t="shared" si="23"/>
        <v>2629.5804804155196</v>
      </c>
      <c r="Y33" s="66"/>
      <c r="Z33" s="203">
        <f>IFERROR((D33/C33)-1,"")</f>
        <v>4.6906399565144419E-2</v>
      </c>
      <c r="AA33" s="203">
        <f>IFERROR((I33/C33)^(1/6)-1,"")</f>
        <v>4.8162771250789937E-2</v>
      </c>
      <c r="AB33" s="203">
        <f>IFERROR((N33/C33)^(1/11)-1,"")</f>
        <v>4.9590815309392022E-2</v>
      </c>
      <c r="AC33" s="203">
        <f>IFERROR((S33/C33)^(1/16)-1,"")</f>
        <v>5.0798471489258201E-2</v>
      </c>
      <c r="AD33" s="203">
        <f>IFERROR((X33/C33)^(1/21)-1,"")</f>
        <v>5.236628262923082E-2</v>
      </c>
    </row>
    <row r="34" spans="2:35" ht="15.75" customHeight="1">
      <c r="B34" s="74" t="s">
        <v>78</v>
      </c>
      <c r="C34" s="85"/>
      <c r="D34" s="57">
        <f t="shared" ref="D34:X34" si="24">D33/C33-1</f>
        <v>4.6906399565144419E-2</v>
      </c>
      <c r="E34" s="57">
        <f t="shared" si="24"/>
        <v>4.7350612016332727E-2</v>
      </c>
      <c r="F34" s="57">
        <f t="shared" si="24"/>
        <v>4.7844410084053601E-2</v>
      </c>
      <c r="G34" s="57">
        <f t="shared" si="24"/>
        <v>4.8372843280098277E-2</v>
      </c>
      <c r="H34" s="57">
        <f t="shared" si="24"/>
        <v>4.8946419415580644E-2</v>
      </c>
      <c r="I34" s="57">
        <f t="shared" si="24"/>
        <v>4.9558301914595981E-2</v>
      </c>
      <c r="J34" s="57">
        <f t="shared" si="24"/>
        <v>5.0188889582642782E-2</v>
      </c>
      <c r="K34" s="57">
        <f t="shared" si="24"/>
        <v>5.079528635637387E-2</v>
      </c>
      <c r="L34" s="57">
        <f t="shared" si="24"/>
        <v>5.1370464428217355E-2</v>
      </c>
      <c r="M34" s="57">
        <f t="shared" si="24"/>
        <v>5.1884855349281445E-2</v>
      </c>
      <c r="N34" s="57">
        <f t="shared" si="24"/>
        <v>5.2297033453760022E-2</v>
      </c>
      <c r="O34" s="57">
        <f t="shared" si="24"/>
        <v>5.2554205404520715E-2</v>
      </c>
      <c r="P34" s="57">
        <f t="shared" si="24"/>
        <v>5.2657624071656306E-2</v>
      </c>
      <c r="Q34" s="57">
        <f t="shared" si="24"/>
        <v>5.3316104951541821E-2</v>
      </c>
      <c r="R34" s="57">
        <f t="shared" si="24"/>
        <v>5.401813713133885E-2</v>
      </c>
      <c r="S34" s="57">
        <f t="shared" si="24"/>
        <v>5.4756621065792377E-2</v>
      </c>
      <c r="T34" s="57">
        <f t="shared" si="24"/>
        <v>5.5553326089015531E-2</v>
      </c>
      <c r="U34" s="57">
        <f t="shared" si="24"/>
        <v>5.6416167851421894E-2</v>
      </c>
      <c r="V34" s="57">
        <f t="shared" si="24"/>
        <v>5.7337022681800631E-2</v>
      </c>
      <c r="W34" s="57">
        <f t="shared" si="24"/>
        <v>5.8318676430804128E-2</v>
      </c>
      <c r="X34" s="57">
        <f t="shared" si="24"/>
        <v>5.9374195380056172E-2</v>
      </c>
      <c r="Z34" s="86"/>
      <c r="AA34" s="86"/>
      <c r="AB34" s="86"/>
      <c r="AC34" s="86"/>
      <c r="AD34" s="86"/>
    </row>
    <row r="35" spans="2:35" ht="3.75" customHeight="1">
      <c r="B35" s="74"/>
      <c r="C35" s="85"/>
      <c r="D35" s="57"/>
      <c r="E35" s="57"/>
      <c r="F35" s="57"/>
      <c r="G35" s="57"/>
      <c r="H35" s="57"/>
      <c r="I35" s="57"/>
      <c r="J35" s="57"/>
      <c r="K35" s="57"/>
      <c r="L35" s="57"/>
      <c r="M35" s="57"/>
      <c r="N35" s="57"/>
      <c r="O35" s="57"/>
      <c r="P35" s="57"/>
      <c r="Q35" s="57"/>
      <c r="R35" s="57"/>
      <c r="S35" s="57"/>
      <c r="T35" s="57"/>
      <c r="U35" s="57"/>
      <c r="V35" s="57"/>
      <c r="W35" s="57"/>
      <c r="X35" s="57"/>
      <c r="Z35" s="86"/>
      <c r="AA35" s="86"/>
      <c r="AB35" s="86"/>
      <c r="AC35" s="86"/>
      <c r="AD35" s="86"/>
    </row>
    <row r="36" spans="2:35" ht="15.75" customHeight="1">
      <c r="B36" s="197" t="s">
        <v>81</v>
      </c>
      <c r="C36" s="198"/>
      <c r="D36" s="198"/>
      <c r="E36" s="199"/>
      <c r="F36" s="199"/>
      <c r="G36" s="199"/>
      <c r="H36" s="199"/>
      <c r="I36" s="199"/>
      <c r="J36" s="199"/>
      <c r="K36" s="199"/>
      <c r="L36" s="199"/>
      <c r="M36" s="199"/>
      <c r="N36" s="199"/>
      <c r="O36" s="199"/>
      <c r="P36" s="199"/>
      <c r="Q36" s="199"/>
      <c r="R36" s="199"/>
      <c r="S36" s="199"/>
      <c r="T36" s="198"/>
      <c r="U36" s="198"/>
      <c r="V36" s="198"/>
      <c r="W36" s="198"/>
      <c r="X36" s="198"/>
      <c r="Y36" s="198"/>
      <c r="Z36" s="198"/>
      <c r="AA36" s="200"/>
      <c r="AB36" s="200"/>
      <c r="AC36" s="200"/>
      <c r="AD36" s="200"/>
      <c r="AE36" s="198"/>
      <c r="AF36" s="198"/>
      <c r="AG36" s="198"/>
    </row>
    <row r="37" spans="2:35" ht="15.75" customHeight="1">
      <c r="B37" s="204" t="s">
        <v>82</v>
      </c>
      <c r="C37" s="205">
        <f t="shared" ref="C37:X37" si="25">C90</f>
        <v>26.97128713</v>
      </c>
      <c r="D37" s="205">
        <f t="shared" si="25"/>
        <v>28.784546684999999</v>
      </c>
      <c r="E37" s="205">
        <f t="shared" si="25"/>
        <v>30.726818945625002</v>
      </c>
      <c r="F37" s="205">
        <f t="shared" si="25"/>
        <v>32.807863238296882</v>
      </c>
      <c r="G37" s="205">
        <f t="shared" si="25"/>
        <v>35.03820666414633</v>
      </c>
      <c r="H37" s="205">
        <f t="shared" si="25"/>
        <v>37.429235635370446</v>
      </c>
      <c r="I37" s="205">
        <f t="shared" si="25"/>
        <v>39.993250069789966</v>
      </c>
      <c r="J37" s="205">
        <f t="shared" si="25"/>
        <v>42.743521966699163</v>
      </c>
      <c r="K37" s="205">
        <f t="shared" si="25"/>
        <v>45.694337487446973</v>
      </c>
      <c r="L37" s="205">
        <f t="shared" si="25"/>
        <v>48.861122897533789</v>
      </c>
      <c r="M37" s="205">
        <f t="shared" si="25"/>
        <v>52.260499216253308</v>
      </c>
      <c r="N37" s="205">
        <f t="shared" si="25"/>
        <v>55.910346982659206</v>
      </c>
      <c r="O37" s="205">
        <f t="shared" si="25"/>
        <v>59.829867204066296</v>
      </c>
      <c r="P37" s="205">
        <f t="shared" si="25"/>
        <v>64.03977207517049</v>
      </c>
      <c r="Q37" s="205">
        <f t="shared" si="25"/>
        <v>68.563991602596673</v>
      </c>
      <c r="R37" s="205">
        <f t="shared" si="25"/>
        <v>73.427453993581707</v>
      </c>
      <c r="S37" s="205">
        <f t="shared" si="25"/>
        <v>78.657164495472145</v>
      </c>
      <c r="T37" s="205">
        <f t="shared" si="25"/>
        <v>84.282465121348224</v>
      </c>
      <c r="U37" s="205">
        <f t="shared" si="25"/>
        <v>90.335219027727646</v>
      </c>
      <c r="V37" s="205">
        <f t="shared" si="25"/>
        <v>96.849993765654773</v>
      </c>
      <c r="W37" s="205">
        <f t="shared" si="25"/>
        <v>103.86433838210503</v>
      </c>
      <c r="X37" s="205">
        <f t="shared" si="25"/>
        <v>111.41909800585472</v>
      </c>
      <c r="Z37" s="84"/>
      <c r="AA37" s="84"/>
      <c r="AB37" s="84"/>
      <c r="AC37" s="84"/>
      <c r="AD37" s="206"/>
      <c r="AF37" s="206"/>
      <c r="AG37" s="206"/>
    </row>
    <row r="38" spans="2:35" ht="15.75" customHeight="1">
      <c r="B38" s="74" t="s">
        <v>83</v>
      </c>
      <c r="C38" s="57">
        <f t="shared" ref="C38:X38" si="26">C37/C29</f>
        <v>2.9958539038539848E-2</v>
      </c>
      <c r="D38" s="57">
        <f t="shared" si="26"/>
        <v>2.9941277489764481E-2</v>
      </c>
      <c r="E38" s="57">
        <f t="shared" si="26"/>
        <v>2.9918255775492841E-2</v>
      </c>
      <c r="F38" s="57">
        <f t="shared" si="26"/>
        <v>2.9888191868838156E-2</v>
      </c>
      <c r="G38" s="57">
        <f t="shared" si="26"/>
        <v>2.9850226589716526E-2</v>
      </c>
      <c r="H38" s="57">
        <f t="shared" si="26"/>
        <v>2.9803223791170758E-2</v>
      </c>
      <c r="I38" s="57">
        <f t="shared" si="26"/>
        <v>2.9746251425292955E-2</v>
      </c>
      <c r="J38" s="57">
        <f t="shared" si="26"/>
        <v>2.967893131527264E-2</v>
      </c>
      <c r="K38" s="57">
        <f t="shared" si="26"/>
        <v>2.9602067992083023E-2</v>
      </c>
      <c r="L38" s="57">
        <f t="shared" si="26"/>
        <v>2.9516656830118407E-2</v>
      </c>
      <c r="M38" s="57">
        <f t="shared" si="26"/>
        <v>2.9424487177368872E-2</v>
      </c>
      <c r="N38" s="57">
        <f t="shared" si="26"/>
        <v>2.9328443716524599E-2</v>
      </c>
      <c r="O38" s="57">
        <f t="shared" si="26"/>
        <v>2.923278732816775E-2</v>
      </c>
      <c r="P38" s="57">
        <f t="shared" si="26"/>
        <v>2.9141684609162458E-2</v>
      </c>
      <c r="Q38" s="57">
        <f t="shared" si="26"/>
        <v>2.904036515524442E-2</v>
      </c>
      <c r="R38" s="57">
        <f t="shared" si="26"/>
        <v>2.8927852462970912E-2</v>
      </c>
      <c r="S38" s="57">
        <f t="shared" si="26"/>
        <v>2.8803388250957483E-2</v>
      </c>
      <c r="T38" s="57">
        <f t="shared" si="26"/>
        <v>2.866567489584437E-2</v>
      </c>
      <c r="U38" s="57">
        <f t="shared" si="26"/>
        <v>2.8513257261497248E-2</v>
      </c>
      <c r="V38" s="57">
        <f t="shared" si="26"/>
        <v>2.8344951398687025E-2</v>
      </c>
      <c r="W38" s="57">
        <f t="shared" si="26"/>
        <v>2.8159565312098098E-2</v>
      </c>
      <c r="X38" s="57">
        <f t="shared" si="26"/>
        <v>2.7955648035257564E-2</v>
      </c>
    </row>
    <row r="39" spans="2:35" ht="15.75" hidden="1" customHeight="1" outlineLevel="1">
      <c r="B39" s="272" t="s">
        <v>84</v>
      </c>
      <c r="C39" s="268"/>
      <c r="D39" s="268"/>
      <c r="E39" s="268"/>
      <c r="F39" s="268"/>
      <c r="G39" s="268"/>
      <c r="H39" s="268"/>
      <c r="I39" s="268"/>
      <c r="J39" s="268"/>
      <c r="K39" s="268"/>
      <c r="L39" s="268"/>
      <c r="M39" s="268"/>
      <c r="N39" s="268"/>
      <c r="O39" s="268"/>
      <c r="P39" s="268"/>
      <c r="Q39" s="268"/>
      <c r="R39" s="268"/>
      <c r="S39" s="268"/>
      <c r="T39" s="268"/>
      <c r="U39" s="268"/>
      <c r="V39" s="268"/>
      <c r="W39" s="268"/>
      <c r="X39" s="268"/>
      <c r="Y39" s="268"/>
      <c r="Z39" s="268"/>
      <c r="AA39" s="268"/>
      <c r="AB39" s="268"/>
      <c r="AC39" s="268"/>
      <c r="AD39" s="268"/>
      <c r="AE39" s="268"/>
      <c r="AF39" s="268"/>
      <c r="AG39" s="268"/>
    </row>
    <row r="40" spans="2:35" ht="15.75" hidden="1" customHeight="1" outlineLevel="1">
      <c r="B40" s="207" t="s">
        <v>85</v>
      </c>
      <c r="C40" s="208">
        <f t="shared" ref="C40:C41" si="27">C7</f>
        <v>0.06</v>
      </c>
      <c r="D40" s="209">
        <f t="shared" ref="D40:X40" si="28">C40</f>
        <v>0.06</v>
      </c>
      <c r="E40" s="209">
        <f t="shared" si="28"/>
        <v>0.06</v>
      </c>
      <c r="F40" s="209">
        <f t="shared" si="28"/>
        <v>0.06</v>
      </c>
      <c r="G40" s="209">
        <f t="shared" si="28"/>
        <v>0.06</v>
      </c>
      <c r="H40" s="209">
        <f t="shared" si="28"/>
        <v>0.06</v>
      </c>
      <c r="I40" s="209">
        <f t="shared" si="28"/>
        <v>0.06</v>
      </c>
      <c r="J40" s="209">
        <f t="shared" si="28"/>
        <v>0.06</v>
      </c>
      <c r="K40" s="209">
        <f t="shared" si="28"/>
        <v>0.06</v>
      </c>
      <c r="L40" s="209">
        <f t="shared" si="28"/>
        <v>0.06</v>
      </c>
      <c r="M40" s="209">
        <f t="shared" si="28"/>
        <v>0.06</v>
      </c>
      <c r="N40" s="209">
        <f t="shared" si="28"/>
        <v>0.06</v>
      </c>
      <c r="O40" s="209">
        <f t="shared" si="28"/>
        <v>0.06</v>
      </c>
      <c r="P40" s="209">
        <f t="shared" si="28"/>
        <v>0.06</v>
      </c>
      <c r="Q40" s="209">
        <f t="shared" si="28"/>
        <v>0.06</v>
      </c>
      <c r="R40" s="209">
        <f t="shared" si="28"/>
        <v>0.06</v>
      </c>
      <c r="S40" s="209">
        <f t="shared" si="28"/>
        <v>0.06</v>
      </c>
      <c r="T40" s="209">
        <f t="shared" si="28"/>
        <v>0.06</v>
      </c>
      <c r="U40" s="209">
        <f t="shared" si="28"/>
        <v>0.06</v>
      </c>
      <c r="V40" s="209">
        <f t="shared" si="28"/>
        <v>0.06</v>
      </c>
      <c r="W40" s="209">
        <f t="shared" si="28"/>
        <v>0.06</v>
      </c>
      <c r="X40" s="209">
        <f t="shared" si="28"/>
        <v>0.06</v>
      </c>
      <c r="Y40" s="190"/>
      <c r="Z40" s="210"/>
      <c r="AA40" s="192"/>
      <c r="AB40" s="192"/>
      <c r="AC40" s="192"/>
      <c r="AD40" s="192"/>
      <c r="AE40" s="211"/>
      <c r="AF40" s="190"/>
      <c r="AG40" s="190"/>
    </row>
    <row r="41" spans="2:35" ht="15.75" hidden="1" customHeight="1" outlineLevel="1">
      <c r="B41" s="207" t="s">
        <v>86</v>
      </c>
      <c r="C41" s="208">
        <f t="shared" si="27"/>
        <v>0.03</v>
      </c>
      <c r="D41" s="209">
        <f t="shared" ref="D41:X41" si="29">C41</f>
        <v>0.03</v>
      </c>
      <c r="E41" s="209">
        <f t="shared" si="29"/>
        <v>0.03</v>
      </c>
      <c r="F41" s="209">
        <f t="shared" si="29"/>
        <v>0.03</v>
      </c>
      <c r="G41" s="209">
        <f t="shared" si="29"/>
        <v>0.03</v>
      </c>
      <c r="H41" s="209">
        <f t="shared" si="29"/>
        <v>0.03</v>
      </c>
      <c r="I41" s="209">
        <f t="shared" si="29"/>
        <v>0.03</v>
      </c>
      <c r="J41" s="209">
        <f t="shared" si="29"/>
        <v>0.03</v>
      </c>
      <c r="K41" s="209">
        <f t="shared" si="29"/>
        <v>0.03</v>
      </c>
      <c r="L41" s="209">
        <f t="shared" si="29"/>
        <v>0.03</v>
      </c>
      <c r="M41" s="209">
        <f t="shared" si="29"/>
        <v>0.03</v>
      </c>
      <c r="N41" s="209">
        <f t="shared" si="29"/>
        <v>0.03</v>
      </c>
      <c r="O41" s="209">
        <f t="shared" si="29"/>
        <v>0.03</v>
      </c>
      <c r="P41" s="209">
        <f t="shared" si="29"/>
        <v>0.03</v>
      </c>
      <c r="Q41" s="209">
        <f t="shared" si="29"/>
        <v>0.03</v>
      </c>
      <c r="R41" s="209">
        <f t="shared" si="29"/>
        <v>0.03</v>
      </c>
      <c r="S41" s="209">
        <f t="shared" si="29"/>
        <v>0.03</v>
      </c>
      <c r="T41" s="209">
        <f t="shared" si="29"/>
        <v>0.03</v>
      </c>
      <c r="U41" s="209">
        <f t="shared" si="29"/>
        <v>0.03</v>
      </c>
      <c r="V41" s="209">
        <f t="shared" si="29"/>
        <v>0.03</v>
      </c>
      <c r="W41" s="209">
        <f t="shared" si="29"/>
        <v>0.03</v>
      </c>
      <c r="X41" s="209">
        <f t="shared" si="29"/>
        <v>0.03</v>
      </c>
      <c r="Y41" s="190"/>
      <c r="Z41" s="190"/>
      <c r="AA41" s="190"/>
      <c r="AB41" s="190"/>
      <c r="AC41" s="190"/>
      <c r="AD41" s="190"/>
      <c r="AE41" s="190"/>
      <c r="AF41" s="190"/>
      <c r="AG41" s="190"/>
    </row>
    <row r="42" spans="2:35" ht="15.75" hidden="1" customHeight="1" outlineLevel="1">
      <c r="B42" s="207" t="s">
        <v>87</v>
      </c>
      <c r="C42" s="87">
        <v>0.02</v>
      </c>
      <c r="D42" s="209">
        <f t="shared" ref="D42:X42" si="30">C42</f>
        <v>0.02</v>
      </c>
      <c r="E42" s="209">
        <f t="shared" si="30"/>
        <v>0.02</v>
      </c>
      <c r="F42" s="209">
        <f t="shared" si="30"/>
        <v>0.02</v>
      </c>
      <c r="G42" s="209">
        <f t="shared" si="30"/>
        <v>0.02</v>
      </c>
      <c r="H42" s="209">
        <f t="shared" si="30"/>
        <v>0.02</v>
      </c>
      <c r="I42" s="209">
        <f t="shared" si="30"/>
        <v>0.02</v>
      </c>
      <c r="J42" s="209">
        <f t="shared" si="30"/>
        <v>0.02</v>
      </c>
      <c r="K42" s="209">
        <f t="shared" si="30"/>
        <v>0.02</v>
      </c>
      <c r="L42" s="209">
        <f t="shared" si="30"/>
        <v>0.02</v>
      </c>
      <c r="M42" s="209">
        <f t="shared" si="30"/>
        <v>0.02</v>
      </c>
      <c r="N42" s="209">
        <f t="shared" si="30"/>
        <v>0.02</v>
      </c>
      <c r="O42" s="209">
        <f t="shared" si="30"/>
        <v>0.02</v>
      </c>
      <c r="P42" s="209">
        <f t="shared" si="30"/>
        <v>0.02</v>
      </c>
      <c r="Q42" s="209">
        <f t="shared" si="30"/>
        <v>0.02</v>
      </c>
      <c r="R42" s="209">
        <f t="shared" si="30"/>
        <v>0.02</v>
      </c>
      <c r="S42" s="209">
        <f t="shared" si="30"/>
        <v>0.02</v>
      </c>
      <c r="T42" s="209">
        <f t="shared" si="30"/>
        <v>0.02</v>
      </c>
      <c r="U42" s="209">
        <f t="shared" si="30"/>
        <v>0.02</v>
      </c>
      <c r="V42" s="209">
        <f t="shared" si="30"/>
        <v>0.02</v>
      </c>
      <c r="W42" s="209">
        <f t="shared" si="30"/>
        <v>0.02</v>
      </c>
      <c r="X42" s="209">
        <f t="shared" si="30"/>
        <v>0.02</v>
      </c>
      <c r="Y42" s="190"/>
      <c r="Z42" s="190"/>
      <c r="AA42" s="190"/>
      <c r="AB42" s="190"/>
      <c r="AC42" s="190"/>
      <c r="AD42" s="190"/>
      <c r="AE42" s="190"/>
      <c r="AF42" s="190"/>
      <c r="AG42" s="190"/>
    </row>
    <row r="43" spans="2:35" ht="15.75" hidden="1" customHeight="1" outlineLevel="1">
      <c r="B43" s="190"/>
      <c r="C43" s="190"/>
      <c r="D43" s="190"/>
      <c r="E43" s="190"/>
      <c r="F43" s="190"/>
      <c r="G43" s="190"/>
      <c r="H43" s="190"/>
      <c r="I43" s="190"/>
      <c r="J43" s="190"/>
      <c r="K43" s="190"/>
      <c r="L43" s="190"/>
      <c r="M43" s="190"/>
      <c r="N43" s="190"/>
      <c r="O43" s="190"/>
      <c r="P43" s="190"/>
      <c r="Q43" s="190"/>
      <c r="R43" s="190"/>
      <c r="S43" s="190"/>
      <c r="T43" s="190"/>
      <c r="U43" s="190"/>
      <c r="V43" s="190"/>
      <c r="W43" s="190"/>
      <c r="X43" s="190"/>
      <c r="Y43" s="190"/>
      <c r="Z43" s="190"/>
      <c r="AA43" s="190"/>
      <c r="AB43" s="190"/>
      <c r="AC43" s="190"/>
      <c r="AD43" s="190"/>
      <c r="AE43" s="190"/>
      <c r="AF43" s="190"/>
      <c r="AG43" s="190"/>
      <c r="AI43" s="88"/>
    </row>
    <row r="44" spans="2:35" ht="15.75" hidden="1" customHeight="1" outlineLevel="1">
      <c r="B44" s="189" t="s">
        <v>88</v>
      </c>
      <c r="C44" s="190"/>
      <c r="D44" s="190"/>
      <c r="E44" s="190"/>
      <c r="F44" s="190"/>
      <c r="G44" s="190"/>
      <c r="H44" s="190"/>
      <c r="I44" s="190"/>
      <c r="J44" s="190"/>
      <c r="K44" s="190"/>
      <c r="L44" s="190"/>
      <c r="M44" s="190"/>
      <c r="N44" s="190"/>
      <c r="O44" s="190"/>
      <c r="P44" s="190"/>
      <c r="Q44" s="190"/>
      <c r="R44" s="190"/>
      <c r="S44" s="190"/>
      <c r="T44" s="190"/>
      <c r="U44" s="190"/>
      <c r="V44" s="190"/>
      <c r="W44" s="190"/>
      <c r="X44" s="190"/>
      <c r="Y44" s="190"/>
      <c r="Z44" s="190"/>
      <c r="AA44" s="190"/>
      <c r="AB44" s="190"/>
      <c r="AC44" s="190"/>
      <c r="AD44" s="190"/>
      <c r="AE44" s="190"/>
      <c r="AF44" s="190"/>
      <c r="AG44" s="190"/>
      <c r="AI44" s="89"/>
    </row>
    <row r="45" spans="2:35" ht="15.75" hidden="1" customHeight="1" outlineLevel="1">
      <c r="B45" s="190" t="s">
        <v>49</v>
      </c>
      <c r="C45" s="190"/>
      <c r="D45" s="212">
        <f t="shared" ref="D45:D50" si="31">N5</f>
        <v>-0.04</v>
      </c>
      <c r="E45" s="209">
        <f t="shared" ref="E45:X45" si="32">D45</f>
        <v>-0.04</v>
      </c>
      <c r="F45" s="209">
        <f t="shared" si="32"/>
        <v>-0.04</v>
      </c>
      <c r="G45" s="209">
        <f t="shared" si="32"/>
        <v>-0.04</v>
      </c>
      <c r="H45" s="209">
        <f t="shared" si="32"/>
        <v>-0.04</v>
      </c>
      <c r="I45" s="209">
        <f t="shared" si="32"/>
        <v>-0.04</v>
      </c>
      <c r="J45" s="209">
        <f t="shared" si="32"/>
        <v>-0.04</v>
      </c>
      <c r="K45" s="209">
        <f t="shared" si="32"/>
        <v>-0.04</v>
      </c>
      <c r="L45" s="209">
        <f t="shared" si="32"/>
        <v>-0.04</v>
      </c>
      <c r="M45" s="209">
        <f t="shared" si="32"/>
        <v>-0.04</v>
      </c>
      <c r="N45" s="209">
        <f t="shared" si="32"/>
        <v>-0.04</v>
      </c>
      <c r="O45" s="209">
        <f t="shared" si="32"/>
        <v>-0.04</v>
      </c>
      <c r="P45" s="209">
        <f t="shared" si="32"/>
        <v>-0.04</v>
      </c>
      <c r="Q45" s="209">
        <f t="shared" si="32"/>
        <v>-0.04</v>
      </c>
      <c r="R45" s="209">
        <f t="shared" si="32"/>
        <v>-0.04</v>
      </c>
      <c r="S45" s="209">
        <f t="shared" si="32"/>
        <v>-0.04</v>
      </c>
      <c r="T45" s="209">
        <f t="shared" si="32"/>
        <v>-0.04</v>
      </c>
      <c r="U45" s="209">
        <f t="shared" si="32"/>
        <v>-0.04</v>
      </c>
      <c r="V45" s="209">
        <f t="shared" si="32"/>
        <v>-0.04</v>
      </c>
      <c r="W45" s="209">
        <f t="shared" si="32"/>
        <v>-0.04</v>
      </c>
      <c r="X45" s="209">
        <f t="shared" si="32"/>
        <v>-0.04</v>
      </c>
      <c r="Y45" s="190"/>
      <c r="Z45" s="190"/>
      <c r="AA45" s="190"/>
      <c r="AB45" s="190"/>
      <c r="AC45" s="190"/>
      <c r="AD45" s="190"/>
      <c r="AE45" s="190"/>
      <c r="AF45" s="190"/>
      <c r="AG45" s="190"/>
    </row>
    <row r="46" spans="2:35" ht="15.75" hidden="1" customHeight="1" outlineLevel="1">
      <c r="B46" s="190" t="s">
        <v>51</v>
      </c>
      <c r="C46" s="190"/>
      <c r="D46" s="212">
        <f t="shared" si="31"/>
        <v>0</v>
      </c>
      <c r="E46" s="209">
        <f t="shared" ref="E46:X46" si="33">D46</f>
        <v>0</v>
      </c>
      <c r="F46" s="209">
        <f t="shared" si="33"/>
        <v>0</v>
      </c>
      <c r="G46" s="209">
        <f t="shared" si="33"/>
        <v>0</v>
      </c>
      <c r="H46" s="209">
        <f t="shared" si="33"/>
        <v>0</v>
      </c>
      <c r="I46" s="209">
        <f t="shared" si="33"/>
        <v>0</v>
      </c>
      <c r="J46" s="209">
        <f t="shared" si="33"/>
        <v>0</v>
      </c>
      <c r="K46" s="209">
        <f t="shared" si="33"/>
        <v>0</v>
      </c>
      <c r="L46" s="209">
        <f t="shared" si="33"/>
        <v>0</v>
      </c>
      <c r="M46" s="209">
        <f t="shared" si="33"/>
        <v>0</v>
      </c>
      <c r="N46" s="209">
        <f t="shared" si="33"/>
        <v>0</v>
      </c>
      <c r="O46" s="209">
        <f t="shared" si="33"/>
        <v>0</v>
      </c>
      <c r="P46" s="209">
        <f t="shared" si="33"/>
        <v>0</v>
      </c>
      <c r="Q46" s="209">
        <f t="shared" si="33"/>
        <v>0</v>
      </c>
      <c r="R46" s="209">
        <f t="shared" si="33"/>
        <v>0</v>
      </c>
      <c r="S46" s="209">
        <f t="shared" si="33"/>
        <v>0</v>
      </c>
      <c r="T46" s="209">
        <f t="shared" si="33"/>
        <v>0</v>
      </c>
      <c r="U46" s="209">
        <f t="shared" si="33"/>
        <v>0</v>
      </c>
      <c r="V46" s="209">
        <f t="shared" si="33"/>
        <v>0</v>
      </c>
      <c r="W46" s="209">
        <f t="shared" si="33"/>
        <v>0</v>
      </c>
      <c r="X46" s="209">
        <f t="shared" si="33"/>
        <v>0</v>
      </c>
      <c r="Y46" s="190"/>
      <c r="Z46" s="190"/>
      <c r="AA46" s="190"/>
      <c r="AB46" s="190"/>
      <c r="AC46" s="190"/>
      <c r="AD46" s="190"/>
      <c r="AE46" s="190"/>
      <c r="AF46" s="213"/>
      <c r="AG46" s="190"/>
    </row>
    <row r="47" spans="2:35" ht="15.75" hidden="1" customHeight="1" outlineLevel="1">
      <c r="B47" s="190" t="s">
        <v>53</v>
      </c>
      <c r="C47" s="190"/>
      <c r="D47" s="212">
        <f t="shared" si="31"/>
        <v>0.01</v>
      </c>
      <c r="E47" s="209">
        <f t="shared" ref="E47:X47" si="34">D47</f>
        <v>0.01</v>
      </c>
      <c r="F47" s="209">
        <f t="shared" si="34"/>
        <v>0.01</v>
      </c>
      <c r="G47" s="209">
        <f t="shared" si="34"/>
        <v>0.01</v>
      </c>
      <c r="H47" s="209">
        <f t="shared" si="34"/>
        <v>0.01</v>
      </c>
      <c r="I47" s="209">
        <f t="shared" si="34"/>
        <v>0.01</v>
      </c>
      <c r="J47" s="209">
        <f t="shared" si="34"/>
        <v>0.01</v>
      </c>
      <c r="K47" s="209">
        <f t="shared" si="34"/>
        <v>0.01</v>
      </c>
      <c r="L47" s="209">
        <f t="shared" si="34"/>
        <v>0.01</v>
      </c>
      <c r="M47" s="209">
        <f t="shared" si="34"/>
        <v>0.01</v>
      </c>
      <c r="N47" s="209">
        <f t="shared" si="34"/>
        <v>0.01</v>
      </c>
      <c r="O47" s="209">
        <f t="shared" si="34"/>
        <v>0.01</v>
      </c>
      <c r="P47" s="209">
        <f t="shared" si="34"/>
        <v>0.01</v>
      </c>
      <c r="Q47" s="209">
        <f t="shared" si="34"/>
        <v>0.01</v>
      </c>
      <c r="R47" s="209">
        <f t="shared" si="34"/>
        <v>0.01</v>
      </c>
      <c r="S47" s="209">
        <f t="shared" si="34"/>
        <v>0.01</v>
      </c>
      <c r="T47" s="209">
        <f t="shared" si="34"/>
        <v>0.01</v>
      </c>
      <c r="U47" s="209">
        <f t="shared" si="34"/>
        <v>0.01</v>
      </c>
      <c r="V47" s="209">
        <f t="shared" si="34"/>
        <v>0.01</v>
      </c>
      <c r="W47" s="209">
        <f t="shared" si="34"/>
        <v>0.01</v>
      </c>
      <c r="X47" s="209">
        <f t="shared" si="34"/>
        <v>0.01</v>
      </c>
      <c r="Y47" s="190"/>
      <c r="Z47" s="190"/>
      <c r="AA47" s="190"/>
      <c r="AB47" s="190"/>
      <c r="AC47" s="190"/>
      <c r="AD47" s="190"/>
      <c r="AE47" s="190"/>
      <c r="AF47" s="190"/>
      <c r="AG47" s="214"/>
    </row>
    <row r="48" spans="2:35" ht="15.75" hidden="1" customHeight="1" outlineLevel="1">
      <c r="B48" s="190" t="s">
        <v>56</v>
      </c>
      <c r="C48" s="190"/>
      <c r="D48" s="212">
        <f t="shared" si="31"/>
        <v>-0.02</v>
      </c>
      <c r="E48" s="209">
        <f t="shared" ref="E48:X48" si="35">D48</f>
        <v>-0.02</v>
      </c>
      <c r="F48" s="209">
        <f t="shared" si="35"/>
        <v>-0.02</v>
      </c>
      <c r="G48" s="209">
        <f t="shared" si="35"/>
        <v>-0.02</v>
      </c>
      <c r="H48" s="209">
        <f t="shared" si="35"/>
        <v>-0.02</v>
      </c>
      <c r="I48" s="209">
        <f t="shared" si="35"/>
        <v>-0.02</v>
      </c>
      <c r="J48" s="209">
        <f t="shared" si="35"/>
        <v>-0.02</v>
      </c>
      <c r="K48" s="209">
        <f t="shared" si="35"/>
        <v>-0.02</v>
      </c>
      <c r="L48" s="209">
        <f t="shared" si="35"/>
        <v>-0.02</v>
      </c>
      <c r="M48" s="209">
        <f t="shared" si="35"/>
        <v>-0.02</v>
      </c>
      <c r="N48" s="209">
        <f t="shared" si="35"/>
        <v>-0.02</v>
      </c>
      <c r="O48" s="209">
        <f t="shared" si="35"/>
        <v>-0.02</v>
      </c>
      <c r="P48" s="209">
        <f t="shared" si="35"/>
        <v>-0.02</v>
      </c>
      <c r="Q48" s="209">
        <f t="shared" si="35"/>
        <v>-0.02</v>
      </c>
      <c r="R48" s="209">
        <f t="shared" si="35"/>
        <v>-0.02</v>
      </c>
      <c r="S48" s="209">
        <f t="shared" si="35"/>
        <v>-0.02</v>
      </c>
      <c r="T48" s="209">
        <f t="shared" si="35"/>
        <v>-0.02</v>
      </c>
      <c r="U48" s="209">
        <f t="shared" si="35"/>
        <v>-0.02</v>
      </c>
      <c r="V48" s="209">
        <f t="shared" si="35"/>
        <v>-0.02</v>
      </c>
      <c r="W48" s="209">
        <f t="shared" si="35"/>
        <v>-0.02</v>
      </c>
      <c r="X48" s="209">
        <f t="shared" si="35"/>
        <v>-0.02</v>
      </c>
      <c r="Y48" s="190"/>
      <c r="Z48" s="190"/>
      <c r="AA48" s="190"/>
      <c r="AB48" s="190"/>
      <c r="AC48" s="190"/>
      <c r="AD48" s="190"/>
      <c r="AE48" s="190"/>
      <c r="AF48" s="190"/>
      <c r="AG48" s="190"/>
    </row>
    <row r="49" spans="2:38" ht="15.75" hidden="1" customHeight="1" outlineLevel="1">
      <c r="B49" s="190" t="s">
        <v>58</v>
      </c>
      <c r="C49" s="190"/>
      <c r="D49" s="212">
        <f t="shared" si="31"/>
        <v>-0.04</v>
      </c>
      <c r="E49" s="209">
        <f t="shared" ref="E49:X49" si="36">D49</f>
        <v>-0.04</v>
      </c>
      <c r="F49" s="209">
        <f t="shared" si="36"/>
        <v>-0.04</v>
      </c>
      <c r="G49" s="209">
        <f t="shared" si="36"/>
        <v>-0.04</v>
      </c>
      <c r="H49" s="209">
        <f t="shared" si="36"/>
        <v>-0.04</v>
      </c>
      <c r="I49" s="209">
        <f t="shared" si="36"/>
        <v>-0.04</v>
      </c>
      <c r="J49" s="209">
        <f t="shared" si="36"/>
        <v>-0.04</v>
      </c>
      <c r="K49" s="209">
        <f t="shared" si="36"/>
        <v>-0.04</v>
      </c>
      <c r="L49" s="209">
        <f t="shared" si="36"/>
        <v>-0.04</v>
      </c>
      <c r="M49" s="209">
        <f t="shared" si="36"/>
        <v>-0.04</v>
      </c>
      <c r="N49" s="209">
        <f t="shared" si="36"/>
        <v>-0.04</v>
      </c>
      <c r="O49" s="209">
        <f t="shared" si="36"/>
        <v>-0.04</v>
      </c>
      <c r="P49" s="209">
        <f t="shared" si="36"/>
        <v>-0.04</v>
      </c>
      <c r="Q49" s="209">
        <f t="shared" si="36"/>
        <v>-0.04</v>
      </c>
      <c r="R49" s="209">
        <f t="shared" si="36"/>
        <v>-0.04</v>
      </c>
      <c r="S49" s="209">
        <f t="shared" si="36"/>
        <v>-0.04</v>
      </c>
      <c r="T49" s="209">
        <f t="shared" si="36"/>
        <v>-0.04</v>
      </c>
      <c r="U49" s="209">
        <f t="shared" si="36"/>
        <v>-0.04</v>
      </c>
      <c r="V49" s="209">
        <f t="shared" si="36"/>
        <v>-0.04</v>
      </c>
      <c r="W49" s="209">
        <f t="shared" si="36"/>
        <v>-0.04</v>
      </c>
      <c r="X49" s="209">
        <f t="shared" si="36"/>
        <v>-0.04</v>
      </c>
      <c r="Y49" s="190"/>
      <c r="Z49" s="190"/>
      <c r="AA49" s="190"/>
      <c r="AB49" s="190"/>
      <c r="AC49" s="190"/>
      <c r="AD49" s="190"/>
      <c r="AE49" s="190"/>
      <c r="AF49" s="190"/>
      <c r="AG49" s="190"/>
    </row>
    <row r="50" spans="2:38" ht="15.75" hidden="1" customHeight="1" outlineLevel="1">
      <c r="B50" s="190" t="s">
        <v>60</v>
      </c>
      <c r="C50" s="190"/>
      <c r="D50" s="212">
        <f t="shared" si="31"/>
        <v>-0.02</v>
      </c>
      <c r="E50" s="209">
        <f t="shared" ref="E50:X50" si="37">D50</f>
        <v>-0.02</v>
      </c>
      <c r="F50" s="209">
        <f t="shared" si="37"/>
        <v>-0.02</v>
      </c>
      <c r="G50" s="209">
        <f t="shared" si="37"/>
        <v>-0.02</v>
      </c>
      <c r="H50" s="209">
        <f t="shared" si="37"/>
        <v>-0.02</v>
      </c>
      <c r="I50" s="209">
        <f t="shared" si="37"/>
        <v>-0.02</v>
      </c>
      <c r="J50" s="209">
        <f t="shared" si="37"/>
        <v>-0.02</v>
      </c>
      <c r="K50" s="209">
        <f t="shared" si="37"/>
        <v>-0.02</v>
      </c>
      <c r="L50" s="209">
        <f t="shared" si="37"/>
        <v>-0.02</v>
      </c>
      <c r="M50" s="209">
        <f t="shared" si="37"/>
        <v>-0.02</v>
      </c>
      <c r="N50" s="209">
        <f t="shared" si="37"/>
        <v>-0.02</v>
      </c>
      <c r="O50" s="209">
        <f t="shared" si="37"/>
        <v>-0.02</v>
      </c>
      <c r="P50" s="209">
        <f t="shared" si="37"/>
        <v>-0.02</v>
      </c>
      <c r="Q50" s="209">
        <f t="shared" si="37"/>
        <v>-0.02</v>
      </c>
      <c r="R50" s="209">
        <f t="shared" si="37"/>
        <v>-0.02</v>
      </c>
      <c r="S50" s="209">
        <f t="shared" si="37"/>
        <v>-0.02</v>
      </c>
      <c r="T50" s="209">
        <f t="shared" si="37"/>
        <v>-0.02</v>
      </c>
      <c r="U50" s="209">
        <f t="shared" si="37"/>
        <v>-0.02</v>
      </c>
      <c r="V50" s="209">
        <f t="shared" si="37"/>
        <v>-0.02</v>
      </c>
      <c r="W50" s="209">
        <f t="shared" si="37"/>
        <v>-0.02</v>
      </c>
      <c r="X50" s="209">
        <f t="shared" si="37"/>
        <v>-0.02</v>
      </c>
      <c r="Y50" s="190"/>
      <c r="Z50" s="190"/>
      <c r="AA50" s="190"/>
      <c r="AB50" s="190"/>
      <c r="AC50" s="190"/>
      <c r="AD50" s="190"/>
      <c r="AE50" s="190"/>
      <c r="AF50" s="190"/>
      <c r="AG50" s="190"/>
    </row>
    <row r="51" spans="2:38" ht="15.75" hidden="1" customHeight="1" outlineLevel="1">
      <c r="B51" s="190"/>
      <c r="C51" s="190"/>
      <c r="D51" s="190"/>
      <c r="E51" s="190"/>
      <c r="F51" s="190"/>
      <c r="G51" s="190"/>
      <c r="H51" s="190"/>
      <c r="I51" s="190"/>
      <c r="J51" s="190"/>
      <c r="K51" s="190"/>
      <c r="L51" s="190"/>
      <c r="M51" s="190"/>
      <c r="N51" s="190"/>
      <c r="O51" s="190"/>
      <c r="P51" s="190"/>
      <c r="Q51" s="190"/>
      <c r="R51" s="190"/>
      <c r="S51" s="190"/>
      <c r="T51" s="190"/>
      <c r="U51" s="190"/>
      <c r="V51" s="190"/>
      <c r="W51" s="190"/>
      <c r="X51" s="190"/>
      <c r="Y51" s="190"/>
      <c r="Z51" s="190"/>
      <c r="AA51" s="190"/>
      <c r="AB51" s="190"/>
      <c r="AC51" s="190"/>
      <c r="AD51" s="190"/>
      <c r="AE51" s="190"/>
      <c r="AF51" s="190"/>
      <c r="AG51" s="190"/>
      <c r="AJ51" s="90"/>
      <c r="AK51" s="90"/>
      <c r="AL51" s="90"/>
    </row>
    <row r="52" spans="2:38" ht="15.75" hidden="1" customHeight="1" outlineLevel="1">
      <c r="B52" s="207" t="s">
        <v>89</v>
      </c>
      <c r="C52" s="191"/>
      <c r="D52" s="208">
        <f>BTC!D7</f>
        <v>0.5</v>
      </c>
      <c r="E52" s="209">
        <f>MAX(D52-BTC!$D$8,BTC!$D$9)</f>
        <v>0.47499999999999998</v>
      </c>
      <c r="F52" s="209">
        <f>MAX(E52-BTC!$D$8,BTC!$D$9)</f>
        <v>0.44999999999999996</v>
      </c>
      <c r="G52" s="209">
        <f>MAX(F52-BTC!$D$8,BTC!$D$9)</f>
        <v>0.42499999999999993</v>
      </c>
      <c r="H52" s="209">
        <f>MAX(G52-BTC!$D$8,BTC!$D$9)</f>
        <v>0.39999999999999991</v>
      </c>
      <c r="I52" s="209">
        <f>MAX(H52-BTC!$D$8,BTC!$D$9)</f>
        <v>0.37499999999999989</v>
      </c>
      <c r="J52" s="209">
        <f>MAX(I52-BTC!$D$8,BTC!$D$9)</f>
        <v>0.34999999999999987</v>
      </c>
      <c r="K52" s="209">
        <f>MAX(J52-BTC!$D$8,BTC!$D$9)</f>
        <v>0.32499999999999984</v>
      </c>
      <c r="L52" s="209">
        <f>MAX(K52-BTC!$D$8,BTC!$D$9)</f>
        <v>0.29999999999999982</v>
      </c>
      <c r="M52" s="209">
        <f>MAX(L52-BTC!$D$8,BTC!$D$9)</f>
        <v>0.2749999999999998</v>
      </c>
      <c r="N52" s="209">
        <f>MAX(M52-BTC!$D$8,BTC!$D$9)</f>
        <v>0.24999999999999981</v>
      </c>
      <c r="O52" s="209">
        <f>MAX(N52-BTC!$D$8,BTC!$D$9)</f>
        <v>0.22499999999999981</v>
      </c>
      <c r="P52" s="209">
        <f>MAX(O52-BTC!$D$8,BTC!$D$9)</f>
        <v>0.2</v>
      </c>
      <c r="Q52" s="209">
        <f>MAX(P52-BTC!$D$8,BTC!$D$9)</f>
        <v>0.2</v>
      </c>
      <c r="R52" s="209">
        <f>MAX(Q52-BTC!$D$8,BTC!$D$9)</f>
        <v>0.2</v>
      </c>
      <c r="S52" s="209">
        <f>MAX(R52-BTC!$D$8,BTC!$D$9)</f>
        <v>0.2</v>
      </c>
      <c r="T52" s="209">
        <f>MAX(S52-BTC!$D$8,BTC!$D$9)</f>
        <v>0.2</v>
      </c>
      <c r="U52" s="209">
        <f>MAX(T52-BTC!$D$8,BTC!$D$9)</f>
        <v>0.2</v>
      </c>
      <c r="V52" s="209">
        <f>MAX(U52-BTC!$D$8,BTC!$D$9)</f>
        <v>0.2</v>
      </c>
      <c r="W52" s="209">
        <f>MAX(V52-BTC!$D$8,BTC!$D$9)</f>
        <v>0.2</v>
      </c>
      <c r="X52" s="209">
        <f>MAX(W52-BTC!$D$8,BTC!$D$9)</f>
        <v>0.2</v>
      </c>
      <c r="Y52" s="190"/>
      <c r="Z52" s="190"/>
      <c r="AA52" s="190"/>
      <c r="AB52" s="190"/>
      <c r="AC52" s="190"/>
      <c r="AD52" s="190"/>
      <c r="AE52" s="190"/>
      <c r="AF52" s="190"/>
      <c r="AG52" s="190"/>
    </row>
    <row r="53" spans="2:38" ht="15.75" hidden="1" customHeight="1" outlineLevel="1">
      <c r="B53" s="190"/>
      <c r="C53" s="191"/>
      <c r="D53" s="208"/>
      <c r="E53" s="209"/>
      <c r="F53" s="209"/>
      <c r="G53" s="209"/>
      <c r="H53" s="209"/>
      <c r="I53" s="209"/>
      <c r="J53" s="209"/>
      <c r="K53" s="209"/>
      <c r="L53" s="209"/>
      <c r="M53" s="209"/>
      <c r="N53" s="209"/>
      <c r="O53" s="209"/>
      <c r="P53" s="209"/>
      <c r="Q53" s="209"/>
      <c r="R53" s="209"/>
      <c r="S53" s="209"/>
      <c r="T53" s="209"/>
      <c r="U53" s="209"/>
      <c r="V53" s="209"/>
      <c r="W53" s="209"/>
      <c r="X53" s="209"/>
      <c r="Y53" s="190"/>
      <c r="Z53" s="190"/>
      <c r="AA53" s="190"/>
      <c r="AB53" s="190"/>
      <c r="AC53" s="190"/>
      <c r="AD53" s="190"/>
      <c r="AE53" s="190"/>
      <c r="AF53" s="190"/>
      <c r="AG53" s="190"/>
    </row>
    <row r="54" spans="2:38" ht="15.75" hidden="1" customHeight="1" outlineLevel="1">
      <c r="B54" s="210" t="s">
        <v>90</v>
      </c>
      <c r="C54" s="190"/>
      <c r="D54" s="190"/>
      <c r="E54" s="190"/>
      <c r="F54" s="190"/>
      <c r="G54" s="190"/>
      <c r="H54" s="190"/>
      <c r="I54" s="190"/>
      <c r="J54" s="190"/>
      <c r="K54" s="190"/>
      <c r="L54" s="190"/>
      <c r="M54" s="190"/>
      <c r="N54" s="190"/>
      <c r="O54" s="190"/>
      <c r="P54" s="190"/>
      <c r="Q54" s="190"/>
      <c r="R54" s="190"/>
      <c r="S54" s="190"/>
      <c r="T54" s="190"/>
      <c r="U54" s="190"/>
      <c r="V54" s="190"/>
      <c r="W54" s="190"/>
      <c r="X54" s="190"/>
      <c r="Y54" s="190"/>
      <c r="Z54" s="190"/>
      <c r="AA54" s="190"/>
      <c r="AB54" s="190"/>
      <c r="AC54" s="190"/>
      <c r="AD54" s="190"/>
      <c r="AE54" s="190"/>
      <c r="AF54" s="190"/>
      <c r="AG54" s="190"/>
    </row>
    <row r="55" spans="2:38" ht="15.75" hidden="1" customHeight="1" outlineLevel="1">
      <c r="B55" s="190" t="s">
        <v>49</v>
      </c>
      <c r="C55" s="190"/>
      <c r="D55" s="215">
        <f t="shared" ref="D55:X55" si="38">D$40+D45+D$41</f>
        <v>4.9999999999999996E-2</v>
      </c>
      <c r="E55" s="215">
        <f t="shared" si="38"/>
        <v>4.9999999999999996E-2</v>
      </c>
      <c r="F55" s="215">
        <f t="shared" si="38"/>
        <v>4.9999999999999996E-2</v>
      </c>
      <c r="G55" s="215">
        <f t="shared" si="38"/>
        <v>4.9999999999999996E-2</v>
      </c>
      <c r="H55" s="215">
        <f t="shared" si="38"/>
        <v>4.9999999999999996E-2</v>
      </c>
      <c r="I55" s="215">
        <f t="shared" si="38"/>
        <v>4.9999999999999996E-2</v>
      </c>
      <c r="J55" s="215">
        <f t="shared" si="38"/>
        <v>4.9999999999999996E-2</v>
      </c>
      <c r="K55" s="215">
        <f t="shared" si="38"/>
        <v>4.9999999999999996E-2</v>
      </c>
      <c r="L55" s="215">
        <f t="shared" si="38"/>
        <v>4.9999999999999996E-2</v>
      </c>
      <c r="M55" s="215">
        <f t="shared" si="38"/>
        <v>4.9999999999999996E-2</v>
      </c>
      <c r="N55" s="215">
        <f t="shared" si="38"/>
        <v>4.9999999999999996E-2</v>
      </c>
      <c r="O55" s="215">
        <f t="shared" si="38"/>
        <v>4.9999999999999996E-2</v>
      </c>
      <c r="P55" s="215">
        <f t="shared" si="38"/>
        <v>4.9999999999999996E-2</v>
      </c>
      <c r="Q55" s="215">
        <f t="shared" si="38"/>
        <v>4.9999999999999996E-2</v>
      </c>
      <c r="R55" s="215">
        <f t="shared" si="38"/>
        <v>4.9999999999999996E-2</v>
      </c>
      <c r="S55" s="215">
        <f t="shared" si="38"/>
        <v>4.9999999999999996E-2</v>
      </c>
      <c r="T55" s="215">
        <f t="shared" si="38"/>
        <v>4.9999999999999996E-2</v>
      </c>
      <c r="U55" s="215">
        <f t="shared" si="38"/>
        <v>4.9999999999999996E-2</v>
      </c>
      <c r="V55" s="215">
        <f t="shared" si="38"/>
        <v>4.9999999999999996E-2</v>
      </c>
      <c r="W55" s="215">
        <f t="shared" si="38"/>
        <v>4.9999999999999996E-2</v>
      </c>
      <c r="X55" s="215">
        <f t="shared" si="38"/>
        <v>4.9999999999999996E-2</v>
      </c>
      <c r="Y55" s="190"/>
      <c r="Z55" s="190"/>
      <c r="AA55" s="190"/>
      <c r="AB55" s="190"/>
      <c r="AC55" s="190"/>
      <c r="AD55" s="190"/>
      <c r="AE55" s="190"/>
      <c r="AF55" s="190"/>
      <c r="AG55" s="190"/>
    </row>
    <row r="56" spans="2:38" ht="15.75" hidden="1" customHeight="1" outlineLevel="1">
      <c r="B56" s="190" t="s">
        <v>51</v>
      </c>
      <c r="C56" s="190"/>
      <c r="D56" s="215">
        <f t="shared" ref="D56:X56" si="39">D$40+D46+D$41</f>
        <v>0.09</v>
      </c>
      <c r="E56" s="215">
        <f t="shared" si="39"/>
        <v>0.09</v>
      </c>
      <c r="F56" s="215">
        <f t="shared" si="39"/>
        <v>0.09</v>
      </c>
      <c r="G56" s="215">
        <f t="shared" si="39"/>
        <v>0.09</v>
      </c>
      <c r="H56" s="215">
        <f t="shared" si="39"/>
        <v>0.09</v>
      </c>
      <c r="I56" s="215">
        <f t="shared" si="39"/>
        <v>0.09</v>
      </c>
      <c r="J56" s="215">
        <f t="shared" si="39"/>
        <v>0.09</v>
      </c>
      <c r="K56" s="215">
        <f t="shared" si="39"/>
        <v>0.09</v>
      </c>
      <c r="L56" s="215">
        <f t="shared" si="39"/>
        <v>0.09</v>
      </c>
      <c r="M56" s="215">
        <f t="shared" si="39"/>
        <v>0.09</v>
      </c>
      <c r="N56" s="215">
        <f t="shared" si="39"/>
        <v>0.09</v>
      </c>
      <c r="O56" s="215">
        <f t="shared" si="39"/>
        <v>0.09</v>
      </c>
      <c r="P56" s="215">
        <f t="shared" si="39"/>
        <v>0.09</v>
      </c>
      <c r="Q56" s="215">
        <f t="shared" si="39"/>
        <v>0.09</v>
      </c>
      <c r="R56" s="215">
        <f t="shared" si="39"/>
        <v>0.09</v>
      </c>
      <c r="S56" s="215">
        <f t="shared" si="39"/>
        <v>0.09</v>
      </c>
      <c r="T56" s="215">
        <f t="shared" si="39"/>
        <v>0.09</v>
      </c>
      <c r="U56" s="215">
        <f t="shared" si="39"/>
        <v>0.09</v>
      </c>
      <c r="V56" s="215">
        <f t="shared" si="39"/>
        <v>0.09</v>
      </c>
      <c r="W56" s="215">
        <f t="shared" si="39"/>
        <v>0.09</v>
      </c>
      <c r="X56" s="215">
        <f t="shared" si="39"/>
        <v>0.09</v>
      </c>
      <c r="Y56" s="190"/>
      <c r="Z56" s="190"/>
      <c r="AA56" s="190"/>
      <c r="AB56" s="190"/>
      <c r="AC56" s="190"/>
      <c r="AD56" s="190"/>
      <c r="AE56" s="190"/>
      <c r="AF56" s="190"/>
      <c r="AG56" s="190"/>
    </row>
    <row r="57" spans="2:38" ht="15.75" hidden="1" customHeight="1" outlineLevel="1">
      <c r="B57" s="190" t="s">
        <v>53</v>
      </c>
      <c r="C57" s="190"/>
      <c r="D57" s="215">
        <f t="shared" ref="D57:X57" si="40">D$40+D47+D$41</f>
        <v>9.9999999999999992E-2</v>
      </c>
      <c r="E57" s="215">
        <f t="shared" si="40"/>
        <v>9.9999999999999992E-2</v>
      </c>
      <c r="F57" s="215">
        <f t="shared" si="40"/>
        <v>9.9999999999999992E-2</v>
      </c>
      <c r="G57" s="215">
        <f t="shared" si="40"/>
        <v>9.9999999999999992E-2</v>
      </c>
      <c r="H57" s="215">
        <f t="shared" si="40"/>
        <v>9.9999999999999992E-2</v>
      </c>
      <c r="I57" s="215">
        <f t="shared" si="40"/>
        <v>9.9999999999999992E-2</v>
      </c>
      <c r="J57" s="215">
        <f t="shared" si="40"/>
        <v>9.9999999999999992E-2</v>
      </c>
      <c r="K57" s="215">
        <f t="shared" si="40"/>
        <v>9.9999999999999992E-2</v>
      </c>
      <c r="L57" s="215">
        <f t="shared" si="40"/>
        <v>9.9999999999999992E-2</v>
      </c>
      <c r="M57" s="215">
        <f t="shared" si="40"/>
        <v>9.9999999999999992E-2</v>
      </c>
      <c r="N57" s="215">
        <f t="shared" si="40"/>
        <v>9.9999999999999992E-2</v>
      </c>
      <c r="O57" s="215">
        <f t="shared" si="40"/>
        <v>9.9999999999999992E-2</v>
      </c>
      <c r="P57" s="215">
        <f t="shared" si="40"/>
        <v>9.9999999999999992E-2</v>
      </c>
      <c r="Q57" s="215">
        <f t="shared" si="40"/>
        <v>9.9999999999999992E-2</v>
      </c>
      <c r="R57" s="215">
        <f t="shared" si="40"/>
        <v>9.9999999999999992E-2</v>
      </c>
      <c r="S57" s="215">
        <f t="shared" si="40"/>
        <v>9.9999999999999992E-2</v>
      </c>
      <c r="T57" s="215">
        <f t="shared" si="40"/>
        <v>9.9999999999999992E-2</v>
      </c>
      <c r="U57" s="215">
        <f t="shared" si="40"/>
        <v>9.9999999999999992E-2</v>
      </c>
      <c r="V57" s="215">
        <f t="shared" si="40"/>
        <v>9.9999999999999992E-2</v>
      </c>
      <c r="W57" s="215">
        <f t="shared" si="40"/>
        <v>9.9999999999999992E-2</v>
      </c>
      <c r="X57" s="215">
        <f t="shared" si="40"/>
        <v>9.9999999999999992E-2</v>
      </c>
      <c r="Y57" s="190"/>
      <c r="Z57" s="216"/>
      <c r="AA57" s="190"/>
      <c r="AB57" s="190"/>
      <c r="AC57" s="190"/>
      <c r="AD57" s="190"/>
      <c r="AE57" s="190"/>
      <c r="AF57" s="190"/>
      <c r="AG57" s="190"/>
    </row>
    <row r="58" spans="2:38" ht="15.75" hidden="1" customHeight="1" outlineLevel="1">
      <c r="B58" s="190" t="s">
        <v>56</v>
      </c>
      <c r="C58" s="190"/>
      <c r="D58" s="215">
        <f t="shared" ref="D58:X58" si="41">D$40+D48+D$41</f>
        <v>6.9999999999999993E-2</v>
      </c>
      <c r="E58" s="215">
        <f t="shared" si="41"/>
        <v>6.9999999999999993E-2</v>
      </c>
      <c r="F58" s="215">
        <f t="shared" si="41"/>
        <v>6.9999999999999993E-2</v>
      </c>
      <c r="G58" s="215">
        <f t="shared" si="41"/>
        <v>6.9999999999999993E-2</v>
      </c>
      <c r="H58" s="215">
        <f t="shared" si="41"/>
        <v>6.9999999999999993E-2</v>
      </c>
      <c r="I58" s="215">
        <f t="shared" si="41"/>
        <v>6.9999999999999993E-2</v>
      </c>
      <c r="J58" s="215">
        <f t="shared" si="41"/>
        <v>6.9999999999999993E-2</v>
      </c>
      <c r="K58" s="215">
        <f t="shared" si="41"/>
        <v>6.9999999999999993E-2</v>
      </c>
      <c r="L58" s="215">
        <f t="shared" si="41"/>
        <v>6.9999999999999993E-2</v>
      </c>
      <c r="M58" s="215">
        <f t="shared" si="41"/>
        <v>6.9999999999999993E-2</v>
      </c>
      <c r="N58" s="215">
        <f t="shared" si="41"/>
        <v>6.9999999999999993E-2</v>
      </c>
      <c r="O58" s="215">
        <f t="shared" si="41"/>
        <v>6.9999999999999993E-2</v>
      </c>
      <c r="P58" s="215">
        <f t="shared" si="41"/>
        <v>6.9999999999999993E-2</v>
      </c>
      <c r="Q58" s="215">
        <f t="shared" si="41"/>
        <v>6.9999999999999993E-2</v>
      </c>
      <c r="R58" s="215">
        <f t="shared" si="41"/>
        <v>6.9999999999999993E-2</v>
      </c>
      <c r="S58" s="215">
        <f t="shared" si="41"/>
        <v>6.9999999999999993E-2</v>
      </c>
      <c r="T58" s="215">
        <f t="shared" si="41"/>
        <v>6.9999999999999993E-2</v>
      </c>
      <c r="U58" s="215">
        <f t="shared" si="41"/>
        <v>6.9999999999999993E-2</v>
      </c>
      <c r="V58" s="215">
        <f t="shared" si="41"/>
        <v>6.9999999999999993E-2</v>
      </c>
      <c r="W58" s="215">
        <f t="shared" si="41"/>
        <v>6.9999999999999993E-2</v>
      </c>
      <c r="X58" s="215">
        <f t="shared" si="41"/>
        <v>6.9999999999999993E-2</v>
      </c>
      <c r="Y58" s="190"/>
      <c r="Z58" s="216"/>
      <c r="AA58" s="190"/>
      <c r="AB58" s="190"/>
      <c r="AC58" s="190"/>
      <c r="AD58" s="190"/>
      <c r="AE58" s="190"/>
      <c r="AF58" s="190"/>
      <c r="AG58" s="190"/>
    </row>
    <row r="59" spans="2:38" ht="15.75" hidden="1" customHeight="1" outlineLevel="1">
      <c r="B59" s="190" t="s">
        <v>58</v>
      </c>
      <c r="C59" s="190"/>
      <c r="D59" s="215">
        <f t="shared" ref="D59:X59" si="42">D$40+D49+D$41</f>
        <v>4.9999999999999996E-2</v>
      </c>
      <c r="E59" s="215">
        <f t="shared" si="42"/>
        <v>4.9999999999999996E-2</v>
      </c>
      <c r="F59" s="215">
        <f t="shared" si="42"/>
        <v>4.9999999999999996E-2</v>
      </c>
      <c r="G59" s="215">
        <f t="shared" si="42"/>
        <v>4.9999999999999996E-2</v>
      </c>
      <c r="H59" s="215">
        <f t="shared" si="42"/>
        <v>4.9999999999999996E-2</v>
      </c>
      <c r="I59" s="215">
        <f t="shared" si="42"/>
        <v>4.9999999999999996E-2</v>
      </c>
      <c r="J59" s="215">
        <f t="shared" si="42"/>
        <v>4.9999999999999996E-2</v>
      </c>
      <c r="K59" s="215">
        <f t="shared" si="42"/>
        <v>4.9999999999999996E-2</v>
      </c>
      <c r="L59" s="215">
        <f t="shared" si="42"/>
        <v>4.9999999999999996E-2</v>
      </c>
      <c r="M59" s="215">
        <f t="shared" si="42"/>
        <v>4.9999999999999996E-2</v>
      </c>
      <c r="N59" s="215">
        <f t="shared" si="42"/>
        <v>4.9999999999999996E-2</v>
      </c>
      <c r="O59" s="215">
        <f t="shared" si="42"/>
        <v>4.9999999999999996E-2</v>
      </c>
      <c r="P59" s="215">
        <f t="shared" si="42"/>
        <v>4.9999999999999996E-2</v>
      </c>
      <c r="Q59" s="215">
        <f t="shared" si="42"/>
        <v>4.9999999999999996E-2</v>
      </c>
      <c r="R59" s="215">
        <f t="shared" si="42"/>
        <v>4.9999999999999996E-2</v>
      </c>
      <c r="S59" s="215">
        <f t="shared" si="42"/>
        <v>4.9999999999999996E-2</v>
      </c>
      <c r="T59" s="215">
        <f t="shared" si="42"/>
        <v>4.9999999999999996E-2</v>
      </c>
      <c r="U59" s="215">
        <f t="shared" si="42"/>
        <v>4.9999999999999996E-2</v>
      </c>
      <c r="V59" s="215">
        <f t="shared" si="42"/>
        <v>4.9999999999999996E-2</v>
      </c>
      <c r="W59" s="215">
        <f t="shared" si="42"/>
        <v>4.9999999999999996E-2</v>
      </c>
      <c r="X59" s="215">
        <f t="shared" si="42"/>
        <v>4.9999999999999996E-2</v>
      </c>
      <c r="Y59" s="190"/>
      <c r="Z59" s="190"/>
      <c r="AA59" s="190"/>
      <c r="AB59" s="190"/>
      <c r="AC59" s="190"/>
      <c r="AD59" s="190"/>
      <c r="AE59" s="190"/>
      <c r="AF59" s="190"/>
      <c r="AG59" s="190"/>
      <c r="AJ59" s="90"/>
      <c r="AK59" s="90"/>
      <c r="AL59" s="90"/>
    </row>
    <row r="60" spans="2:38" ht="15.75" hidden="1" customHeight="1" outlineLevel="1">
      <c r="B60" s="190" t="s">
        <v>60</v>
      </c>
      <c r="C60" s="190"/>
      <c r="D60" s="215">
        <f t="shared" ref="D60:X60" si="43">D$40+D50+D$41</f>
        <v>6.9999999999999993E-2</v>
      </c>
      <c r="E60" s="215">
        <f t="shared" si="43"/>
        <v>6.9999999999999993E-2</v>
      </c>
      <c r="F60" s="215">
        <f t="shared" si="43"/>
        <v>6.9999999999999993E-2</v>
      </c>
      <c r="G60" s="215">
        <f t="shared" si="43"/>
        <v>6.9999999999999993E-2</v>
      </c>
      <c r="H60" s="215">
        <f t="shared" si="43"/>
        <v>6.9999999999999993E-2</v>
      </c>
      <c r="I60" s="215">
        <f t="shared" si="43"/>
        <v>6.9999999999999993E-2</v>
      </c>
      <c r="J60" s="215">
        <f t="shared" si="43"/>
        <v>6.9999999999999993E-2</v>
      </c>
      <c r="K60" s="215">
        <f t="shared" si="43"/>
        <v>6.9999999999999993E-2</v>
      </c>
      <c r="L60" s="215">
        <f t="shared" si="43"/>
        <v>6.9999999999999993E-2</v>
      </c>
      <c r="M60" s="215">
        <f t="shared" si="43"/>
        <v>6.9999999999999993E-2</v>
      </c>
      <c r="N60" s="215">
        <f t="shared" si="43"/>
        <v>6.9999999999999993E-2</v>
      </c>
      <c r="O60" s="215">
        <f t="shared" si="43"/>
        <v>6.9999999999999993E-2</v>
      </c>
      <c r="P60" s="215">
        <f t="shared" si="43"/>
        <v>6.9999999999999993E-2</v>
      </c>
      <c r="Q60" s="215">
        <f t="shared" si="43"/>
        <v>6.9999999999999993E-2</v>
      </c>
      <c r="R60" s="215">
        <f t="shared" si="43"/>
        <v>6.9999999999999993E-2</v>
      </c>
      <c r="S60" s="215">
        <f t="shared" si="43"/>
        <v>6.9999999999999993E-2</v>
      </c>
      <c r="T60" s="215">
        <f t="shared" si="43"/>
        <v>6.9999999999999993E-2</v>
      </c>
      <c r="U60" s="215">
        <f t="shared" si="43"/>
        <v>6.9999999999999993E-2</v>
      </c>
      <c r="V60" s="215">
        <f t="shared" si="43"/>
        <v>6.9999999999999993E-2</v>
      </c>
      <c r="W60" s="215">
        <f t="shared" si="43"/>
        <v>6.9999999999999993E-2</v>
      </c>
      <c r="X60" s="215">
        <f t="shared" si="43"/>
        <v>6.9999999999999993E-2</v>
      </c>
      <c r="Y60" s="190"/>
      <c r="Z60" s="190"/>
      <c r="AA60" s="190"/>
      <c r="AB60" s="190"/>
      <c r="AC60" s="190"/>
      <c r="AD60" s="190"/>
      <c r="AE60" s="190"/>
      <c r="AF60" s="190"/>
      <c r="AG60" s="190"/>
      <c r="AJ60" s="90"/>
      <c r="AK60" s="90"/>
      <c r="AL60" s="90"/>
    </row>
    <row r="61" spans="2:38" ht="15.75" hidden="1" customHeight="1" outlineLevel="1">
      <c r="B61" s="190"/>
      <c r="C61" s="190"/>
      <c r="D61" s="190"/>
      <c r="E61" s="190"/>
      <c r="F61" s="190"/>
      <c r="G61" s="190"/>
      <c r="H61" s="190"/>
      <c r="I61" s="190"/>
      <c r="J61" s="190"/>
      <c r="K61" s="190"/>
      <c r="L61" s="190"/>
      <c r="M61" s="190"/>
      <c r="N61" s="190"/>
      <c r="O61" s="190"/>
      <c r="P61" s="190"/>
      <c r="Q61" s="190"/>
      <c r="R61" s="190"/>
      <c r="S61" s="190"/>
      <c r="T61" s="190"/>
      <c r="U61" s="190"/>
      <c r="V61" s="190"/>
      <c r="W61" s="190"/>
      <c r="X61" s="190"/>
      <c r="Y61" s="190"/>
      <c r="Z61" s="190"/>
      <c r="AA61" s="190"/>
      <c r="AB61" s="190"/>
      <c r="AC61" s="190"/>
      <c r="AD61" s="190"/>
      <c r="AE61" s="190"/>
      <c r="AF61" s="190"/>
      <c r="AG61" s="190"/>
      <c r="AJ61" s="90"/>
      <c r="AK61" s="90"/>
      <c r="AL61" s="90"/>
    </row>
    <row r="62" spans="2:38" ht="15.75" hidden="1" customHeight="1" outlineLevel="1">
      <c r="B62" s="189" t="s">
        <v>47</v>
      </c>
      <c r="C62" s="190"/>
      <c r="D62" s="190"/>
      <c r="E62" s="190"/>
      <c r="F62" s="190"/>
      <c r="G62" s="190"/>
      <c r="H62" s="190"/>
      <c r="I62" s="190"/>
      <c r="J62" s="190"/>
      <c r="K62" s="190"/>
      <c r="L62" s="190"/>
      <c r="M62" s="190"/>
      <c r="N62" s="190"/>
      <c r="O62" s="190"/>
      <c r="P62" s="190"/>
      <c r="Q62" s="190"/>
      <c r="R62" s="190"/>
      <c r="S62" s="190"/>
      <c r="T62" s="190"/>
      <c r="U62" s="190"/>
      <c r="V62" s="190"/>
      <c r="W62" s="190"/>
      <c r="X62" s="190"/>
      <c r="Y62" s="190"/>
      <c r="Z62" s="190"/>
      <c r="AA62" s="190"/>
      <c r="AB62" s="190"/>
      <c r="AC62" s="190"/>
      <c r="AD62" s="190"/>
      <c r="AE62" s="190"/>
      <c r="AF62" s="190"/>
      <c r="AG62" s="190"/>
      <c r="AJ62" s="90"/>
      <c r="AK62" s="90"/>
      <c r="AL62" s="90"/>
    </row>
    <row r="63" spans="2:38" ht="15.75" hidden="1" customHeight="1" outlineLevel="1">
      <c r="B63" s="190" t="s">
        <v>49</v>
      </c>
      <c r="C63" s="190"/>
      <c r="D63" s="217">
        <f t="shared" ref="D63:D66" si="44">AD5</f>
        <v>1.7500000000000002E-2</v>
      </c>
      <c r="E63" s="192">
        <f t="shared" ref="E63:X63" si="45">D63</f>
        <v>1.7500000000000002E-2</v>
      </c>
      <c r="F63" s="192">
        <f t="shared" si="45"/>
        <v>1.7500000000000002E-2</v>
      </c>
      <c r="G63" s="192">
        <f t="shared" si="45"/>
        <v>1.7500000000000002E-2</v>
      </c>
      <c r="H63" s="192">
        <f t="shared" si="45"/>
        <v>1.7500000000000002E-2</v>
      </c>
      <c r="I63" s="192">
        <f t="shared" si="45"/>
        <v>1.7500000000000002E-2</v>
      </c>
      <c r="J63" s="192">
        <f t="shared" si="45"/>
        <v>1.7500000000000002E-2</v>
      </c>
      <c r="K63" s="192">
        <f t="shared" si="45"/>
        <v>1.7500000000000002E-2</v>
      </c>
      <c r="L63" s="192">
        <f t="shared" si="45"/>
        <v>1.7500000000000002E-2</v>
      </c>
      <c r="M63" s="192">
        <f t="shared" si="45"/>
        <v>1.7500000000000002E-2</v>
      </c>
      <c r="N63" s="192">
        <f t="shared" si="45"/>
        <v>1.7500000000000002E-2</v>
      </c>
      <c r="O63" s="192">
        <f t="shared" si="45"/>
        <v>1.7500000000000002E-2</v>
      </c>
      <c r="P63" s="192">
        <f t="shared" si="45"/>
        <v>1.7500000000000002E-2</v>
      </c>
      <c r="Q63" s="192">
        <f t="shared" si="45"/>
        <v>1.7500000000000002E-2</v>
      </c>
      <c r="R63" s="192">
        <f t="shared" si="45"/>
        <v>1.7500000000000002E-2</v>
      </c>
      <c r="S63" s="192">
        <f t="shared" si="45"/>
        <v>1.7500000000000002E-2</v>
      </c>
      <c r="T63" s="192">
        <f t="shared" si="45"/>
        <v>1.7500000000000002E-2</v>
      </c>
      <c r="U63" s="192">
        <f t="shared" si="45"/>
        <v>1.7500000000000002E-2</v>
      </c>
      <c r="V63" s="192">
        <f t="shared" si="45"/>
        <v>1.7500000000000002E-2</v>
      </c>
      <c r="W63" s="192">
        <f t="shared" si="45"/>
        <v>1.7500000000000002E-2</v>
      </c>
      <c r="X63" s="192">
        <f t="shared" si="45"/>
        <v>1.7500000000000002E-2</v>
      </c>
      <c r="Y63" s="190"/>
      <c r="Z63" s="190"/>
      <c r="AA63" s="190"/>
      <c r="AB63" s="190"/>
      <c r="AC63" s="190"/>
      <c r="AD63" s="190"/>
      <c r="AE63" s="190"/>
      <c r="AF63" s="190"/>
      <c r="AG63" s="190"/>
      <c r="AJ63" s="90"/>
      <c r="AK63" s="90"/>
      <c r="AL63" s="90"/>
    </row>
    <row r="64" spans="2:38" ht="15.75" hidden="1" customHeight="1" outlineLevel="1">
      <c r="B64" s="190" t="s">
        <v>51</v>
      </c>
      <c r="C64" s="190"/>
      <c r="D64" s="217">
        <f t="shared" si="44"/>
        <v>1.2500000000000001E-2</v>
      </c>
      <c r="E64" s="192">
        <f t="shared" ref="E64:X64" si="46">D64</f>
        <v>1.2500000000000001E-2</v>
      </c>
      <c r="F64" s="192">
        <f t="shared" si="46"/>
        <v>1.2500000000000001E-2</v>
      </c>
      <c r="G64" s="192">
        <f t="shared" si="46"/>
        <v>1.2500000000000001E-2</v>
      </c>
      <c r="H64" s="192">
        <f t="shared" si="46"/>
        <v>1.2500000000000001E-2</v>
      </c>
      <c r="I64" s="192">
        <f t="shared" si="46"/>
        <v>1.2500000000000001E-2</v>
      </c>
      <c r="J64" s="192">
        <f t="shared" si="46"/>
        <v>1.2500000000000001E-2</v>
      </c>
      <c r="K64" s="192">
        <f t="shared" si="46"/>
        <v>1.2500000000000001E-2</v>
      </c>
      <c r="L64" s="192">
        <f t="shared" si="46"/>
        <v>1.2500000000000001E-2</v>
      </c>
      <c r="M64" s="192">
        <f t="shared" si="46"/>
        <v>1.2500000000000001E-2</v>
      </c>
      <c r="N64" s="192">
        <f t="shared" si="46"/>
        <v>1.2500000000000001E-2</v>
      </c>
      <c r="O64" s="192">
        <f t="shared" si="46"/>
        <v>1.2500000000000001E-2</v>
      </c>
      <c r="P64" s="192">
        <f t="shared" si="46"/>
        <v>1.2500000000000001E-2</v>
      </c>
      <c r="Q64" s="192">
        <f t="shared" si="46"/>
        <v>1.2500000000000001E-2</v>
      </c>
      <c r="R64" s="192">
        <f t="shared" si="46"/>
        <v>1.2500000000000001E-2</v>
      </c>
      <c r="S64" s="192">
        <f t="shared" si="46"/>
        <v>1.2500000000000001E-2</v>
      </c>
      <c r="T64" s="192">
        <f t="shared" si="46"/>
        <v>1.2500000000000001E-2</v>
      </c>
      <c r="U64" s="192">
        <f t="shared" si="46"/>
        <v>1.2500000000000001E-2</v>
      </c>
      <c r="V64" s="192">
        <f t="shared" si="46"/>
        <v>1.2500000000000001E-2</v>
      </c>
      <c r="W64" s="192">
        <f t="shared" si="46"/>
        <v>1.2500000000000001E-2</v>
      </c>
      <c r="X64" s="192">
        <f t="shared" si="46"/>
        <v>1.2500000000000001E-2</v>
      </c>
      <c r="Y64" s="190"/>
      <c r="Z64" s="190"/>
      <c r="AA64" s="190"/>
      <c r="AB64" s="190"/>
      <c r="AC64" s="190"/>
      <c r="AD64" s="190"/>
      <c r="AE64" s="190"/>
      <c r="AF64" s="190"/>
      <c r="AG64" s="190"/>
      <c r="AJ64" s="90"/>
      <c r="AK64" s="90"/>
      <c r="AL64" s="90"/>
    </row>
    <row r="65" spans="2:33" ht="15.75" hidden="1" customHeight="1" outlineLevel="1">
      <c r="B65" s="190" t="s">
        <v>53</v>
      </c>
      <c r="C65" s="190"/>
      <c r="D65" s="217">
        <f t="shared" si="44"/>
        <v>0.01</v>
      </c>
      <c r="E65" s="192">
        <f t="shared" ref="E65:X65" si="47">D65</f>
        <v>0.01</v>
      </c>
      <c r="F65" s="192">
        <f t="shared" si="47"/>
        <v>0.01</v>
      </c>
      <c r="G65" s="192">
        <f t="shared" si="47"/>
        <v>0.01</v>
      </c>
      <c r="H65" s="192">
        <f t="shared" si="47"/>
        <v>0.01</v>
      </c>
      <c r="I65" s="192">
        <f t="shared" si="47"/>
        <v>0.01</v>
      </c>
      <c r="J65" s="192">
        <f t="shared" si="47"/>
        <v>0.01</v>
      </c>
      <c r="K65" s="192">
        <f t="shared" si="47"/>
        <v>0.01</v>
      </c>
      <c r="L65" s="192">
        <f t="shared" si="47"/>
        <v>0.01</v>
      </c>
      <c r="M65" s="192">
        <f t="shared" si="47"/>
        <v>0.01</v>
      </c>
      <c r="N65" s="192">
        <f t="shared" si="47"/>
        <v>0.01</v>
      </c>
      <c r="O65" s="192">
        <f t="shared" si="47"/>
        <v>0.01</v>
      </c>
      <c r="P65" s="192">
        <f t="shared" si="47"/>
        <v>0.01</v>
      </c>
      <c r="Q65" s="192">
        <f t="shared" si="47"/>
        <v>0.01</v>
      </c>
      <c r="R65" s="192">
        <f t="shared" si="47"/>
        <v>0.01</v>
      </c>
      <c r="S65" s="192">
        <f t="shared" si="47"/>
        <v>0.01</v>
      </c>
      <c r="T65" s="192">
        <f t="shared" si="47"/>
        <v>0.01</v>
      </c>
      <c r="U65" s="192">
        <f t="shared" si="47"/>
        <v>0.01</v>
      </c>
      <c r="V65" s="192">
        <f t="shared" si="47"/>
        <v>0.01</v>
      </c>
      <c r="W65" s="192">
        <f t="shared" si="47"/>
        <v>0.01</v>
      </c>
      <c r="X65" s="192">
        <f t="shared" si="47"/>
        <v>0.01</v>
      </c>
      <c r="Y65" s="190"/>
      <c r="Z65" s="190"/>
      <c r="AA65" s="190"/>
      <c r="AB65" s="190"/>
      <c r="AC65" s="190"/>
      <c r="AD65" s="190"/>
      <c r="AE65" s="190"/>
      <c r="AF65" s="190"/>
      <c r="AG65" s="190"/>
    </row>
    <row r="66" spans="2:33" ht="15.75" hidden="1" customHeight="1" outlineLevel="1">
      <c r="B66" s="190" t="s">
        <v>56</v>
      </c>
      <c r="C66" s="190"/>
      <c r="D66" s="217">
        <f t="shared" si="44"/>
        <v>0.02</v>
      </c>
      <c r="E66" s="192">
        <f t="shared" ref="E66:X66" si="48">D66</f>
        <v>0.02</v>
      </c>
      <c r="F66" s="192">
        <f t="shared" si="48"/>
        <v>0.02</v>
      </c>
      <c r="G66" s="192">
        <f t="shared" si="48"/>
        <v>0.02</v>
      </c>
      <c r="H66" s="192">
        <f t="shared" si="48"/>
        <v>0.02</v>
      </c>
      <c r="I66" s="192">
        <f t="shared" si="48"/>
        <v>0.02</v>
      </c>
      <c r="J66" s="192">
        <f t="shared" si="48"/>
        <v>0.02</v>
      </c>
      <c r="K66" s="192">
        <f t="shared" si="48"/>
        <v>0.02</v>
      </c>
      <c r="L66" s="192">
        <f t="shared" si="48"/>
        <v>0.02</v>
      </c>
      <c r="M66" s="192">
        <f t="shared" si="48"/>
        <v>0.02</v>
      </c>
      <c r="N66" s="192">
        <f t="shared" si="48"/>
        <v>0.02</v>
      </c>
      <c r="O66" s="192">
        <f t="shared" si="48"/>
        <v>0.02</v>
      </c>
      <c r="P66" s="192">
        <f t="shared" si="48"/>
        <v>0.02</v>
      </c>
      <c r="Q66" s="192">
        <f t="shared" si="48"/>
        <v>0.02</v>
      </c>
      <c r="R66" s="192">
        <f t="shared" si="48"/>
        <v>0.02</v>
      </c>
      <c r="S66" s="192">
        <f t="shared" si="48"/>
        <v>0.02</v>
      </c>
      <c r="T66" s="192">
        <f t="shared" si="48"/>
        <v>0.02</v>
      </c>
      <c r="U66" s="192">
        <f t="shared" si="48"/>
        <v>0.02</v>
      </c>
      <c r="V66" s="192">
        <f t="shared" si="48"/>
        <v>0.02</v>
      </c>
      <c r="W66" s="192">
        <f t="shared" si="48"/>
        <v>0.02</v>
      </c>
      <c r="X66" s="192">
        <f t="shared" si="48"/>
        <v>0.02</v>
      </c>
      <c r="Y66" s="190"/>
      <c r="Z66" s="190"/>
      <c r="AA66" s="190"/>
      <c r="AB66" s="190"/>
      <c r="AC66" s="190"/>
      <c r="AD66" s="190"/>
      <c r="AE66" s="190"/>
      <c r="AF66" s="190"/>
      <c r="AG66" s="190"/>
    </row>
    <row r="67" spans="2:33" ht="15.75" hidden="1" customHeight="1" outlineLevel="1">
      <c r="B67" s="190"/>
      <c r="C67" s="190"/>
      <c r="D67" s="218"/>
      <c r="E67" s="190"/>
      <c r="F67" s="190"/>
      <c r="G67" s="190"/>
      <c r="H67" s="190"/>
      <c r="I67" s="190"/>
      <c r="J67" s="190"/>
      <c r="K67" s="190"/>
      <c r="L67" s="190"/>
      <c r="M67" s="190"/>
      <c r="N67" s="190"/>
      <c r="O67" s="190"/>
      <c r="P67" s="190"/>
      <c r="Q67" s="190"/>
      <c r="R67" s="190"/>
      <c r="S67" s="190"/>
      <c r="T67" s="190"/>
      <c r="U67" s="190"/>
      <c r="V67" s="190"/>
      <c r="W67" s="190"/>
      <c r="X67" s="190"/>
      <c r="Y67" s="190"/>
      <c r="Z67" s="190"/>
      <c r="AA67" s="190"/>
      <c r="AB67" s="190"/>
      <c r="AC67" s="190"/>
      <c r="AD67" s="190"/>
      <c r="AE67" s="190"/>
      <c r="AF67" s="190"/>
      <c r="AG67" s="190"/>
    </row>
    <row r="68" spans="2:33" ht="15.75" hidden="1" customHeight="1" outlineLevel="1">
      <c r="B68" s="189" t="s">
        <v>91</v>
      </c>
      <c r="C68" s="190"/>
      <c r="D68" s="190"/>
      <c r="E68" s="190"/>
      <c r="F68" s="190"/>
      <c r="G68" s="190"/>
      <c r="H68" s="190"/>
      <c r="I68" s="190"/>
      <c r="J68" s="190"/>
      <c r="K68" s="190"/>
      <c r="L68" s="190"/>
      <c r="M68" s="190"/>
      <c r="N68" s="190"/>
      <c r="O68" s="190"/>
      <c r="P68" s="190"/>
      <c r="Q68" s="190"/>
      <c r="R68" s="190"/>
      <c r="S68" s="190"/>
      <c r="T68" s="190"/>
      <c r="U68" s="190"/>
      <c r="V68" s="190"/>
      <c r="W68" s="190"/>
      <c r="X68" s="190"/>
      <c r="Y68" s="190"/>
      <c r="Z68" s="190"/>
      <c r="AA68" s="190"/>
      <c r="AB68" s="190"/>
      <c r="AC68" s="190"/>
      <c r="AD68" s="190"/>
      <c r="AE68" s="190"/>
      <c r="AF68" s="190"/>
      <c r="AG68" s="190"/>
    </row>
    <row r="69" spans="2:33" ht="15.75" hidden="1" customHeight="1" outlineLevel="1">
      <c r="B69" s="190" t="s">
        <v>49</v>
      </c>
      <c r="C69" s="190"/>
      <c r="D69" s="192">
        <f t="shared" ref="D69:X69" si="49">(1+D55)/(1+D63)-1</f>
        <v>3.1941031941031817E-2</v>
      </c>
      <c r="E69" s="192">
        <f t="shared" si="49"/>
        <v>3.1941031941031817E-2</v>
      </c>
      <c r="F69" s="192">
        <f t="shared" si="49"/>
        <v>3.1941031941031817E-2</v>
      </c>
      <c r="G69" s="192">
        <f t="shared" si="49"/>
        <v>3.1941031941031817E-2</v>
      </c>
      <c r="H69" s="192">
        <f t="shared" si="49"/>
        <v>3.1941031941031817E-2</v>
      </c>
      <c r="I69" s="192">
        <f t="shared" si="49"/>
        <v>3.1941031941031817E-2</v>
      </c>
      <c r="J69" s="192">
        <f t="shared" si="49"/>
        <v>3.1941031941031817E-2</v>
      </c>
      <c r="K69" s="192">
        <f t="shared" si="49"/>
        <v>3.1941031941031817E-2</v>
      </c>
      <c r="L69" s="192">
        <f t="shared" si="49"/>
        <v>3.1941031941031817E-2</v>
      </c>
      <c r="M69" s="192">
        <f t="shared" si="49"/>
        <v>3.1941031941031817E-2</v>
      </c>
      <c r="N69" s="192">
        <f t="shared" si="49"/>
        <v>3.1941031941031817E-2</v>
      </c>
      <c r="O69" s="192">
        <f t="shared" si="49"/>
        <v>3.1941031941031817E-2</v>
      </c>
      <c r="P69" s="192">
        <f t="shared" si="49"/>
        <v>3.1941031941031817E-2</v>
      </c>
      <c r="Q69" s="192">
        <f t="shared" si="49"/>
        <v>3.1941031941031817E-2</v>
      </c>
      <c r="R69" s="192">
        <f t="shared" si="49"/>
        <v>3.1941031941031817E-2</v>
      </c>
      <c r="S69" s="192">
        <f t="shared" si="49"/>
        <v>3.1941031941031817E-2</v>
      </c>
      <c r="T69" s="192">
        <f t="shared" si="49"/>
        <v>3.1941031941031817E-2</v>
      </c>
      <c r="U69" s="192">
        <f t="shared" si="49"/>
        <v>3.1941031941031817E-2</v>
      </c>
      <c r="V69" s="192">
        <f t="shared" si="49"/>
        <v>3.1941031941031817E-2</v>
      </c>
      <c r="W69" s="192">
        <f t="shared" si="49"/>
        <v>3.1941031941031817E-2</v>
      </c>
      <c r="X69" s="192">
        <f t="shared" si="49"/>
        <v>3.1941031941031817E-2</v>
      </c>
      <c r="Y69" s="190"/>
      <c r="Z69" s="190"/>
      <c r="AA69" s="190"/>
      <c r="AB69" s="190"/>
      <c r="AC69" s="190"/>
      <c r="AD69" s="190"/>
      <c r="AE69" s="190"/>
      <c r="AF69" s="190"/>
      <c r="AG69" s="190"/>
    </row>
    <row r="70" spans="2:33" ht="15.75" hidden="1" customHeight="1" outlineLevel="1">
      <c r="B70" s="190" t="s">
        <v>51</v>
      </c>
      <c r="C70" s="190"/>
      <c r="D70" s="192">
        <f t="shared" ref="D70:X70" si="50">(1+D56)/(1+D64)-1</f>
        <v>7.6543209876543283E-2</v>
      </c>
      <c r="E70" s="192">
        <f t="shared" si="50"/>
        <v>7.6543209876543283E-2</v>
      </c>
      <c r="F70" s="192">
        <f t="shared" si="50"/>
        <v>7.6543209876543283E-2</v>
      </c>
      <c r="G70" s="192">
        <f t="shared" si="50"/>
        <v>7.6543209876543283E-2</v>
      </c>
      <c r="H70" s="192">
        <f t="shared" si="50"/>
        <v>7.6543209876543283E-2</v>
      </c>
      <c r="I70" s="192">
        <f t="shared" si="50"/>
        <v>7.6543209876543283E-2</v>
      </c>
      <c r="J70" s="192">
        <f t="shared" si="50"/>
        <v>7.6543209876543283E-2</v>
      </c>
      <c r="K70" s="192">
        <f t="shared" si="50"/>
        <v>7.6543209876543283E-2</v>
      </c>
      <c r="L70" s="192">
        <f t="shared" si="50"/>
        <v>7.6543209876543283E-2</v>
      </c>
      <c r="M70" s="192">
        <f t="shared" si="50"/>
        <v>7.6543209876543283E-2</v>
      </c>
      <c r="N70" s="192">
        <f t="shared" si="50"/>
        <v>7.6543209876543283E-2</v>
      </c>
      <c r="O70" s="192">
        <f t="shared" si="50"/>
        <v>7.6543209876543283E-2</v>
      </c>
      <c r="P70" s="192">
        <f t="shared" si="50"/>
        <v>7.6543209876543283E-2</v>
      </c>
      <c r="Q70" s="192">
        <f t="shared" si="50"/>
        <v>7.6543209876543283E-2</v>
      </c>
      <c r="R70" s="192">
        <f t="shared" si="50"/>
        <v>7.6543209876543283E-2</v>
      </c>
      <c r="S70" s="192">
        <f t="shared" si="50"/>
        <v>7.6543209876543283E-2</v>
      </c>
      <c r="T70" s="192">
        <f t="shared" si="50"/>
        <v>7.6543209876543283E-2</v>
      </c>
      <c r="U70" s="192">
        <f t="shared" si="50"/>
        <v>7.6543209876543283E-2</v>
      </c>
      <c r="V70" s="192">
        <f t="shared" si="50"/>
        <v>7.6543209876543283E-2</v>
      </c>
      <c r="W70" s="192">
        <f t="shared" si="50"/>
        <v>7.6543209876543283E-2</v>
      </c>
      <c r="X70" s="192">
        <f t="shared" si="50"/>
        <v>7.6543209876543283E-2</v>
      </c>
      <c r="Y70" s="190"/>
      <c r="Z70" s="190"/>
      <c r="AA70" s="190"/>
      <c r="AB70" s="190"/>
      <c r="AC70" s="190"/>
      <c r="AD70" s="190"/>
      <c r="AE70" s="190"/>
      <c r="AF70" s="190"/>
      <c r="AG70" s="190"/>
    </row>
    <row r="71" spans="2:33" ht="15.75" hidden="1" customHeight="1" outlineLevel="1">
      <c r="B71" s="190" t="s">
        <v>53</v>
      </c>
      <c r="C71" s="190"/>
      <c r="D71" s="192">
        <f t="shared" ref="D71:X71" si="51">(1+D57)/(1+D65)-1</f>
        <v>8.9108910891089188E-2</v>
      </c>
      <c r="E71" s="192">
        <f t="shared" si="51"/>
        <v>8.9108910891089188E-2</v>
      </c>
      <c r="F71" s="192">
        <f t="shared" si="51"/>
        <v>8.9108910891089188E-2</v>
      </c>
      <c r="G71" s="192">
        <f t="shared" si="51"/>
        <v>8.9108910891089188E-2</v>
      </c>
      <c r="H71" s="192">
        <f t="shared" si="51"/>
        <v>8.9108910891089188E-2</v>
      </c>
      <c r="I71" s="192">
        <f t="shared" si="51"/>
        <v>8.9108910891089188E-2</v>
      </c>
      <c r="J71" s="192">
        <f t="shared" si="51"/>
        <v>8.9108910891089188E-2</v>
      </c>
      <c r="K71" s="192">
        <f t="shared" si="51"/>
        <v>8.9108910891089188E-2</v>
      </c>
      <c r="L71" s="192">
        <f t="shared" si="51"/>
        <v>8.9108910891089188E-2</v>
      </c>
      <c r="M71" s="192">
        <f t="shared" si="51"/>
        <v>8.9108910891089188E-2</v>
      </c>
      <c r="N71" s="192">
        <f t="shared" si="51"/>
        <v>8.9108910891089188E-2</v>
      </c>
      <c r="O71" s="192">
        <f t="shared" si="51"/>
        <v>8.9108910891089188E-2</v>
      </c>
      <c r="P71" s="192">
        <f t="shared" si="51"/>
        <v>8.9108910891089188E-2</v>
      </c>
      <c r="Q71" s="192">
        <f t="shared" si="51"/>
        <v>8.9108910891089188E-2</v>
      </c>
      <c r="R71" s="192">
        <f t="shared" si="51"/>
        <v>8.9108910891089188E-2</v>
      </c>
      <c r="S71" s="192">
        <f t="shared" si="51"/>
        <v>8.9108910891089188E-2</v>
      </c>
      <c r="T71" s="192">
        <f t="shared" si="51"/>
        <v>8.9108910891089188E-2</v>
      </c>
      <c r="U71" s="192">
        <f t="shared" si="51"/>
        <v>8.9108910891089188E-2</v>
      </c>
      <c r="V71" s="192">
        <f t="shared" si="51"/>
        <v>8.9108910891089188E-2</v>
      </c>
      <c r="W71" s="192">
        <f t="shared" si="51"/>
        <v>8.9108910891089188E-2</v>
      </c>
      <c r="X71" s="192">
        <f t="shared" si="51"/>
        <v>8.9108910891089188E-2</v>
      </c>
      <c r="Y71" s="190"/>
      <c r="Z71" s="190"/>
      <c r="AA71" s="190"/>
      <c r="AB71" s="190"/>
      <c r="AC71" s="190"/>
      <c r="AD71" s="190"/>
      <c r="AE71" s="190"/>
      <c r="AF71" s="190"/>
      <c r="AG71" s="190"/>
    </row>
    <row r="72" spans="2:33" ht="15.75" hidden="1" customHeight="1" outlineLevel="1">
      <c r="B72" s="190" t="s">
        <v>56</v>
      </c>
      <c r="C72" s="190"/>
      <c r="D72" s="192">
        <f t="shared" ref="D72:X72" si="52">(1+D58)/(1+D66)-1</f>
        <v>4.9019607843137303E-2</v>
      </c>
      <c r="E72" s="192">
        <f t="shared" si="52"/>
        <v>4.9019607843137303E-2</v>
      </c>
      <c r="F72" s="192">
        <f t="shared" si="52"/>
        <v>4.9019607843137303E-2</v>
      </c>
      <c r="G72" s="192">
        <f t="shared" si="52"/>
        <v>4.9019607843137303E-2</v>
      </c>
      <c r="H72" s="192">
        <f t="shared" si="52"/>
        <v>4.9019607843137303E-2</v>
      </c>
      <c r="I72" s="192">
        <f t="shared" si="52"/>
        <v>4.9019607843137303E-2</v>
      </c>
      <c r="J72" s="192">
        <f t="shared" si="52"/>
        <v>4.9019607843137303E-2</v>
      </c>
      <c r="K72" s="192">
        <f t="shared" si="52"/>
        <v>4.9019607843137303E-2</v>
      </c>
      <c r="L72" s="192">
        <f t="shared" si="52"/>
        <v>4.9019607843137303E-2</v>
      </c>
      <c r="M72" s="192">
        <f t="shared" si="52"/>
        <v>4.9019607843137303E-2</v>
      </c>
      <c r="N72" s="192">
        <f t="shared" si="52"/>
        <v>4.9019607843137303E-2</v>
      </c>
      <c r="O72" s="192">
        <f t="shared" si="52"/>
        <v>4.9019607843137303E-2</v>
      </c>
      <c r="P72" s="192">
        <f t="shared" si="52"/>
        <v>4.9019607843137303E-2</v>
      </c>
      <c r="Q72" s="192">
        <f t="shared" si="52"/>
        <v>4.9019607843137303E-2</v>
      </c>
      <c r="R72" s="192">
        <f t="shared" si="52"/>
        <v>4.9019607843137303E-2</v>
      </c>
      <c r="S72" s="192">
        <f t="shared" si="52"/>
        <v>4.9019607843137303E-2</v>
      </c>
      <c r="T72" s="192">
        <f t="shared" si="52"/>
        <v>4.9019607843137303E-2</v>
      </c>
      <c r="U72" s="192">
        <f t="shared" si="52"/>
        <v>4.9019607843137303E-2</v>
      </c>
      <c r="V72" s="192">
        <f t="shared" si="52"/>
        <v>4.9019607843137303E-2</v>
      </c>
      <c r="W72" s="192">
        <f t="shared" si="52"/>
        <v>4.9019607843137303E-2</v>
      </c>
      <c r="X72" s="192">
        <f t="shared" si="52"/>
        <v>4.9019607843137303E-2</v>
      </c>
      <c r="Y72" s="190"/>
      <c r="Z72" s="190"/>
      <c r="AA72" s="190"/>
      <c r="AB72" s="190"/>
      <c r="AC72" s="190"/>
      <c r="AD72" s="190"/>
      <c r="AE72" s="190"/>
      <c r="AF72" s="190"/>
      <c r="AG72" s="190"/>
    </row>
    <row r="73" spans="2:33" ht="15.75" hidden="1" customHeight="1" outlineLevel="1">
      <c r="B73" s="190"/>
      <c r="C73" s="190"/>
      <c r="D73" s="190"/>
      <c r="E73" s="190"/>
      <c r="F73" s="190"/>
      <c r="G73" s="190"/>
      <c r="H73" s="190"/>
      <c r="I73" s="190"/>
      <c r="J73" s="190"/>
      <c r="K73" s="190"/>
      <c r="L73" s="190"/>
      <c r="M73" s="190"/>
      <c r="N73" s="190"/>
      <c r="O73" s="190"/>
      <c r="P73" s="190"/>
      <c r="Q73" s="190"/>
      <c r="R73" s="190"/>
      <c r="S73" s="190"/>
      <c r="T73" s="190"/>
      <c r="U73" s="190"/>
      <c r="V73" s="190"/>
      <c r="W73" s="190"/>
      <c r="X73" s="190"/>
      <c r="Y73" s="190"/>
      <c r="Z73" s="190"/>
      <c r="AA73" s="190"/>
      <c r="AB73" s="190"/>
      <c r="AC73" s="190"/>
      <c r="AD73" s="190"/>
      <c r="AE73" s="190"/>
      <c r="AF73" s="190"/>
      <c r="AG73" s="190"/>
    </row>
    <row r="74" spans="2:33" ht="15.75" hidden="1" customHeight="1" outlineLevel="1">
      <c r="B74" s="189" t="s">
        <v>61</v>
      </c>
      <c r="C74" s="190"/>
      <c r="D74" s="212"/>
      <c r="E74" s="192"/>
      <c r="F74" s="192"/>
      <c r="G74" s="192"/>
      <c r="H74" s="192"/>
      <c r="I74" s="192"/>
      <c r="J74" s="192"/>
      <c r="K74" s="192"/>
      <c r="L74" s="192"/>
      <c r="M74" s="192"/>
      <c r="N74" s="192"/>
      <c r="O74" s="192"/>
      <c r="P74" s="192"/>
      <c r="Q74" s="192"/>
      <c r="R74" s="192"/>
      <c r="S74" s="192"/>
      <c r="T74" s="192"/>
      <c r="U74" s="192"/>
      <c r="V74" s="192"/>
      <c r="W74" s="192"/>
      <c r="X74" s="192"/>
      <c r="Y74" s="190"/>
      <c r="Z74" s="190"/>
      <c r="AA74" s="190"/>
      <c r="AB74" s="190"/>
      <c r="AC74" s="190"/>
      <c r="AD74" s="190"/>
      <c r="AE74" s="190"/>
      <c r="AF74" s="190"/>
      <c r="AG74" s="190"/>
    </row>
    <row r="75" spans="2:33" ht="15.75" hidden="1" customHeight="1" outlineLevel="1">
      <c r="B75" s="190" t="s">
        <v>58</v>
      </c>
      <c r="C75" s="190"/>
      <c r="D75" s="217">
        <f t="shared" ref="D75:D76" si="53">AD11</f>
        <v>7.0000000000000007E-2</v>
      </c>
      <c r="E75" s="192">
        <f t="shared" ref="E75:X75" si="54">D75</f>
        <v>7.0000000000000007E-2</v>
      </c>
      <c r="F75" s="192">
        <f t="shared" si="54"/>
        <v>7.0000000000000007E-2</v>
      </c>
      <c r="G75" s="192">
        <f t="shared" si="54"/>
        <v>7.0000000000000007E-2</v>
      </c>
      <c r="H75" s="192">
        <f t="shared" si="54"/>
        <v>7.0000000000000007E-2</v>
      </c>
      <c r="I75" s="192">
        <f t="shared" si="54"/>
        <v>7.0000000000000007E-2</v>
      </c>
      <c r="J75" s="192">
        <f t="shared" si="54"/>
        <v>7.0000000000000007E-2</v>
      </c>
      <c r="K75" s="192">
        <f t="shared" si="54"/>
        <v>7.0000000000000007E-2</v>
      </c>
      <c r="L75" s="192">
        <f t="shared" si="54"/>
        <v>7.0000000000000007E-2</v>
      </c>
      <c r="M75" s="192">
        <f t="shared" si="54"/>
        <v>7.0000000000000007E-2</v>
      </c>
      <c r="N75" s="192">
        <f t="shared" si="54"/>
        <v>7.0000000000000007E-2</v>
      </c>
      <c r="O75" s="192">
        <f t="shared" si="54"/>
        <v>7.0000000000000007E-2</v>
      </c>
      <c r="P75" s="192">
        <f t="shared" si="54"/>
        <v>7.0000000000000007E-2</v>
      </c>
      <c r="Q75" s="192">
        <f t="shared" si="54"/>
        <v>7.0000000000000007E-2</v>
      </c>
      <c r="R75" s="192">
        <f t="shared" si="54"/>
        <v>7.0000000000000007E-2</v>
      </c>
      <c r="S75" s="192">
        <f t="shared" si="54"/>
        <v>7.0000000000000007E-2</v>
      </c>
      <c r="T75" s="192">
        <f t="shared" si="54"/>
        <v>7.0000000000000007E-2</v>
      </c>
      <c r="U75" s="192">
        <f t="shared" si="54"/>
        <v>7.0000000000000007E-2</v>
      </c>
      <c r="V75" s="192">
        <f t="shared" si="54"/>
        <v>7.0000000000000007E-2</v>
      </c>
      <c r="W75" s="192">
        <f t="shared" si="54"/>
        <v>7.0000000000000007E-2</v>
      </c>
      <c r="X75" s="192">
        <f t="shared" si="54"/>
        <v>7.0000000000000007E-2</v>
      </c>
      <c r="Y75" s="190"/>
      <c r="Z75" s="190"/>
      <c r="AA75" s="190"/>
      <c r="AB75" s="190"/>
      <c r="AC75" s="190"/>
      <c r="AD75" s="190"/>
      <c r="AE75" s="190"/>
      <c r="AF75" s="190"/>
      <c r="AG75" s="190"/>
    </row>
    <row r="76" spans="2:33" ht="15.75" hidden="1" customHeight="1" outlineLevel="1">
      <c r="B76" s="190" t="s">
        <v>60</v>
      </c>
      <c r="C76" s="190"/>
      <c r="D76" s="217">
        <f t="shared" si="53"/>
        <v>0.02</v>
      </c>
      <c r="E76" s="192">
        <f t="shared" ref="E76:X76" si="55">D76</f>
        <v>0.02</v>
      </c>
      <c r="F76" s="192">
        <f t="shared" si="55"/>
        <v>0.02</v>
      </c>
      <c r="G76" s="192">
        <f t="shared" si="55"/>
        <v>0.02</v>
      </c>
      <c r="H76" s="192">
        <f t="shared" si="55"/>
        <v>0.02</v>
      </c>
      <c r="I76" s="192">
        <f t="shared" si="55"/>
        <v>0.02</v>
      </c>
      <c r="J76" s="192">
        <f t="shared" si="55"/>
        <v>0.02</v>
      </c>
      <c r="K76" s="192">
        <f t="shared" si="55"/>
        <v>0.02</v>
      </c>
      <c r="L76" s="192">
        <f t="shared" si="55"/>
        <v>0.02</v>
      </c>
      <c r="M76" s="192">
        <f t="shared" si="55"/>
        <v>0.02</v>
      </c>
      <c r="N76" s="192">
        <f t="shared" si="55"/>
        <v>0.02</v>
      </c>
      <c r="O76" s="192">
        <f t="shared" si="55"/>
        <v>0.02</v>
      </c>
      <c r="P76" s="192">
        <f t="shared" si="55"/>
        <v>0.02</v>
      </c>
      <c r="Q76" s="192">
        <f t="shared" si="55"/>
        <v>0.02</v>
      </c>
      <c r="R76" s="192">
        <f t="shared" si="55"/>
        <v>0.02</v>
      </c>
      <c r="S76" s="192">
        <f t="shared" si="55"/>
        <v>0.02</v>
      </c>
      <c r="T76" s="192">
        <f t="shared" si="55"/>
        <v>0.02</v>
      </c>
      <c r="U76" s="192">
        <f t="shared" si="55"/>
        <v>0.02</v>
      </c>
      <c r="V76" s="192">
        <f t="shared" si="55"/>
        <v>0.02</v>
      </c>
      <c r="W76" s="192">
        <f t="shared" si="55"/>
        <v>0.02</v>
      </c>
      <c r="X76" s="192">
        <f t="shared" si="55"/>
        <v>0.02</v>
      </c>
      <c r="Y76" s="190"/>
      <c r="Z76" s="190"/>
      <c r="AA76" s="190"/>
      <c r="AB76" s="190"/>
      <c r="AC76" s="190"/>
      <c r="AD76" s="190"/>
      <c r="AE76" s="190"/>
      <c r="AF76" s="190"/>
      <c r="AG76" s="190"/>
    </row>
    <row r="77" spans="2:33" ht="15.75" hidden="1" customHeight="1" outlineLevel="1">
      <c r="B77" s="190"/>
      <c r="C77" s="190"/>
      <c r="D77" s="219"/>
      <c r="E77" s="192"/>
      <c r="F77" s="192"/>
      <c r="G77" s="192"/>
      <c r="H77" s="192"/>
      <c r="I77" s="192"/>
      <c r="J77" s="192"/>
      <c r="K77" s="192"/>
      <c r="L77" s="192"/>
      <c r="M77" s="192"/>
      <c r="N77" s="192"/>
      <c r="O77" s="192"/>
      <c r="P77" s="192"/>
      <c r="Q77" s="192"/>
      <c r="R77" s="192"/>
      <c r="S77" s="192"/>
      <c r="T77" s="192"/>
      <c r="U77" s="192"/>
      <c r="V77" s="192"/>
      <c r="W77" s="192"/>
      <c r="X77" s="192"/>
      <c r="Y77" s="190"/>
      <c r="Z77" s="190"/>
      <c r="AA77" s="190"/>
      <c r="AB77" s="190"/>
      <c r="AC77" s="190"/>
      <c r="AD77" s="190"/>
      <c r="AE77" s="190"/>
      <c r="AF77" s="190"/>
      <c r="AG77" s="190"/>
    </row>
    <row r="78" spans="2:33" ht="15.75" hidden="1" customHeight="1" outlineLevel="1">
      <c r="B78" s="189" t="s">
        <v>59</v>
      </c>
      <c r="C78" s="190"/>
      <c r="D78" s="190"/>
      <c r="E78" s="190"/>
      <c r="F78" s="190"/>
      <c r="G78" s="190"/>
      <c r="H78" s="190"/>
      <c r="I78" s="190"/>
      <c r="J78" s="190"/>
      <c r="K78" s="190"/>
      <c r="L78" s="190"/>
      <c r="M78" s="190"/>
      <c r="N78" s="190"/>
      <c r="O78" s="190"/>
      <c r="P78" s="190"/>
      <c r="Q78" s="190"/>
      <c r="R78" s="190"/>
      <c r="S78" s="190"/>
      <c r="T78" s="190"/>
      <c r="U78" s="190"/>
      <c r="V78" s="190"/>
      <c r="W78" s="190"/>
      <c r="X78" s="190"/>
      <c r="Y78" s="190"/>
      <c r="Z78" s="190"/>
      <c r="AA78" s="190"/>
      <c r="AB78" s="190"/>
      <c r="AC78" s="190"/>
      <c r="AD78" s="190"/>
      <c r="AE78" s="190"/>
      <c r="AF78" s="190"/>
      <c r="AG78" s="190"/>
    </row>
    <row r="79" spans="2:33" ht="15.75" hidden="1" customHeight="1" outlineLevel="1">
      <c r="B79" s="190" t="s">
        <v>92</v>
      </c>
      <c r="C79" s="212">
        <f t="shared" ref="C79:C81" si="56">D11</f>
        <v>0.03</v>
      </c>
      <c r="D79" s="190" t="s">
        <v>93</v>
      </c>
      <c r="E79" s="190"/>
      <c r="F79" s="190"/>
      <c r="G79" s="190"/>
      <c r="H79" s="190"/>
      <c r="I79" s="190"/>
      <c r="J79" s="190"/>
      <c r="K79" s="190"/>
      <c r="L79" s="190"/>
      <c r="M79" s="190"/>
      <c r="N79" s="190"/>
      <c r="O79" s="190"/>
      <c r="P79" s="190"/>
      <c r="Q79" s="190"/>
      <c r="R79" s="190"/>
      <c r="S79" s="190"/>
      <c r="T79" s="190"/>
      <c r="U79" s="190"/>
      <c r="V79" s="190"/>
      <c r="W79" s="190"/>
      <c r="X79" s="190"/>
      <c r="Y79" s="190"/>
      <c r="Z79" s="190"/>
      <c r="AA79" s="190"/>
      <c r="AB79" s="190"/>
      <c r="AC79" s="190"/>
      <c r="AD79" s="190"/>
      <c r="AE79" s="190"/>
      <c r="AF79" s="190"/>
      <c r="AG79" s="190"/>
    </row>
    <row r="80" spans="2:33" ht="15.75" hidden="1" customHeight="1" outlineLevel="1">
      <c r="B80" s="190" t="s">
        <v>63</v>
      </c>
      <c r="C80" s="212">
        <f t="shared" si="56"/>
        <v>0.03</v>
      </c>
      <c r="D80" s="190" t="s">
        <v>94</v>
      </c>
      <c r="E80" s="190"/>
      <c r="F80" s="190"/>
      <c r="G80" s="190"/>
      <c r="H80" s="190"/>
      <c r="I80" s="190"/>
      <c r="J80" s="190"/>
      <c r="K80" s="190"/>
      <c r="L80" s="190"/>
      <c r="M80" s="190"/>
      <c r="N80" s="190"/>
      <c r="O80" s="190"/>
      <c r="P80" s="190"/>
      <c r="Q80" s="190"/>
      <c r="R80" s="190"/>
      <c r="S80" s="190"/>
      <c r="T80" s="190"/>
      <c r="U80" s="190"/>
      <c r="V80" s="190"/>
      <c r="W80" s="190"/>
      <c r="X80" s="190"/>
      <c r="Y80" s="190"/>
      <c r="Z80" s="190"/>
      <c r="AA80" s="190"/>
      <c r="AB80" s="190"/>
      <c r="AC80" s="190"/>
      <c r="AD80" s="190"/>
      <c r="AE80" s="190"/>
      <c r="AF80" s="190"/>
      <c r="AG80" s="190"/>
    </row>
    <row r="81" spans="2:33" ht="15.75" hidden="1" customHeight="1" outlineLevel="1">
      <c r="B81" s="190" t="s">
        <v>95</v>
      </c>
      <c r="C81" s="217">
        <f t="shared" si="56"/>
        <v>1E-3</v>
      </c>
      <c r="D81" s="190" t="s">
        <v>57</v>
      </c>
      <c r="E81" s="190"/>
      <c r="F81" s="190"/>
      <c r="G81" s="190"/>
      <c r="H81" s="190"/>
      <c r="I81" s="190"/>
      <c r="J81" s="190"/>
      <c r="K81" s="190"/>
      <c r="L81" s="190"/>
      <c r="M81" s="190"/>
      <c r="N81" s="190"/>
      <c r="O81" s="190"/>
      <c r="P81" s="190"/>
      <c r="Q81" s="190"/>
      <c r="R81" s="190"/>
      <c r="S81" s="190"/>
      <c r="T81" s="190"/>
      <c r="U81" s="190"/>
      <c r="V81" s="190"/>
      <c r="W81" s="190"/>
      <c r="X81" s="190"/>
      <c r="Y81" s="190"/>
      <c r="Z81" s="190"/>
      <c r="AA81" s="190"/>
      <c r="AB81" s="190"/>
      <c r="AC81" s="190"/>
      <c r="AD81" s="190"/>
      <c r="AE81" s="190"/>
      <c r="AF81" s="190"/>
      <c r="AG81" s="190"/>
    </row>
    <row r="82" spans="2:33" ht="15.75" hidden="1" customHeight="1" outlineLevel="1">
      <c r="B82" s="190"/>
      <c r="C82" s="212"/>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c r="AD82" s="190"/>
      <c r="AE82" s="190"/>
      <c r="AF82" s="190"/>
      <c r="AG82" s="190"/>
    </row>
    <row r="83" spans="2:33" ht="15.75" hidden="1" customHeight="1" outlineLevel="1">
      <c r="B83" s="190" t="s">
        <v>57</v>
      </c>
      <c r="C83" s="220">
        <f t="shared" ref="C83:X83" si="57">$C$81*C22</f>
        <v>1.2871299999999998E-3</v>
      </c>
      <c r="D83" s="220">
        <f t="shared" si="57"/>
        <v>1.9466850000000003E-3</v>
      </c>
      <c r="E83" s="220">
        <f t="shared" si="57"/>
        <v>2.8949456249999996E-3</v>
      </c>
      <c r="F83" s="220">
        <f t="shared" si="57"/>
        <v>4.2320782968749996E-3</v>
      </c>
      <c r="G83" s="220">
        <f t="shared" si="57"/>
        <v>6.0622097463281233E-3</v>
      </c>
      <c r="H83" s="220">
        <f t="shared" si="57"/>
        <v>8.521622774437498E-3</v>
      </c>
      <c r="I83" s="220">
        <f t="shared" si="57"/>
        <v>1.1764136849308588E-2</v>
      </c>
      <c r="J83" s="220">
        <f t="shared" si="57"/>
        <v>1.5944907218083584E-2</v>
      </c>
      <c r="K83" s="220">
        <f t="shared" si="57"/>
        <v>2.1181231583012952E-2</v>
      </c>
      <c r="L83" s="220">
        <f t="shared" si="57"/>
        <v>2.7590137536510843E-2</v>
      </c>
      <c r="M83" s="220">
        <f t="shared" si="57"/>
        <v>3.5246959369258674E-2</v>
      </c>
      <c r="N83" s="220">
        <f t="shared" si="57"/>
        <v>4.4145616724332551E-2</v>
      </c>
      <c r="O83" s="220">
        <f t="shared" si="57"/>
        <v>5.4145900555145919E-2</v>
      </c>
      <c r="P83" s="220">
        <f t="shared" si="57"/>
        <v>6.5040523193464761E-2</v>
      </c>
      <c r="Q83" s="220">
        <f t="shared" si="57"/>
        <v>7.8127158864905316E-2</v>
      </c>
      <c r="R83" s="220">
        <f t="shared" si="57"/>
        <v>9.384234038959792E-2</v>
      </c>
      <c r="S83" s="220">
        <f t="shared" si="57"/>
        <v>0.11268081327385254</v>
      </c>
      <c r="T83" s="220">
        <f t="shared" si="57"/>
        <v>0.13528159574985535</v>
      </c>
      <c r="U83" s="220">
        <f t="shared" si="57"/>
        <v>0.16242321306385307</v>
      </c>
      <c r="V83" s="220">
        <f t="shared" si="57"/>
        <v>0.19500090821919822</v>
      </c>
      <c r="W83" s="220">
        <f t="shared" si="57"/>
        <v>0.23407925399880047</v>
      </c>
      <c r="X83" s="220">
        <f t="shared" si="57"/>
        <v>0.28096210262921428</v>
      </c>
      <c r="Y83" s="190"/>
      <c r="Z83" s="190"/>
      <c r="AA83" s="190"/>
      <c r="AB83" s="190"/>
      <c r="AC83" s="190"/>
      <c r="AD83" s="190"/>
      <c r="AE83" s="190"/>
      <c r="AF83" s="190"/>
      <c r="AG83" s="190"/>
    </row>
    <row r="84" spans="2:33" ht="15.75" hidden="1" customHeight="1" outlineLevel="1">
      <c r="B84" s="190" t="s">
        <v>49</v>
      </c>
      <c r="C84" s="191">
        <f t="shared" ref="C84:X84" si="58">$C$79*C23</f>
        <v>0.48</v>
      </c>
      <c r="D84" s="191">
        <f t="shared" si="58"/>
        <v>0.504</v>
      </c>
      <c r="E84" s="191">
        <f t="shared" si="58"/>
        <v>0.5292</v>
      </c>
      <c r="F84" s="191">
        <f t="shared" si="58"/>
        <v>0.55566000000000004</v>
      </c>
      <c r="G84" s="191">
        <f t="shared" si="58"/>
        <v>0.58344300000000004</v>
      </c>
      <c r="H84" s="191">
        <f t="shared" si="58"/>
        <v>0.61261515000000011</v>
      </c>
      <c r="I84" s="191">
        <f t="shared" si="58"/>
        <v>0.64324590750000021</v>
      </c>
      <c r="J84" s="191">
        <f t="shared" si="58"/>
        <v>0.67540820287500014</v>
      </c>
      <c r="K84" s="191">
        <f t="shared" si="58"/>
        <v>0.70917861301875018</v>
      </c>
      <c r="L84" s="191">
        <f t="shared" si="58"/>
        <v>0.74463754366968771</v>
      </c>
      <c r="M84" s="191">
        <f t="shared" si="58"/>
        <v>0.78186942085317213</v>
      </c>
      <c r="N84" s="191">
        <f t="shared" si="58"/>
        <v>0.82096289189583083</v>
      </c>
      <c r="O84" s="191">
        <f t="shared" si="58"/>
        <v>0.86201103649062238</v>
      </c>
      <c r="P84" s="191">
        <f t="shared" si="58"/>
        <v>0.90511158831515359</v>
      </c>
      <c r="Q84" s="191">
        <f t="shared" si="58"/>
        <v>0.95036716773091134</v>
      </c>
      <c r="R84" s="191">
        <f t="shared" si="58"/>
        <v>0.99788552611745696</v>
      </c>
      <c r="S84" s="191">
        <f t="shared" si="58"/>
        <v>1.0477798024233298</v>
      </c>
      <c r="T84" s="191">
        <f t="shared" si="58"/>
        <v>1.1001687925444965</v>
      </c>
      <c r="U84" s="191">
        <f t="shared" si="58"/>
        <v>1.1551772321717213</v>
      </c>
      <c r="V84" s="191">
        <f t="shared" si="58"/>
        <v>1.2129360937803073</v>
      </c>
      <c r="W84" s="191">
        <f t="shared" si="58"/>
        <v>1.2735828984693229</v>
      </c>
      <c r="X84" s="191">
        <f t="shared" si="58"/>
        <v>1.3372620433927891</v>
      </c>
      <c r="Y84" s="190"/>
      <c r="Z84" s="190"/>
      <c r="AA84" s="190"/>
      <c r="AB84" s="190"/>
      <c r="AC84" s="190"/>
      <c r="AD84" s="190"/>
      <c r="AE84" s="190"/>
      <c r="AF84" s="190"/>
      <c r="AG84" s="190"/>
    </row>
    <row r="85" spans="2:33" ht="15.75" hidden="1" customHeight="1" outlineLevel="1">
      <c r="B85" s="190" t="s">
        <v>51</v>
      </c>
      <c r="C85" s="191">
        <f t="shared" ref="C85:X85" si="59">$C$79*C24</f>
        <v>0.54</v>
      </c>
      <c r="D85" s="191">
        <f t="shared" si="59"/>
        <v>0.58860000000000001</v>
      </c>
      <c r="E85" s="191">
        <f t="shared" si="59"/>
        <v>0.64157400000000009</v>
      </c>
      <c r="F85" s="191">
        <f t="shared" si="59"/>
        <v>0.69931566000000012</v>
      </c>
      <c r="G85" s="191">
        <f t="shared" si="59"/>
        <v>0.76225406940000029</v>
      </c>
      <c r="H85" s="191">
        <f t="shared" si="59"/>
        <v>0.83085693564600027</v>
      </c>
      <c r="I85" s="191">
        <f t="shared" si="59"/>
        <v>0.90563405985414047</v>
      </c>
      <c r="J85" s="191">
        <f t="shared" si="59"/>
        <v>0.98714112524101316</v>
      </c>
      <c r="K85" s="191">
        <f t="shared" si="59"/>
        <v>1.0759838265127044</v>
      </c>
      <c r="L85" s="191">
        <f t="shared" si="59"/>
        <v>1.1728223708988479</v>
      </c>
      <c r="M85" s="191">
        <f t="shared" si="59"/>
        <v>1.2783763842797444</v>
      </c>
      <c r="N85" s="191">
        <f t="shared" si="59"/>
        <v>1.3934302588649214</v>
      </c>
      <c r="O85" s="191">
        <f t="shared" si="59"/>
        <v>1.5188389821627644</v>
      </c>
      <c r="P85" s="191">
        <f t="shared" si="59"/>
        <v>1.6555344905574132</v>
      </c>
      <c r="Q85" s="191">
        <f t="shared" si="59"/>
        <v>1.8045325947075805</v>
      </c>
      <c r="R85" s="191">
        <f t="shared" si="59"/>
        <v>1.9669405282312631</v>
      </c>
      <c r="S85" s="191">
        <f t="shared" si="59"/>
        <v>2.143965175772077</v>
      </c>
      <c r="T85" s="191">
        <f t="shared" si="59"/>
        <v>2.3369220415915644</v>
      </c>
      <c r="U85" s="191">
        <f t="shared" si="59"/>
        <v>2.5472450253348056</v>
      </c>
      <c r="V85" s="191">
        <f t="shared" si="59"/>
        <v>2.776497077614938</v>
      </c>
      <c r="W85" s="191">
        <f t="shared" si="59"/>
        <v>3.0263818146002825</v>
      </c>
      <c r="X85" s="191">
        <f t="shared" si="59"/>
        <v>3.2987561779143082</v>
      </c>
      <c r="Y85" s="190"/>
      <c r="Z85" s="190"/>
      <c r="AA85" s="190"/>
      <c r="AB85" s="190"/>
      <c r="AC85" s="190"/>
      <c r="AD85" s="190"/>
      <c r="AE85" s="190"/>
      <c r="AF85" s="190"/>
      <c r="AG85" s="190"/>
    </row>
    <row r="86" spans="2:33" ht="15.75" hidden="1" customHeight="1" outlineLevel="1">
      <c r="B86" s="190" t="s">
        <v>53</v>
      </c>
      <c r="C86" s="191">
        <f t="shared" ref="C86:X86" si="60">$C$79*C25</f>
        <v>3.4499999999999997</v>
      </c>
      <c r="D86" s="191">
        <f t="shared" si="60"/>
        <v>3.7950000000000004</v>
      </c>
      <c r="E86" s="191">
        <f t="shared" si="60"/>
        <v>4.174500000000001</v>
      </c>
      <c r="F86" s="191">
        <f t="shared" si="60"/>
        <v>4.5919500000000015</v>
      </c>
      <c r="G86" s="191">
        <f t="shared" si="60"/>
        <v>5.0511450000000027</v>
      </c>
      <c r="H86" s="191">
        <f t="shared" si="60"/>
        <v>5.556259500000003</v>
      </c>
      <c r="I86" s="191">
        <f t="shared" si="60"/>
        <v>6.1118854500000035</v>
      </c>
      <c r="J86" s="191">
        <f t="shared" si="60"/>
        <v>6.7230739950000045</v>
      </c>
      <c r="K86" s="191">
        <f t="shared" si="60"/>
        <v>7.3953813945000055</v>
      </c>
      <c r="L86" s="191">
        <f t="shared" si="60"/>
        <v>8.134919533950006</v>
      </c>
      <c r="M86" s="191">
        <f t="shared" si="60"/>
        <v>8.9484114873450089</v>
      </c>
      <c r="N86" s="191">
        <f t="shared" si="60"/>
        <v>9.8432526360795105</v>
      </c>
      <c r="O86" s="191">
        <f t="shared" si="60"/>
        <v>10.827577899687462</v>
      </c>
      <c r="P86" s="191">
        <f t="shared" si="60"/>
        <v>11.910335689656209</v>
      </c>
      <c r="Q86" s="191">
        <f t="shared" si="60"/>
        <v>13.10136925862183</v>
      </c>
      <c r="R86" s="191">
        <f t="shared" si="60"/>
        <v>14.411506184484015</v>
      </c>
      <c r="S86" s="191">
        <f t="shared" si="60"/>
        <v>15.852656802932419</v>
      </c>
      <c r="T86" s="191">
        <f t="shared" si="60"/>
        <v>17.437922483225663</v>
      </c>
      <c r="U86" s="191">
        <f t="shared" si="60"/>
        <v>19.181714731548229</v>
      </c>
      <c r="V86" s="191">
        <f t="shared" si="60"/>
        <v>21.099886204703054</v>
      </c>
      <c r="W86" s="191">
        <f t="shared" si="60"/>
        <v>23.209874825173362</v>
      </c>
      <c r="X86" s="191">
        <f t="shared" si="60"/>
        <v>25.5308623076907</v>
      </c>
      <c r="Y86" s="190"/>
      <c r="Z86" s="190"/>
      <c r="AA86" s="190"/>
      <c r="AB86" s="190"/>
      <c r="AC86" s="190"/>
      <c r="AD86" s="190"/>
      <c r="AE86" s="190"/>
      <c r="AF86" s="190"/>
      <c r="AG86" s="190"/>
    </row>
    <row r="87" spans="2:33" ht="15.75" hidden="1" customHeight="1" outlineLevel="1">
      <c r="B87" s="190" t="s">
        <v>56</v>
      </c>
      <c r="C87" s="191">
        <f t="shared" ref="C87:X87" si="61">$C$79*C26</f>
        <v>9.9</v>
      </c>
      <c r="D87" s="191">
        <f t="shared" si="61"/>
        <v>10.593</v>
      </c>
      <c r="E87" s="191">
        <f t="shared" si="61"/>
        <v>11.334510000000002</v>
      </c>
      <c r="F87" s="191">
        <f t="shared" si="61"/>
        <v>12.127925700000002</v>
      </c>
      <c r="G87" s="191">
        <f t="shared" si="61"/>
        <v>12.976880499000004</v>
      </c>
      <c r="H87" s="191">
        <f t="shared" si="61"/>
        <v>13.885262133930004</v>
      </c>
      <c r="I87" s="191">
        <f t="shared" si="61"/>
        <v>14.857230483305104</v>
      </c>
      <c r="J87" s="191">
        <f t="shared" si="61"/>
        <v>15.897236617136461</v>
      </c>
      <c r="K87" s="191">
        <f t="shared" si="61"/>
        <v>17.010043180336016</v>
      </c>
      <c r="L87" s="191">
        <f t="shared" si="61"/>
        <v>18.200746202959539</v>
      </c>
      <c r="M87" s="191">
        <f t="shared" si="61"/>
        <v>19.474798437166708</v>
      </c>
      <c r="N87" s="191">
        <f t="shared" si="61"/>
        <v>20.83803432776838</v>
      </c>
      <c r="O87" s="191">
        <f t="shared" si="61"/>
        <v>22.296696730712167</v>
      </c>
      <c r="P87" s="191">
        <f t="shared" si="61"/>
        <v>23.85746550186202</v>
      </c>
      <c r="Q87" s="191">
        <f t="shared" si="61"/>
        <v>25.527488086992367</v>
      </c>
      <c r="R87" s="191">
        <f t="shared" si="61"/>
        <v>27.314412253081834</v>
      </c>
      <c r="S87" s="191">
        <f t="shared" si="61"/>
        <v>29.22642111079756</v>
      </c>
      <c r="T87" s="191">
        <f t="shared" si="61"/>
        <v>31.27227058855339</v>
      </c>
      <c r="U87" s="191">
        <f t="shared" si="61"/>
        <v>33.461329529752128</v>
      </c>
      <c r="V87" s="191">
        <f t="shared" si="61"/>
        <v>35.803622596834778</v>
      </c>
      <c r="W87" s="191">
        <f t="shared" si="61"/>
        <v>38.309876178613216</v>
      </c>
      <c r="X87" s="191">
        <f t="shared" si="61"/>
        <v>40.991567511116145</v>
      </c>
      <c r="Y87" s="190"/>
      <c r="Z87" s="190"/>
      <c r="AA87" s="190"/>
      <c r="AB87" s="190"/>
      <c r="AC87" s="190"/>
      <c r="AD87" s="190"/>
      <c r="AE87" s="190"/>
      <c r="AF87" s="190"/>
      <c r="AG87" s="190"/>
    </row>
    <row r="88" spans="2:33" ht="15.75" hidden="1" customHeight="1" outlineLevel="1">
      <c r="B88" s="190" t="s">
        <v>58</v>
      </c>
      <c r="C88" s="191">
        <f t="shared" ref="C88:X88" si="62">$C$80*C27</f>
        <v>9</v>
      </c>
      <c r="D88" s="191">
        <f t="shared" si="62"/>
        <v>9.4499999999999993</v>
      </c>
      <c r="E88" s="191">
        <f t="shared" si="62"/>
        <v>9.9224999999999994</v>
      </c>
      <c r="F88" s="191">
        <f t="shared" si="62"/>
        <v>10.418625</v>
      </c>
      <c r="G88" s="191">
        <f t="shared" si="62"/>
        <v>10.939556250000001</v>
      </c>
      <c r="H88" s="191">
        <f t="shared" si="62"/>
        <v>11.486534062500001</v>
      </c>
      <c r="I88" s="191">
        <f t="shared" si="62"/>
        <v>12.060860765625003</v>
      </c>
      <c r="J88" s="191">
        <f t="shared" si="62"/>
        <v>12.663903803906253</v>
      </c>
      <c r="K88" s="191">
        <f t="shared" si="62"/>
        <v>13.297098994101566</v>
      </c>
      <c r="L88" s="191">
        <f t="shared" si="62"/>
        <v>13.961953943806643</v>
      </c>
      <c r="M88" s="191">
        <f t="shared" si="62"/>
        <v>14.660051640996977</v>
      </c>
      <c r="N88" s="191">
        <f t="shared" si="62"/>
        <v>15.393054223046827</v>
      </c>
      <c r="O88" s="191">
        <f t="shared" si="62"/>
        <v>16.162706934199171</v>
      </c>
      <c r="P88" s="191">
        <f t="shared" si="62"/>
        <v>16.970842280909132</v>
      </c>
      <c r="Q88" s="191">
        <f t="shared" si="62"/>
        <v>17.819384394954589</v>
      </c>
      <c r="R88" s="191">
        <f t="shared" si="62"/>
        <v>18.710353614702321</v>
      </c>
      <c r="S88" s="191">
        <f t="shared" si="62"/>
        <v>19.645871295437438</v>
      </c>
      <c r="T88" s="191">
        <f t="shared" si="62"/>
        <v>20.62816486020931</v>
      </c>
      <c r="U88" s="191">
        <f t="shared" si="62"/>
        <v>21.659573103219774</v>
      </c>
      <c r="V88" s="191">
        <f t="shared" si="62"/>
        <v>22.742551758380763</v>
      </c>
      <c r="W88" s="191">
        <f t="shared" si="62"/>
        <v>23.879679346299802</v>
      </c>
      <c r="X88" s="191">
        <f t="shared" si="62"/>
        <v>25.073663313614794</v>
      </c>
      <c r="Y88" s="190"/>
      <c r="Z88" s="190"/>
      <c r="AA88" s="190"/>
      <c r="AB88" s="190"/>
      <c r="AC88" s="190"/>
      <c r="AD88" s="190"/>
      <c r="AE88" s="190"/>
      <c r="AF88" s="190"/>
      <c r="AG88" s="190"/>
    </row>
    <row r="89" spans="2:33" ht="15.75" hidden="1" customHeight="1" outlineLevel="1">
      <c r="B89" s="190" t="s">
        <v>60</v>
      </c>
      <c r="C89" s="191">
        <f t="shared" ref="C89:X89" si="63">$C$80*C28</f>
        <v>3.5999999999999996</v>
      </c>
      <c r="D89" s="191">
        <f t="shared" si="63"/>
        <v>3.8519999999999999</v>
      </c>
      <c r="E89" s="191">
        <f t="shared" si="63"/>
        <v>4.1216400000000002</v>
      </c>
      <c r="F89" s="191">
        <f t="shared" si="63"/>
        <v>4.4101547999999999</v>
      </c>
      <c r="G89" s="191">
        <f t="shared" si="63"/>
        <v>4.7188656360000003</v>
      </c>
      <c r="H89" s="191">
        <f t="shared" si="63"/>
        <v>5.049186230520001</v>
      </c>
      <c r="I89" s="191">
        <f t="shared" si="63"/>
        <v>5.402629266656402</v>
      </c>
      <c r="J89" s="191">
        <f t="shared" si="63"/>
        <v>5.7808133153223498</v>
      </c>
      <c r="K89" s="191">
        <f t="shared" si="63"/>
        <v>6.1854702473949148</v>
      </c>
      <c r="L89" s="191">
        <f t="shared" si="63"/>
        <v>6.6184531647125588</v>
      </c>
      <c r="M89" s="191">
        <f t="shared" si="63"/>
        <v>7.0817448862424381</v>
      </c>
      <c r="N89" s="191">
        <f t="shared" si="63"/>
        <v>7.5774670282794094</v>
      </c>
      <c r="O89" s="191">
        <f t="shared" si="63"/>
        <v>8.107889720258969</v>
      </c>
      <c r="P89" s="191">
        <f t="shared" si="63"/>
        <v>8.675442000677096</v>
      </c>
      <c r="Q89" s="191">
        <f t="shared" si="63"/>
        <v>9.2827229407244953</v>
      </c>
      <c r="R89" s="191">
        <f t="shared" si="63"/>
        <v>9.9325135465752084</v>
      </c>
      <c r="S89" s="191">
        <f t="shared" si="63"/>
        <v>10.627789494835474</v>
      </c>
      <c r="T89" s="191">
        <f t="shared" si="63"/>
        <v>11.371734759473958</v>
      </c>
      <c r="U89" s="191">
        <f t="shared" si="63"/>
        <v>12.167756192637135</v>
      </c>
      <c r="V89" s="191">
        <f t="shared" si="63"/>
        <v>13.019499126121735</v>
      </c>
      <c r="W89" s="191">
        <f t="shared" si="63"/>
        <v>13.930864064950256</v>
      </c>
      <c r="X89" s="191">
        <f t="shared" si="63"/>
        <v>14.906024549496774</v>
      </c>
      <c r="Y89" s="190"/>
      <c r="Z89" s="190"/>
      <c r="AA89" s="190"/>
      <c r="AB89" s="190"/>
      <c r="AC89" s="190"/>
      <c r="AD89" s="190"/>
      <c r="AE89" s="190"/>
      <c r="AF89" s="190"/>
      <c r="AG89" s="190"/>
    </row>
    <row r="90" spans="2:33" ht="15.75" hidden="1" customHeight="1" outlineLevel="1">
      <c r="B90" s="69" t="s">
        <v>96</v>
      </c>
      <c r="C90" s="70">
        <f t="shared" ref="C90:X90" si="64">SUM(C83:C89)</f>
        <v>26.97128713</v>
      </c>
      <c r="D90" s="70">
        <f t="shared" si="64"/>
        <v>28.784546684999999</v>
      </c>
      <c r="E90" s="70">
        <f t="shared" si="64"/>
        <v>30.726818945625002</v>
      </c>
      <c r="F90" s="70">
        <f t="shared" si="64"/>
        <v>32.807863238296882</v>
      </c>
      <c r="G90" s="70">
        <f t="shared" si="64"/>
        <v>35.03820666414633</v>
      </c>
      <c r="H90" s="70">
        <f t="shared" si="64"/>
        <v>37.429235635370446</v>
      </c>
      <c r="I90" s="70">
        <f t="shared" si="64"/>
        <v>39.993250069789966</v>
      </c>
      <c r="J90" s="70">
        <f t="shared" si="64"/>
        <v>42.743521966699163</v>
      </c>
      <c r="K90" s="70">
        <f t="shared" si="64"/>
        <v>45.694337487446973</v>
      </c>
      <c r="L90" s="70">
        <f t="shared" si="64"/>
        <v>48.861122897533789</v>
      </c>
      <c r="M90" s="70">
        <f t="shared" si="64"/>
        <v>52.260499216253308</v>
      </c>
      <c r="N90" s="70">
        <f t="shared" si="64"/>
        <v>55.910346982659206</v>
      </c>
      <c r="O90" s="70">
        <f t="shared" si="64"/>
        <v>59.829867204066296</v>
      </c>
      <c r="P90" s="70">
        <f t="shared" si="64"/>
        <v>64.03977207517049</v>
      </c>
      <c r="Q90" s="70">
        <f t="shared" si="64"/>
        <v>68.563991602596673</v>
      </c>
      <c r="R90" s="70">
        <f t="shared" si="64"/>
        <v>73.427453993581707</v>
      </c>
      <c r="S90" s="70">
        <f t="shared" si="64"/>
        <v>78.657164495472145</v>
      </c>
      <c r="T90" s="70">
        <f t="shared" si="64"/>
        <v>84.282465121348224</v>
      </c>
      <c r="U90" s="70">
        <f t="shared" si="64"/>
        <v>90.335219027727646</v>
      </c>
      <c r="V90" s="70">
        <f t="shared" si="64"/>
        <v>96.849993765654773</v>
      </c>
      <c r="W90" s="70">
        <f t="shared" si="64"/>
        <v>103.86433838210503</v>
      </c>
      <c r="X90" s="70">
        <f t="shared" si="64"/>
        <v>111.41909800585472</v>
      </c>
      <c r="Y90" s="190"/>
      <c r="Z90" s="190"/>
      <c r="AA90" s="190"/>
      <c r="AB90" s="190"/>
      <c r="AC90" s="190"/>
      <c r="AD90" s="190"/>
      <c r="AE90" s="190"/>
      <c r="AF90" s="190"/>
      <c r="AG90" s="190"/>
    </row>
    <row r="91" spans="2:33" ht="15.75" customHeight="1" collapsed="1"/>
    <row r="92" spans="2:33" ht="15.75" customHeight="1"/>
    <row r="93" spans="2:33" ht="15.75" customHeight="1"/>
    <row r="94" spans="2:33" ht="15.75" customHeight="1"/>
    <row r="95" spans="2:33" ht="15.75" customHeight="1"/>
    <row r="96" spans="2:3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39:AG39"/>
    <mergeCell ref="B3:AG3"/>
    <mergeCell ref="AJ3:AR3"/>
    <mergeCell ref="B15:AG15"/>
    <mergeCell ref="C16:X16"/>
    <mergeCell ref="Z16:AD16"/>
    <mergeCell ref="AF16:AG16"/>
  </mergeCells>
  <dataValidations count="1">
    <dataValidation type="list" allowBlank="1" showErrorMessage="1" sqref="AL4" xr:uid="{00000000-0002-0000-0200-000000000000}">
      <formula1>$C$17:$X$17</formula1>
    </dataValidation>
  </dataValidations>
  <hyperlinks>
    <hyperlink ref="C4" location="SelectedCase" display="Base" xr:uid="{00000000-0004-0000-0200-000000000000}"/>
  </hyperlink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AE2D5"/>
    <pageSetUpPr fitToPage="1"/>
  </sheetPr>
  <dimension ref="B1:BN1000"/>
  <sheetViews>
    <sheetView showGridLines="0" workbookViewId="0">
      <pane ySplit="1" topLeftCell="A2" activePane="bottomLeft" state="frozen"/>
      <selection pane="bottomLeft" activeCell="B3" sqref="B3"/>
    </sheetView>
  </sheetViews>
  <sheetFormatPr defaultColWidth="12.5703125" defaultRowHeight="15" customHeight="1" outlineLevelCol="1"/>
  <cols>
    <col min="1" max="1" width="0.85546875" customWidth="1"/>
    <col min="2" max="5" width="11.42578125" customWidth="1"/>
    <col min="6" max="9" width="8.42578125" hidden="1" customWidth="1" outlineLevel="1"/>
    <col min="10" max="10" width="11.42578125" customWidth="1"/>
    <col min="11" max="12" width="8.42578125" hidden="1" customWidth="1" outlineLevel="1"/>
    <col min="13" max="14" width="9.5703125" hidden="1" customWidth="1" outlineLevel="1"/>
    <col min="15" max="15" width="11.42578125" customWidth="1"/>
    <col min="16" max="19" width="9.5703125" hidden="1" customWidth="1" outlineLevel="1"/>
    <col min="20" max="20" width="11.42578125" customWidth="1"/>
    <col min="21" max="22" width="9.5703125" hidden="1" customWidth="1" outlineLevel="1"/>
    <col min="23" max="24" width="10.85546875" hidden="1" customWidth="1" outlineLevel="1"/>
    <col min="25" max="25" width="11.42578125" customWidth="1"/>
    <col min="26" max="26" width="1.5703125" customWidth="1"/>
    <col min="27" max="27" width="10.85546875" hidden="1" customWidth="1" outlineLevel="1"/>
    <col min="28" max="30" width="11.42578125" hidden="1" customWidth="1" outlineLevel="1"/>
    <col min="31" max="31" width="11.42578125" customWidth="1"/>
    <col min="32" max="32" width="1.5703125" customWidth="1"/>
    <col min="33" max="34" width="8.85546875" customWidth="1"/>
    <col min="35" max="35" width="0.85546875" customWidth="1"/>
    <col min="36" max="36" width="1.5703125" customWidth="1"/>
    <col min="37" max="41" width="11.42578125" customWidth="1"/>
    <col min="42" max="66" width="8.85546875" customWidth="1"/>
  </cols>
  <sheetData>
    <row r="1" spans="2:66">
      <c r="B1" s="9" t="s">
        <v>26</v>
      </c>
      <c r="C1" s="9"/>
      <c r="D1" s="11" t="s">
        <v>97</v>
      </c>
      <c r="E1" s="10"/>
      <c r="F1" s="91"/>
      <c r="G1" s="91"/>
      <c r="H1" s="91"/>
      <c r="I1" s="91"/>
      <c r="J1" s="91"/>
      <c r="K1" s="10"/>
      <c r="L1" s="10"/>
      <c r="M1" s="10"/>
      <c r="N1" s="10"/>
      <c r="O1" s="92" t="s">
        <v>98</v>
      </c>
      <c r="P1" s="10"/>
      <c r="Q1" s="10"/>
      <c r="R1" s="10"/>
      <c r="S1" s="10"/>
      <c r="T1" s="93" t="s">
        <v>7</v>
      </c>
      <c r="U1" s="10"/>
      <c r="V1" s="10"/>
      <c r="W1" s="10"/>
      <c r="X1" s="10"/>
      <c r="Y1" s="10"/>
      <c r="Z1" s="10"/>
      <c r="AA1" s="10"/>
      <c r="AB1" s="10"/>
      <c r="AC1" s="10"/>
      <c r="AD1" s="10"/>
      <c r="AE1" s="221" t="s">
        <v>99</v>
      </c>
      <c r="AF1" s="222"/>
      <c r="AG1" s="223" t="s">
        <v>31</v>
      </c>
      <c r="AH1" s="10"/>
      <c r="AI1" s="10"/>
      <c r="AJ1" s="10"/>
      <c r="AK1" s="10"/>
      <c r="AL1" s="10"/>
      <c r="AM1" s="10"/>
      <c r="AN1" s="10"/>
      <c r="AO1" s="10"/>
      <c r="BN1" s="94" t="s">
        <v>100</v>
      </c>
    </row>
    <row r="2" spans="2:66" ht="3.75" customHeight="1"/>
    <row r="3" spans="2:66">
      <c r="B3" s="272" t="s">
        <v>27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c r="AH3" s="268"/>
      <c r="AK3" s="272" t="s">
        <v>101</v>
      </c>
      <c r="AL3" s="268"/>
      <c r="AM3" s="268"/>
      <c r="AN3" s="268"/>
      <c r="AO3" s="268"/>
    </row>
    <row r="4" spans="2:66" ht="15" customHeight="1">
      <c r="B4" s="8" t="s">
        <v>102</v>
      </c>
      <c r="D4" s="95">
        <v>0</v>
      </c>
      <c r="J4" s="96" t="s">
        <v>103</v>
      </c>
      <c r="Y4" s="8" t="s">
        <v>104</v>
      </c>
      <c r="Z4" s="8"/>
      <c r="AE4" s="97">
        <f>50%*O6*D5</f>
        <v>250</v>
      </c>
      <c r="AK4" s="185" t="s">
        <v>42</v>
      </c>
      <c r="AL4" s="235" t="s">
        <v>105</v>
      </c>
      <c r="AM4" s="235" t="s">
        <v>106</v>
      </c>
      <c r="AN4" s="235" t="s">
        <v>107</v>
      </c>
      <c r="AO4" s="186" t="s">
        <v>108</v>
      </c>
    </row>
    <row r="5" spans="2:66" ht="15" customHeight="1">
      <c r="B5" s="8" t="s">
        <v>109</v>
      </c>
      <c r="D5" s="97">
        <v>1000</v>
      </c>
      <c r="J5" s="98" t="s">
        <v>53</v>
      </c>
      <c r="O5" s="38">
        <v>0.3</v>
      </c>
      <c r="Y5" s="8" t="s">
        <v>110</v>
      </c>
      <c r="Z5" s="8"/>
      <c r="AE5" s="38">
        <v>0.05</v>
      </c>
      <c r="AK5" s="1">
        <v>2024</v>
      </c>
      <c r="AL5" s="99">
        <f t="shared" ref="AL5:AL26" si="0">HLOOKUP($AK5,$D$19:$Y$33,13)/10^3</f>
        <v>1.25</v>
      </c>
      <c r="AM5" s="99">
        <f t="shared" ref="AM5:AM26" si="1">HLOOKUP($AK5,$D$19:$Y$33,14)/10^3</f>
        <v>-0.5</v>
      </c>
      <c r="AN5" s="99">
        <f t="shared" ref="AN5:AN26" si="2">HLOOKUP($AK5,$D$19:$Y$33,15)/10^3</f>
        <v>0.75</v>
      </c>
      <c r="AO5" s="100">
        <f t="shared" ref="AO5:AO26" si="3">HLOOKUP($AK5,$D$19:$Y$33,5)</f>
        <v>11.538461538461538</v>
      </c>
    </row>
    <row r="6" spans="2:66">
      <c r="J6" s="98" t="s">
        <v>56</v>
      </c>
      <c r="O6" s="38">
        <v>0.5</v>
      </c>
      <c r="AK6" s="54">
        <f t="shared" ref="AK6:AK26" si="4">AK5+1</f>
        <v>2025</v>
      </c>
      <c r="AL6" s="101">
        <f t="shared" si="0"/>
        <v>1.7545098039215685</v>
      </c>
      <c r="AM6" s="101">
        <f t="shared" si="1"/>
        <v>-0.52500000000000002</v>
      </c>
      <c r="AN6" s="101">
        <f t="shared" si="2"/>
        <v>1.2295098039215686</v>
      </c>
      <c r="AO6" s="102">
        <f t="shared" si="3"/>
        <v>12.615384615384615</v>
      </c>
    </row>
    <row r="7" spans="2:66">
      <c r="B7" s="8" t="s">
        <v>111</v>
      </c>
      <c r="D7" s="97">
        <v>200</v>
      </c>
      <c r="J7" s="98" t="s">
        <v>58</v>
      </c>
      <c r="O7" s="38">
        <v>0.15</v>
      </c>
      <c r="AK7" s="1">
        <f t="shared" si="4"/>
        <v>2026</v>
      </c>
      <c r="AL7" s="99">
        <f t="shared" si="0"/>
        <v>2.4747210688196848</v>
      </c>
      <c r="AM7" s="99">
        <f t="shared" si="1"/>
        <v>-0.55125000000000002</v>
      </c>
      <c r="AN7" s="99">
        <f t="shared" si="2"/>
        <v>1.9234710688196848</v>
      </c>
      <c r="AO7" s="100">
        <f t="shared" si="3"/>
        <v>13.382007822685788</v>
      </c>
    </row>
    <row r="8" spans="2:66">
      <c r="B8" s="8" t="s">
        <v>112</v>
      </c>
      <c r="D8" s="38">
        <v>0.05</v>
      </c>
      <c r="J8" s="98" t="s">
        <v>60</v>
      </c>
      <c r="O8" s="38">
        <v>0.05</v>
      </c>
      <c r="AK8" s="1">
        <f t="shared" si="4"/>
        <v>2027</v>
      </c>
      <c r="AL8" s="99">
        <f t="shared" si="0"/>
        <v>3.4834801898402574</v>
      </c>
      <c r="AM8" s="99">
        <f t="shared" si="1"/>
        <v>-0.57881249999999995</v>
      </c>
      <c r="AN8" s="99">
        <f t="shared" si="2"/>
        <v>2.9046676898402577</v>
      </c>
      <c r="AO8" s="100">
        <f t="shared" si="3"/>
        <v>13.93714876590388</v>
      </c>
    </row>
    <row r="9" spans="2:66">
      <c r="B9" s="8" t="s">
        <v>113</v>
      </c>
      <c r="C9" s="8"/>
      <c r="D9" s="38">
        <v>0.4</v>
      </c>
      <c r="J9" s="224" t="s">
        <v>68</v>
      </c>
      <c r="O9" s="225">
        <f>SUM(O5:O8)</f>
        <v>1</v>
      </c>
      <c r="AK9" s="1">
        <f t="shared" si="4"/>
        <v>2028</v>
      </c>
      <c r="AL9" s="99">
        <f t="shared" si="0"/>
        <v>4.868496761646151</v>
      </c>
      <c r="AM9" s="99">
        <f t="shared" si="1"/>
        <v>-0.60775312500000012</v>
      </c>
      <c r="AN9" s="99">
        <f t="shared" si="2"/>
        <v>4.2607436366461506</v>
      </c>
      <c r="AO9" s="100">
        <f t="shared" si="3"/>
        <v>14.346199987222473</v>
      </c>
    </row>
    <row r="10" spans="2:66">
      <c r="O10" s="57"/>
      <c r="AA10" s="8" t="s">
        <v>114</v>
      </c>
      <c r="AK10" s="1">
        <f t="shared" si="4"/>
        <v>2029</v>
      </c>
      <c r="AL10" s="99">
        <f t="shared" si="0"/>
        <v>6.7310097511876288</v>
      </c>
      <c r="AM10" s="99">
        <f t="shared" si="1"/>
        <v>-0.63814078125000018</v>
      </c>
      <c r="AN10" s="99">
        <f t="shared" si="2"/>
        <v>6.0928689699376282</v>
      </c>
      <c r="AO10" s="100">
        <f t="shared" si="3"/>
        <v>14.652988403211419</v>
      </c>
    </row>
    <row r="11" spans="2:66">
      <c r="E11" s="103" t="s">
        <v>3</v>
      </c>
      <c r="G11" s="103"/>
      <c r="H11" s="103"/>
      <c r="J11" s="103" t="s">
        <v>4</v>
      </c>
      <c r="L11" s="103"/>
      <c r="M11" s="103"/>
      <c r="N11" s="103"/>
      <c r="O11" s="103" t="s">
        <v>5</v>
      </c>
      <c r="T11" s="103" t="s">
        <v>6</v>
      </c>
      <c r="Y11" s="103" t="s">
        <v>7</v>
      </c>
      <c r="AA11" s="8" t="str">
        <f>T1</f>
        <v>Triple Maxi</v>
      </c>
      <c r="AK11" s="54">
        <f t="shared" si="4"/>
        <v>2030</v>
      </c>
      <c r="AL11" s="101">
        <f t="shared" si="0"/>
        <v>9.182095932878811</v>
      </c>
      <c r="AM11" s="101">
        <f t="shared" si="1"/>
        <v>-0.67004782031250021</v>
      </c>
      <c r="AN11" s="101">
        <f t="shared" si="2"/>
        <v>8.5120481125663101</v>
      </c>
      <c r="AO11" s="102">
        <f t="shared" si="3"/>
        <v>14.887263193602976</v>
      </c>
    </row>
    <row r="12" spans="2:66">
      <c r="B12" s="8" t="s">
        <v>115</v>
      </c>
      <c r="D12" s="8"/>
      <c r="E12" s="38">
        <v>0</v>
      </c>
      <c r="G12" s="103"/>
      <c r="H12" s="103"/>
      <c r="J12" s="38">
        <v>0.1</v>
      </c>
      <c r="L12" s="103"/>
      <c r="M12" s="103"/>
      <c r="N12" s="103"/>
      <c r="O12" s="38">
        <v>0.8</v>
      </c>
      <c r="T12" s="38">
        <v>1</v>
      </c>
      <c r="Y12" s="38">
        <v>1</v>
      </c>
      <c r="AA12" s="104">
        <f t="shared" ref="AA12:AA15" si="5">INDEX($B$11:$Y$15,MATCH(B12,$B$11:$B$15,0),MATCH($AA$11,$B$11:$Y$11,0))</f>
        <v>1</v>
      </c>
      <c r="AK12" s="1">
        <f t="shared" si="4"/>
        <v>2031</v>
      </c>
      <c r="AL12" s="99">
        <f t="shared" si="0"/>
        <v>12.33599547288742</v>
      </c>
      <c r="AM12" s="99">
        <f t="shared" si="1"/>
        <v>-0.70355021132812523</v>
      </c>
      <c r="AN12" s="99">
        <f t="shared" si="2"/>
        <v>11.632445261559294</v>
      </c>
      <c r="AO12" s="100">
        <f t="shared" si="3"/>
        <v>15.069476919463078</v>
      </c>
    </row>
    <row r="13" spans="2:66">
      <c r="B13" s="8" t="s">
        <v>116</v>
      </c>
      <c r="D13" s="8"/>
      <c r="E13" s="38">
        <v>0</v>
      </c>
      <c r="G13" s="103"/>
      <c r="H13" s="103"/>
      <c r="J13" s="38">
        <v>0.1</v>
      </c>
      <c r="L13" s="103"/>
      <c r="M13" s="103"/>
      <c r="N13" s="103"/>
      <c r="O13" s="38">
        <v>0.8</v>
      </c>
      <c r="T13" s="38">
        <v>1</v>
      </c>
      <c r="Y13" s="38">
        <v>1</v>
      </c>
      <c r="AA13" s="104">
        <f t="shared" si="5"/>
        <v>1</v>
      </c>
      <c r="AK13" s="1">
        <f t="shared" si="4"/>
        <v>2032</v>
      </c>
      <c r="AL13" s="99">
        <f t="shared" si="0"/>
        <v>16.300038992706057</v>
      </c>
      <c r="AM13" s="99">
        <f t="shared" si="1"/>
        <v>-0.73872772189453151</v>
      </c>
      <c r="AN13" s="99">
        <f t="shared" si="2"/>
        <v>15.561311270811526</v>
      </c>
      <c r="AO13" s="100">
        <f t="shared" si="3"/>
        <v>15.213872702220138</v>
      </c>
    </row>
    <row r="14" spans="2:66">
      <c r="B14" s="8" t="s">
        <v>117</v>
      </c>
      <c r="E14" s="105">
        <v>0</v>
      </c>
      <c r="G14" s="103"/>
      <c r="H14" s="103"/>
      <c r="J14" s="105">
        <v>0</v>
      </c>
      <c r="L14" s="103"/>
      <c r="M14" s="103"/>
      <c r="N14" s="103"/>
      <c r="O14" s="105">
        <v>0</v>
      </c>
      <c r="T14" s="105">
        <f>25%*$O$6*$D$5</f>
        <v>125</v>
      </c>
      <c r="Y14" s="105">
        <f>50%*$O$6*$D$5</f>
        <v>250</v>
      </c>
      <c r="AA14" s="106">
        <f t="shared" si="5"/>
        <v>250</v>
      </c>
      <c r="AK14" s="1">
        <f t="shared" si="4"/>
        <v>2033</v>
      </c>
      <c r="AL14" s="99">
        <f t="shared" si="0"/>
        <v>21.161157741399052</v>
      </c>
      <c r="AM14" s="99">
        <f t="shared" si="1"/>
        <v>-0.77566410798925811</v>
      </c>
      <c r="AN14" s="99">
        <f t="shared" si="2"/>
        <v>20.385493633409794</v>
      </c>
      <c r="AO14" s="100">
        <f t="shared" si="3"/>
        <v>15.330500065216226</v>
      </c>
    </row>
    <row r="15" spans="2:66">
      <c r="B15" s="8" t="s">
        <v>118</v>
      </c>
      <c r="D15" s="8"/>
      <c r="E15" s="38">
        <v>0.25</v>
      </c>
      <c r="G15" s="103"/>
      <c r="H15" s="103"/>
      <c r="J15" s="38">
        <f>E15</f>
        <v>0.25</v>
      </c>
      <c r="L15" s="103"/>
      <c r="M15" s="103"/>
      <c r="N15" s="103"/>
      <c r="O15" s="38">
        <f>J15</f>
        <v>0.25</v>
      </c>
      <c r="T15" s="38">
        <f>O15</f>
        <v>0.25</v>
      </c>
      <c r="Y15" s="38">
        <v>0.5</v>
      </c>
      <c r="AA15" s="104">
        <f t="shared" si="5"/>
        <v>0.5</v>
      </c>
      <c r="AK15" s="1">
        <f t="shared" si="4"/>
        <v>2034</v>
      </c>
      <c r="AL15" s="99">
        <f t="shared" si="0"/>
        <v>26.969548196469855</v>
      </c>
      <c r="AM15" s="99">
        <f t="shared" si="1"/>
        <v>-0.81444731338872112</v>
      </c>
      <c r="AN15" s="99">
        <f t="shared" si="2"/>
        <v>26.155100883081133</v>
      </c>
      <c r="AO15" s="100">
        <f t="shared" si="3"/>
        <v>15.426546128860062</v>
      </c>
    </row>
    <row r="16" spans="2:66">
      <c r="AK16" s="54">
        <f t="shared" si="4"/>
        <v>2035</v>
      </c>
      <c r="AL16" s="101">
        <f t="shared" si="0"/>
        <v>33.720803200679505</v>
      </c>
      <c r="AM16" s="101">
        <f t="shared" si="1"/>
        <v>-0.85516967905815711</v>
      </c>
      <c r="AN16" s="101">
        <f t="shared" si="2"/>
        <v>32.865633521621348</v>
      </c>
      <c r="AO16" s="102">
        <f t="shared" si="3"/>
        <v>15.507224822320886</v>
      </c>
    </row>
    <row r="17" spans="2:41">
      <c r="B17" s="272" t="s">
        <v>65</v>
      </c>
      <c r="C17" s="268"/>
      <c r="D17" s="268"/>
      <c r="E17" s="268"/>
      <c r="F17" s="268"/>
      <c r="G17" s="268"/>
      <c r="H17" s="268"/>
      <c r="I17" s="268"/>
      <c r="J17" s="268"/>
      <c r="K17" s="268"/>
      <c r="L17" s="268"/>
      <c r="M17" s="268"/>
      <c r="N17" s="268"/>
      <c r="O17" s="268"/>
      <c r="P17" s="268"/>
      <c r="Q17" s="268"/>
      <c r="R17" s="268"/>
      <c r="S17" s="268"/>
      <c r="T17" s="268"/>
      <c r="U17" s="268"/>
      <c r="V17" s="268"/>
      <c r="W17" s="268"/>
      <c r="X17" s="268"/>
      <c r="Y17" s="268"/>
      <c r="Z17" s="268"/>
      <c r="AA17" s="268"/>
      <c r="AB17" s="268"/>
      <c r="AC17" s="268"/>
      <c r="AD17" s="268"/>
      <c r="AE17" s="268"/>
      <c r="AF17" s="268"/>
      <c r="AG17" s="268"/>
      <c r="AH17" s="268"/>
      <c r="AK17" s="1">
        <f t="shared" si="4"/>
        <v>2036</v>
      </c>
      <c r="AL17" s="99">
        <f t="shared" si="0"/>
        <v>41.338614942784773</v>
      </c>
      <c r="AM17" s="99">
        <f t="shared" si="1"/>
        <v>-0.89792816301106504</v>
      </c>
      <c r="AN17" s="99">
        <f t="shared" si="2"/>
        <v>40.440686779773706</v>
      </c>
      <c r="AO17" s="100">
        <f t="shared" si="3"/>
        <v>15.576377988144449</v>
      </c>
    </row>
    <row r="18" spans="2:41">
      <c r="B18" s="193"/>
      <c r="C18" s="226"/>
      <c r="D18" s="273" t="s">
        <v>42</v>
      </c>
      <c r="E18" s="274"/>
      <c r="F18" s="274"/>
      <c r="G18" s="274"/>
      <c r="H18" s="274"/>
      <c r="I18" s="274"/>
      <c r="J18" s="274"/>
      <c r="K18" s="274"/>
      <c r="L18" s="274"/>
      <c r="M18" s="274"/>
      <c r="N18" s="274"/>
      <c r="O18" s="274"/>
      <c r="P18" s="274"/>
      <c r="Q18" s="274"/>
      <c r="R18" s="274"/>
      <c r="S18" s="274"/>
      <c r="T18" s="274"/>
      <c r="U18" s="274"/>
      <c r="V18" s="274"/>
      <c r="W18" s="274"/>
      <c r="X18" s="274"/>
      <c r="Y18" s="274"/>
      <c r="AA18" s="275" t="s">
        <v>66</v>
      </c>
      <c r="AB18" s="268"/>
      <c r="AC18" s="268"/>
      <c r="AD18" s="268"/>
      <c r="AE18" s="268"/>
      <c r="AG18" s="275" t="s">
        <v>119</v>
      </c>
      <c r="AH18" s="268"/>
      <c r="AK18" s="1">
        <f t="shared" si="4"/>
        <v>2037</v>
      </c>
      <c r="AL18" s="99">
        <f t="shared" si="0"/>
        <v>49.660844509548703</v>
      </c>
      <c r="AM18" s="99">
        <f t="shared" si="1"/>
        <v>-0.94282457116161833</v>
      </c>
      <c r="AN18" s="99">
        <f t="shared" si="2"/>
        <v>48.718019938387087</v>
      </c>
      <c r="AO18" s="100">
        <f t="shared" si="3"/>
        <v>15.636887008240066</v>
      </c>
    </row>
    <row r="19" spans="2:41">
      <c r="B19" s="227" t="s">
        <v>120</v>
      </c>
      <c r="C19" s="227"/>
      <c r="D19" s="196">
        <f>Macro!C17</f>
        <v>2024</v>
      </c>
      <c r="E19" s="196">
        <f>Macro!D17</f>
        <v>2025</v>
      </c>
      <c r="F19" s="196">
        <f>Macro!E17</f>
        <v>2026</v>
      </c>
      <c r="G19" s="196">
        <f>Macro!F17</f>
        <v>2027</v>
      </c>
      <c r="H19" s="196">
        <f>Macro!G17</f>
        <v>2028</v>
      </c>
      <c r="I19" s="196">
        <f>Macro!H17</f>
        <v>2029</v>
      </c>
      <c r="J19" s="196">
        <f>Macro!I17</f>
        <v>2030</v>
      </c>
      <c r="K19" s="196">
        <f>Macro!J17</f>
        <v>2031</v>
      </c>
      <c r="L19" s="196">
        <f>Macro!K17</f>
        <v>2032</v>
      </c>
      <c r="M19" s="196">
        <f>Macro!L17</f>
        <v>2033</v>
      </c>
      <c r="N19" s="196">
        <f>Macro!M17</f>
        <v>2034</v>
      </c>
      <c r="O19" s="196">
        <f>Macro!N17</f>
        <v>2035</v>
      </c>
      <c r="P19" s="196">
        <f>Macro!O17</f>
        <v>2036</v>
      </c>
      <c r="Q19" s="196">
        <f>Macro!P17</f>
        <v>2037</v>
      </c>
      <c r="R19" s="196">
        <f>Macro!Q17</f>
        <v>2038</v>
      </c>
      <c r="S19" s="196">
        <f>Macro!R17</f>
        <v>2039</v>
      </c>
      <c r="T19" s="196">
        <f>Macro!S17</f>
        <v>2040</v>
      </c>
      <c r="U19" s="196">
        <f>Macro!T17</f>
        <v>2041</v>
      </c>
      <c r="V19" s="196">
        <f>Macro!U17</f>
        <v>2042</v>
      </c>
      <c r="W19" s="196">
        <f>Macro!V17</f>
        <v>2043</v>
      </c>
      <c r="X19" s="196">
        <f>Macro!W17</f>
        <v>2044</v>
      </c>
      <c r="Y19" s="196">
        <f>Macro!X17</f>
        <v>2045</v>
      </c>
      <c r="AA19" s="196" t="s">
        <v>69</v>
      </c>
      <c r="AB19" s="196" t="s">
        <v>70</v>
      </c>
      <c r="AC19" s="196" t="s">
        <v>71</v>
      </c>
      <c r="AD19" s="196" t="s">
        <v>72</v>
      </c>
      <c r="AE19" s="196" t="s">
        <v>73</v>
      </c>
      <c r="AG19" s="196">
        <f>D19</f>
        <v>2024</v>
      </c>
      <c r="AH19" s="196">
        <f>Y19</f>
        <v>2045</v>
      </c>
      <c r="AK19" s="1">
        <f t="shared" si="4"/>
        <v>2038</v>
      </c>
      <c r="AL19" s="99">
        <f t="shared" si="0"/>
        <v>59.650376748316972</v>
      </c>
      <c r="AM19" s="99">
        <f t="shared" si="1"/>
        <v>-0.98996579971969922</v>
      </c>
      <c r="AN19" s="99">
        <f t="shared" si="2"/>
        <v>58.660410948597274</v>
      </c>
      <c r="AO19" s="100">
        <f t="shared" si="3"/>
        <v>15.689832400823731</v>
      </c>
    </row>
    <row r="20" spans="2:41">
      <c r="B20" s="204" t="s">
        <v>121</v>
      </c>
      <c r="C20" s="204"/>
      <c r="D20" s="228">
        <f>AA15*D7</f>
        <v>100</v>
      </c>
      <c r="E20" s="205">
        <f t="shared" ref="E20:Y20" si="6">D20*(1+$D$8)</f>
        <v>105</v>
      </c>
      <c r="F20" s="205">
        <f t="shared" si="6"/>
        <v>110.25</v>
      </c>
      <c r="G20" s="205">
        <f t="shared" si="6"/>
        <v>115.7625</v>
      </c>
      <c r="H20" s="205">
        <f t="shared" si="6"/>
        <v>121.55062500000001</v>
      </c>
      <c r="I20" s="205">
        <f t="shared" si="6"/>
        <v>127.62815625000002</v>
      </c>
      <c r="J20" s="205">
        <f t="shared" si="6"/>
        <v>134.00956406250003</v>
      </c>
      <c r="K20" s="205">
        <f t="shared" si="6"/>
        <v>140.71004226562505</v>
      </c>
      <c r="L20" s="205">
        <f t="shared" si="6"/>
        <v>147.74554437890632</v>
      </c>
      <c r="M20" s="205">
        <f t="shared" si="6"/>
        <v>155.13282159785163</v>
      </c>
      <c r="N20" s="205">
        <f t="shared" si="6"/>
        <v>162.88946267774421</v>
      </c>
      <c r="O20" s="205">
        <f t="shared" si="6"/>
        <v>171.03393581163144</v>
      </c>
      <c r="P20" s="205">
        <f t="shared" si="6"/>
        <v>179.58563260221302</v>
      </c>
      <c r="Q20" s="205">
        <f t="shared" si="6"/>
        <v>188.56491423232367</v>
      </c>
      <c r="R20" s="205">
        <f t="shared" si="6"/>
        <v>197.99315994393987</v>
      </c>
      <c r="S20" s="205">
        <f t="shared" si="6"/>
        <v>207.89281794113688</v>
      </c>
      <c r="T20" s="205">
        <f t="shared" si="6"/>
        <v>218.28745883819374</v>
      </c>
      <c r="U20" s="205">
        <f t="shared" si="6"/>
        <v>229.20183178010345</v>
      </c>
      <c r="V20" s="205">
        <f t="shared" si="6"/>
        <v>240.66192336910862</v>
      </c>
      <c r="W20" s="205">
        <f t="shared" si="6"/>
        <v>252.69501953756406</v>
      </c>
      <c r="X20" s="205">
        <f t="shared" si="6"/>
        <v>265.32977051444226</v>
      </c>
      <c r="Y20" s="205">
        <f t="shared" si="6"/>
        <v>278.5962590401644</v>
      </c>
      <c r="AA20" s="229">
        <f>IFERROR((E20/D20)-1,"")</f>
        <v>5.0000000000000044E-2</v>
      </c>
      <c r="AB20" s="229">
        <f>IFERROR((J20/D20)^(1/6)-1,"")</f>
        <v>5.0000000000000044E-2</v>
      </c>
      <c r="AC20" s="229">
        <f>IFERROR((O20/D20)^(1/11)-1,"")</f>
        <v>5.0000000000000044E-2</v>
      </c>
      <c r="AD20" s="229">
        <f>IFERROR((T20/D20)^(1/16)-1,"")</f>
        <v>5.0000000000000044E-2</v>
      </c>
      <c r="AE20" s="206">
        <f>IFERROR((Y20/D20)^(1/21)-1,"")</f>
        <v>5.0000000000000044E-2</v>
      </c>
      <c r="AG20" s="230"/>
      <c r="AH20" s="230"/>
      <c r="AK20" s="1">
        <f t="shared" si="4"/>
        <v>2039</v>
      </c>
      <c r="AL20" s="99">
        <f t="shared" si="0"/>
        <v>71.64082147405739</v>
      </c>
      <c r="AM20" s="99">
        <f t="shared" si="1"/>
        <v>-1.0394640897056844</v>
      </c>
      <c r="AN20" s="99">
        <f t="shared" si="2"/>
        <v>70.601357384351701</v>
      </c>
      <c r="AO20" s="100">
        <f t="shared" si="3"/>
        <v>15.736159619334437</v>
      </c>
    </row>
    <row r="21" spans="2:41" ht="3.75" customHeight="1">
      <c r="B21" s="66"/>
      <c r="C21" s="66"/>
      <c r="D21" s="107"/>
      <c r="E21" s="85"/>
      <c r="F21" s="85"/>
      <c r="G21" s="85"/>
      <c r="H21" s="85"/>
      <c r="I21" s="85"/>
      <c r="J21" s="85"/>
      <c r="K21" s="85"/>
      <c r="L21" s="85"/>
      <c r="M21" s="85"/>
      <c r="N21" s="85"/>
      <c r="O21" s="85"/>
      <c r="P21" s="85"/>
      <c r="Q21" s="85"/>
      <c r="R21" s="85"/>
      <c r="S21" s="85"/>
      <c r="T21" s="85"/>
      <c r="U21" s="85"/>
      <c r="V21" s="85"/>
      <c r="W21" s="85"/>
      <c r="X21" s="85"/>
      <c r="Y21" s="85"/>
      <c r="AA21" s="57"/>
      <c r="AB21" s="57"/>
      <c r="AC21" s="57"/>
      <c r="AD21" s="57"/>
      <c r="AE21" s="86"/>
      <c r="AK21" s="54">
        <f t="shared" si="4"/>
        <v>2040</v>
      </c>
      <c r="AL21" s="101">
        <f t="shared" si="0"/>
        <v>86.032518244575115</v>
      </c>
      <c r="AM21" s="101">
        <f t="shared" si="1"/>
        <v>-1.0914372941909685</v>
      </c>
      <c r="AN21" s="101">
        <f t="shared" si="2"/>
        <v>84.941080950384148</v>
      </c>
      <c r="AO21" s="102">
        <f t="shared" si="3"/>
        <v>15.776695935531306</v>
      </c>
    </row>
    <row r="22" spans="2:41" ht="15.75" customHeight="1">
      <c r="B22" s="98" t="s">
        <v>122</v>
      </c>
      <c r="C22" s="98"/>
      <c r="D22" s="108">
        <f>D26/D24-D4</f>
        <v>11.538461538461538</v>
      </c>
      <c r="E22" s="108">
        <f t="shared" ref="E22:Y22" si="7">E20*$AA$13/E24</f>
        <v>1.0769230769230769</v>
      </c>
      <c r="F22" s="108">
        <f t="shared" si="7"/>
        <v>0.76662320730117339</v>
      </c>
      <c r="G22" s="108">
        <f t="shared" si="7"/>
        <v>0.55514094321809115</v>
      </c>
      <c r="H22" s="108">
        <f t="shared" si="7"/>
        <v>0.40905122131859356</v>
      </c>
      <c r="I22" s="108">
        <f t="shared" si="7"/>
        <v>0.30678841598894518</v>
      </c>
      <c r="J22" s="108">
        <f t="shared" si="7"/>
        <v>0.23427479039155821</v>
      </c>
      <c r="K22" s="108">
        <f t="shared" si="7"/>
        <v>0.18221372586010087</v>
      </c>
      <c r="L22" s="108">
        <f t="shared" si="7"/>
        <v>0.14439578275706111</v>
      </c>
      <c r="M22" s="108">
        <f t="shared" si="7"/>
        <v>0.11662736299608785</v>
      </c>
      <c r="N22" s="108">
        <f t="shared" si="7"/>
        <v>9.6046063643837054E-2</v>
      </c>
      <c r="O22" s="108">
        <f t="shared" si="7"/>
        <v>8.0678693460823139E-2</v>
      </c>
      <c r="P22" s="108">
        <f t="shared" si="7"/>
        <v>6.9153165823562707E-2</v>
      </c>
      <c r="Q22" s="108">
        <f t="shared" si="7"/>
        <v>6.0509020095617372E-2</v>
      </c>
      <c r="R22" s="108">
        <f t="shared" si="7"/>
        <v>5.2945392583665207E-2</v>
      </c>
      <c r="S22" s="108">
        <f t="shared" si="7"/>
        <v>4.6327218510707063E-2</v>
      </c>
      <c r="T22" s="108">
        <f t="shared" si="7"/>
        <v>4.0536316196868684E-2</v>
      </c>
      <c r="U22" s="108">
        <f t="shared" si="7"/>
        <v>3.5469276672260103E-2</v>
      </c>
      <c r="V22" s="108">
        <f t="shared" si="7"/>
        <v>3.103561708822759E-2</v>
      </c>
      <c r="W22" s="108">
        <f t="shared" si="7"/>
        <v>2.7156164952199142E-2</v>
      </c>
      <c r="X22" s="108">
        <f t="shared" si="7"/>
        <v>2.3761644333174251E-2</v>
      </c>
      <c r="Y22" s="108">
        <f t="shared" si="7"/>
        <v>2.0791438791527471E-2</v>
      </c>
      <c r="AA22" s="57"/>
      <c r="AB22" s="57"/>
      <c r="AC22" s="57"/>
      <c r="AD22" s="57"/>
      <c r="AE22" s="57"/>
      <c r="AK22" s="1">
        <f t="shared" si="4"/>
        <v>2041</v>
      </c>
      <c r="AL22" s="99">
        <f t="shared" si="0"/>
        <v>103.30588271355339</v>
      </c>
      <c r="AM22" s="99">
        <f t="shared" si="1"/>
        <v>-1.146009158900517</v>
      </c>
      <c r="AN22" s="99">
        <f t="shared" si="2"/>
        <v>102.15987355465288</v>
      </c>
      <c r="AO22" s="100">
        <f t="shared" si="3"/>
        <v>15.812165212203565</v>
      </c>
    </row>
    <row r="23" spans="2:41" ht="15.75" customHeight="1">
      <c r="B23" s="231" t="s">
        <v>123</v>
      </c>
      <c r="C23" s="231"/>
      <c r="D23" s="232">
        <f>D26/D24</f>
        <v>11.538461538461538</v>
      </c>
      <c r="E23" s="232">
        <f t="shared" ref="E23:Y23" si="8">D23+E22</f>
        <v>12.615384615384615</v>
      </c>
      <c r="F23" s="232">
        <f t="shared" si="8"/>
        <v>13.382007822685788</v>
      </c>
      <c r="G23" s="232">
        <f t="shared" si="8"/>
        <v>13.93714876590388</v>
      </c>
      <c r="H23" s="232">
        <f t="shared" si="8"/>
        <v>14.346199987222473</v>
      </c>
      <c r="I23" s="232">
        <f t="shared" si="8"/>
        <v>14.652988403211419</v>
      </c>
      <c r="J23" s="232">
        <f t="shared" si="8"/>
        <v>14.887263193602976</v>
      </c>
      <c r="K23" s="232">
        <f t="shared" si="8"/>
        <v>15.069476919463078</v>
      </c>
      <c r="L23" s="232">
        <f t="shared" si="8"/>
        <v>15.213872702220138</v>
      </c>
      <c r="M23" s="232">
        <f t="shared" si="8"/>
        <v>15.330500065216226</v>
      </c>
      <c r="N23" s="232">
        <f t="shared" si="8"/>
        <v>15.426546128860062</v>
      </c>
      <c r="O23" s="232">
        <f t="shared" si="8"/>
        <v>15.507224822320886</v>
      </c>
      <c r="P23" s="232">
        <f t="shared" si="8"/>
        <v>15.576377988144449</v>
      </c>
      <c r="Q23" s="232">
        <f t="shared" si="8"/>
        <v>15.636887008240066</v>
      </c>
      <c r="R23" s="232">
        <f t="shared" si="8"/>
        <v>15.689832400823731</v>
      </c>
      <c r="S23" s="232">
        <f t="shared" si="8"/>
        <v>15.736159619334437</v>
      </c>
      <c r="T23" s="232">
        <f t="shared" si="8"/>
        <v>15.776695935531306</v>
      </c>
      <c r="U23" s="232">
        <f t="shared" si="8"/>
        <v>15.812165212203565</v>
      </c>
      <c r="V23" s="232">
        <f t="shared" si="8"/>
        <v>15.843200829291792</v>
      </c>
      <c r="W23" s="232">
        <f t="shared" si="8"/>
        <v>15.870356994243991</v>
      </c>
      <c r="X23" s="232">
        <f t="shared" si="8"/>
        <v>15.894118638577165</v>
      </c>
      <c r="Y23" s="232">
        <f t="shared" si="8"/>
        <v>15.914910077368692</v>
      </c>
      <c r="AA23" s="206">
        <f t="shared" ref="AA23:AA24" si="9">IFERROR((E23/D23)-1,"")</f>
        <v>9.3333333333333268E-2</v>
      </c>
      <c r="AB23" s="206">
        <f t="shared" ref="AB23:AB24" si="10">IFERROR((J23/D23)^(1/6)-1,"")</f>
        <v>4.3384770278201534E-2</v>
      </c>
      <c r="AC23" s="206">
        <f t="shared" ref="AC23:AC24" si="11">IFERROR((O23/D23)^(1/11)-1,"")</f>
        <v>2.7238931876554462E-2</v>
      </c>
      <c r="AD23" s="206">
        <f t="shared" ref="AD23:AD24" si="12">IFERROR((T23/D23)^(1/16)-1,"")</f>
        <v>1.9745410266288177E-2</v>
      </c>
      <c r="AE23" s="206">
        <f t="shared" ref="AE23:AE24" si="13">IFERROR((Y23/D23)^(1/21)-1,"")</f>
        <v>1.5430722588398282E-2</v>
      </c>
      <c r="AG23" s="204"/>
      <c r="AH23" s="204"/>
      <c r="AK23" s="1">
        <f t="shared" si="4"/>
        <v>2042</v>
      </c>
      <c r="AL23" s="99">
        <f t="shared" si="0"/>
        <v>124.03742227518509</v>
      </c>
      <c r="AM23" s="99">
        <f t="shared" si="1"/>
        <v>-1.2033096168455428</v>
      </c>
      <c r="AN23" s="99">
        <f t="shared" si="2"/>
        <v>122.83411265833955</v>
      </c>
      <c r="AO23" s="100">
        <f t="shared" si="3"/>
        <v>15.843200829291792</v>
      </c>
    </row>
    <row r="24" spans="2:41" ht="15.75" customHeight="1">
      <c r="B24" s="98" t="s">
        <v>75</v>
      </c>
      <c r="C24" s="98"/>
      <c r="D24" s="79">
        <f>Macro!C20</f>
        <v>65</v>
      </c>
      <c r="E24" s="79">
        <f>Macro!D20</f>
        <v>97.5</v>
      </c>
      <c r="F24" s="79">
        <f>Macro!E20</f>
        <v>143.8125</v>
      </c>
      <c r="G24" s="79">
        <f>Macro!F20</f>
        <v>208.52812499999999</v>
      </c>
      <c r="H24" s="79">
        <f>Macro!G20</f>
        <v>297.15257812499993</v>
      </c>
      <c r="I24" s="79">
        <f>Macro!H20</f>
        <v>416.01360937499987</v>
      </c>
      <c r="J24" s="79">
        <f>Macro!I20</f>
        <v>572.01871289062478</v>
      </c>
      <c r="K24" s="79">
        <f>Macro!J20</f>
        <v>772.22526240234333</v>
      </c>
      <c r="L24" s="79">
        <f>Macro!K20</f>
        <v>1023.1984726831047</v>
      </c>
      <c r="M24" s="79">
        <f>Macro!L20</f>
        <v>1330.1580144880359</v>
      </c>
      <c r="N24" s="79">
        <f>Macro!M20</f>
        <v>1695.9514684722456</v>
      </c>
      <c r="O24" s="79">
        <f>Macro!N20</f>
        <v>2119.9393355903067</v>
      </c>
      <c r="P24" s="79">
        <f>Macro!O20</f>
        <v>2596.9256860981254</v>
      </c>
      <c r="Q24" s="79">
        <f>Macro!P20</f>
        <v>3116.3108233177504</v>
      </c>
      <c r="R24" s="79">
        <f>Macro!Q20</f>
        <v>3739.5729879813002</v>
      </c>
      <c r="S24" s="79">
        <f>Macro!R20</f>
        <v>4487.4875855775599</v>
      </c>
      <c r="T24" s="79">
        <f>Macro!S20</f>
        <v>5384.9851026930719</v>
      </c>
      <c r="U24" s="79">
        <f>Macro!T20</f>
        <v>6461.9821232316863</v>
      </c>
      <c r="V24" s="79">
        <f>Macro!U20</f>
        <v>7754.3785478780228</v>
      </c>
      <c r="W24" s="79">
        <f>Macro!V20</f>
        <v>9305.2542574536274</v>
      </c>
      <c r="X24" s="79">
        <f>Macro!W20</f>
        <v>11166.305108944352</v>
      </c>
      <c r="Y24" s="79">
        <f>Macro!X20</f>
        <v>13399.566130733223</v>
      </c>
      <c r="AA24" s="57">
        <f t="shared" si="9"/>
        <v>0.5</v>
      </c>
      <c r="AB24" s="57">
        <f t="shared" si="10"/>
        <v>0.43686559725988783</v>
      </c>
      <c r="AC24" s="57">
        <f t="shared" si="11"/>
        <v>0.37272244333469207</v>
      </c>
      <c r="AD24" s="57">
        <f t="shared" si="12"/>
        <v>0.31792879499327231</v>
      </c>
      <c r="AE24" s="57">
        <f t="shared" si="13"/>
        <v>0.28883975252734717</v>
      </c>
      <c r="AK24" s="1">
        <f t="shared" si="4"/>
        <v>2043</v>
      </c>
      <c r="AL24" s="99">
        <f t="shared" si="0"/>
        <v>148.91895485979944</v>
      </c>
      <c r="AM24" s="99">
        <f t="shared" si="1"/>
        <v>-1.2634750976878202</v>
      </c>
      <c r="AN24" s="99">
        <f t="shared" si="2"/>
        <v>147.65547976211161</v>
      </c>
      <c r="AO24" s="100">
        <f t="shared" si="3"/>
        <v>15.870356994243991</v>
      </c>
    </row>
    <row r="25" spans="2:41" ht="15.75" customHeight="1">
      <c r="B25" s="197" t="s">
        <v>124</v>
      </c>
      <c r="C25" s="197"/>
      <c r="D25" s="233"/>
      <c r="E25" s="233"/>
      <c r="F25" s="233"/>
      <c r="G25" s="233"/>
      <c r="H25" s="233"/>
      <c r="I25" s="233"/>
      <c r="J25" s="233"/>
      <c r="K25" s="233"/>
      <c r="L25" s="233"/>
      <c r="M25" s="233"/>
      <c r="N25" s="233"/>
      <c r="O25" s="233"/>
      <c r="P25" s="233"/>
      <c r="Q25" s="233"/>
      <c r="R25" s="233"/>
      <c r="S25" s="233"/>
      <c r="T25" s="233"/>
      <c r="U25" s="233"/>
      <c r="V25" s="233"/>
      <c r="W25" s="233"/>
      <c r="X25" s="233"/>
      <c r="Y25" s="233"/>
      <c r="AA25" s="200"/>
      <c r="AB25" s="200"/>
      <c r="AC25" s="200"/>
      <c r="AD25" s="200"/>
      <c r="AE25" s="200"/>
      <c r="AG25" s="198"/>
      <c r="AH25" s="198"/>
      <c r="AK25" s="1">
        <f t="shared" si="4"/>
        <v>2044</v>
      </c>
      <c r="AL25" s="99">
        <f t="shared" si="0"/>
        <v>178.78067151182529</v>
      </c>
      <c r="AM25" s="99">
        <f t="shared" si="1"/>
        <v>-1.3266488525722111</v>
      </c>
      <c r="AN25" s="99">
        <f t="shared" si="2"/>
        <v>177.45402265925307</v>
      </c>
      <c r="AO25" s="100">
        <f t="shared" si="3"/>
        <v>15.894118638577165</v>
      </c>
    </row>
    <row r="26" spans="2:41" ht="15.75" customHeight="1">
      <c r="B26" s="8" t="s">
        <v>57</v>
      </c>
      <c r="D26" s="109">
        <f>AA12*(1-$O$6)*$D$5+AA14+D4*D24</f>
        <v>750</v>
      </c>
      <c r="E26" s="79">
        <f t="shared" ref="E26:Y26" si="14">E24*E23</f>
        <v>1230</v>
      </c>
      <c r="F26" s="79">
        <f t="shared" si="14"/>
        <v>1924.4999999999998</v>
      </c>
      <c r="G26" s="79">
        <f t="shared" si="14"/>
        <v>2906.2874999999999</v>
      </c>
      <c r="H26" s="79">
        <f t="shared" si="14"/>
        <v>4263.0103124999987</v>
      </c>
      <c r="I26" s="79">
        <f t="shared" si="14"/>
        <v>6095.8425937499978</v>
      </c>
      <c r="J26" s="79">
        <f t="shared" si="14"/>
        <v>8515.7931304687463</v>
      </c>
      <c r="K26" s="79">
        <f t="shared" si="14"/>
        <v>11637.030768398432</v>
      </c>
      <c r="L26" s="79">
        <f t="shared" si="14"/>
        <v>15566.811312506825</v>
      </c>
      <c r="M26" s="79">
        <f t="shared" si="14"/>
        <v>20391.98752785672</v>
      </c>
      <c r="N26" s="79">
        <f t="shared" si="14"/>
        <v>26162.673560695057</v>
      </c>
      <c r="O26" s="79">
        <f t="shared" si="14"/>
        <v>32874.375886680449</v>
      </c>
      <c r="P26" s="79">
        <f t="shared" si="14"/>
        <v>40450.696093785758</v>
      </c>
      <c r="Q26" s="79">
        <f t="shared" si="14"/>
        <v>48729.400226775237</v>
      </c>
      <c r="R26" s="79">
        <f t="shared" si="14"/>
        <v>58673.273432074217</v>
      </c>
      <c r="S26" s="79">
        <f t="shared" si="14"/>
        <v>70615.820936430187</v>
      </c>
      <c r="T26" s="79">
        <f t="shared" si="14"/>
        <v>84957.272582554418</v>
      </c>
      <c r="U26" s="79">
        <f t="shared" si="14"/>
        <v>102177.9289308454</v>
      </c>
      <c r="V26" s="79">
        <f t="shared" si="14"/>
        <v>122854.17664038358</v>
      </c>
      <c r="W26" s="79">
        <f t="shared" si="14"/>
        <v>147677.70698799787</v>
      </c>
      <c r="X26" s="79">
        <f t="shared" si="14"/>
        <v>177478.57815611185</v>
      </c>
      <c r="Y26" s="79">
        <f t="shared" si="14"/>
        <v>213252.89004637438</v>
      </c>
      <c r="AA26" s="57">
        <f t="shared" ref="AA26:AA33" si="15">IFERROR((E26/D26)-1,"")</f>
        <v>0.6399999999999999</v>
      </c>
      <c r="AB26" s="57">
        <f t="shared" ref="AB26:AB33" si="16">IFERROR((J26/D26)^(1/6)-1,"")</f>
        <v>0.499203681117659</v>
      </c>
      <c r="AC26" s="57">
        <f t="shared" ref="AC26:AC33" si="17">IFERROR((O26/D26)^(1/11)-1,"")</f>
        <v>0.4101139364541031</v>
      </c>
      <c r="AD26" s="57">
        <f t="shared" ref="AD26:AD33" si="18">IFERROR((T26/D26)^(1/16)-1,"")</f>
        <v>0.34395183975216947</v>
      </c>
      <c r="AE26" s="57">
        <f t="shared" ref="AE26:AE33" si="19">IFERROR((Y26/D26)^(1/21)-1,"")</f>
        <v>0.30872748120949622</v>
      </c>
      <c r="AG26" s="57">
        <f t="shared" ref="AG26:AG31" si="20">D26/D$31</f>
        <v>0.6</v>
      </c>
      <c r="AH26" s="57">
        <f t="shared" ref="AH26:AH31" si="21">Y26/Y$31</f>
        <v>0.9936355930228592</v>
      </c>
      <c r="AK26" s="54">
        <f t="shared" si="4"/>
        <v>2045</v>
      </c>
      <c r="AL26" s="101">
        <f t="shared" si="0"/>
        <v>214.61881150776003</v>
      </c>
      <c r="AM26" s="101">
        <f t="shared" si="1"/>
        <v>-1.3929812952008218</v>
      </c>
      <c r="AN26" s="101">
        <f t="shared" si="2"/>
        <v>213.2258302125592</v>
      </c>
      <c r="AO26" s="102">
        <f t="shared" si="3"/>
        <v>15.914910077368692</v>
      </c>
    </row>
    <row r="27" spans="2:41" ht="15.75" customHeight="1">
      <c r="B27" s="8" t="s">
        <v>53</v>
      </c>
      <c r="D27" s="109">
        <f>$D$5*$O5*(1-AA12)</f>
        <v>0</v>
      </c>
      <c r="E27" s="79">
        <f>D27*(1+Macro!D71)+E$20*(1-$AA$13)*$O5/(1-$O$6)</f>
        <v>0</v>
      </c>
      <c r="F27" s="79">
        <f>E27*(1+Macro!E71)+F$20*(1-$AA$13)*$O5/(1-$O$6)</f>
        <v>0</v>
      </c>
      <c r="G27" s="79">
        <f>F27*(1+Macro!F71)+G$20*(1-$AA$13)*$O5/(1-$O$6)</f>
        <v>0</v>
      </c>
      <c r="H27" s="79">
        <f>G27*(1+Macro!G71)+H$20*(1-$AA$13)*$O5/(1-$O$6)</f>
        <v>0</v>
      </c>
      <c r="I27" s="79">
        <f>H27*(1+Macro!H71)+I$20*(1-$AA$13)*$O5/(1-$O$6)</f>
        <v>0</v>
      </c>
      <c r="J27" s="79">
        <f>I27*(1+Macro!I71)+J$20*(1-$AA$13)*$O5/(1-$O$6)</f>
        <v>0</v>
      </c>
      <c r="K27" s="79">
        <f>J27*(1+Macro!J71)+K$20*(1-$AA$13)*$O5/(1-$O$6)</f>
        <v>0</v>
      </c>
      <c r="L27" s="79">
        <f>K27*(1+Macro!K71)+L$20*(1-$AA$13)*$O5/(1-$O$6)</f>
        <v>0</v>
      </c>
      <c r="M27" s="79">
        <f>L27*(1+Macro!L71)+M$20*(1-$AA$13)*$O5/(1-$O$6)</f>
        <v>0</v>
      </c>
      <c r="N27" s="79">
        <f>M27*(1+Macro!M71)+N$20*(1-$AA$13)*$O5/(1-$O$6)</f>
        <v>0</v>
      </c>
      <c r="O27" s="79">
        <f>N27*(1+Macro!N71)+O$20*(1-$AA$13)*$O5/(1-$O$6)</f>
        <v>0</v>
      </c>
      <c r="P27" s="79">
        <f>O27*(1+Macro!O71)+P$20*(1-$AA$13)*$O5/(1-$O$6)</f>
        <v>0</v>
      </c>
      <c r="Q27" s="79">
        <f>P27*(1+Macro!P71)+Q$20*(1-$AA$13)*$O5/(1-$O$6)</f>
        <v>0</v>
      </c>
      <c r="R27" s="79">
        <f>Q27*(1+Macro!Q71)+R$20*(1-$AA$13)*$O5/(1-$O$6)</f>
        <v>0</v>
      </c>
      <c r="S27" s="79">
        <f>R27*(1+Macro!R71)+S$20*(1-$AA$13)*$O5/(1-$O$6)</f>
        <v>0</v>
      </c>
      <c r="T27" s="79">
        <f>S27*(1+Macro!S71)+T$20*(1-$AA$13)*$O5/(1-$O$6)</f>
        <v>0</v>
      </c>
      <c r="U27" s="79">
        <f>T27*(1+Macro!T71)+U$20*(1-$AA$13)*$O5/(1-$O$6)</f>
        <v>0</v>
      </c>
      <c r="V27" s="79">
        <f>U27*(1+Macro!U71)+V$20*(1-$AA$13)*$O5/(1-$O$6)</f>
        <v>0</v>
      </c>
      <c r="W27" s="79">
        <f>V27*(1+Macro!V71)+W$20*(1-$AA$13)*$O5/(1-$O$6)</f>
        <v>0</v>
      </c>
      <c r="X27" s="79">
        <f>W27*(1+Macro!W71)+X$20*(1-$AA$13)*$O5/(1-$O$6)</f>
        <v>0</v>
      </c>
      <c r="Y27" s="79">
        <f>X27*(1+Macro!X71)+Y$20*(1-$AA$13)*$O5/(1-$O$6)</f>
        <v>0</v>
      </c>
      <c r="AA27" s="57" t="str">
        <f t="shared" si="15"/>
        <v/>
      </c>
      <c r="AB27" s="57" t="str">
        <f t="shared" si="16"/>
        <v/>
      </c>
      <c r="AC27" s="57" t="str">
        <f t="shared" si="17"/>
        <v/>
      </c>
      <c r="AD27" s="57" t="str">
        <f t="shared" si="18"/>
        <v/>
      </c>
      <c r="AE27" s="57" t="str">
        <f t="shared" si="19"/>
        <v/>
      </c>
      <c r="AG27" s="57">
        <f t="shared" si="20"/>
        <v>0</v>
      </c>
      <c r="AH27" s="57">
        <f t="shared" si="21"/>
        <v>0</v>
      </c>
    </row>
    <row r="28" spans="2:41" ht="15.75" customHeight="1">
      <c r="B28" s="8" t="s">
        <v>56</v>
      </c>
      <c r="D28" s="109">
        <f>$D$5*O6</f>
        <v>500</v>
      </c>
      <c r="E28" s="79">
        <f>D28*(1+Macro!D72)</f>
        <v>524.50980392156862</v>
      </c>
      <c r="F28" s="79">
        <f>E28*(1+Macro!E72)</f>
        <v>550.22106881968477</v>
      </c>
      <c r="G28" s="79">
        <f>F28*(1+Macro!F72)</f>
        <v>577.19268984025757</v>
      </c>
      <c r="H28" s="79">
        <f>G28*(1+Macro!G72)</f>
        <v>605.48644914615261</v>
      </c>
      <c r="I28" s="79">
        <f>H28*(1+Macro!H72)</f>
        <v>635.16715743763075</v>
      </c>
      <c r="J28" s="79">
        <f>I28*(1+Macro!I72)</f>
        <v>666.30280241006369</v>
      </c>
      <c r="K28" s="79">
        <f>J28*(1+Macro!J72)</f>
        <v>698.96470448898845</v>
      </c>
      <c r="L28" s="79">
        <f>K28*(1+Macro!K72)</f>
        <v>733.22768019923296</v>
      </c>
      <c r="M28" s="79">
        <f>L28*(1+Macro!L72)</f>
        <v>769.1702135423327</v>
      </c>
      <c r="N28" s="79">
        <f>M28*(1+Macro!M72)</f>
        <v>806.87463577480003</v>
      </c>
      <c r="O28" s="79">
        <f>N28*(1+Macro!N72)</f>
        <v>846.42731399905495</v>
      </c>
      <c r="P28" s="79">
        <f>O28*(1+Macro!O72)</f>
        <v>887.91884899900867</v>
      </c>
      <c r="Q28" s="79">
        <f>P28*(1+Macro!P72)</f>
        <v>931.44428277346992</v>
      </c>
      <c r="R28" s="79">
        <f>Q28*(1+Macro!Q72)</f>
        <v>977.10331624275773</v>
      </c>
      <c r="S28" s="79">
        <f>R28*(1+Macro!R72)</f>
        <v>1025.0005376272068</v>
      </c>
      <c r="T28" s="79">
        <f>S28*(1+Macro!S72)</f>
        <v>1075.2456620206974</v>
      </c>
      <c r="U28" s="79">
        <f>T28*(1+Macro!T72)</f>
        <v>1127.9537827079866</v>
      </c>
      <c r="V28" s="79">
        <f>U28*(1+Macro!U72)</f>
        <v>1183.2456348015155</v>
      </c>
      <c r="W28" s="79">
        <f>V28*(1+Macro!V72)</f>
        <v>1241.2478718015898</v>
      </c>
      <c r="X28" s="79">
        <f>W28*(1+Macro!W72)</f>
        <v>1302.0933557134324</v>
      </c>
      <c r="Y28" s="79">
        <f>X28*(1+Macro!X72)</f>
        <v>1365.9214613856595</v>
      </c>
      <c r="AA28" s="57">
        <f t="shared" si="15"/>
        <v>4.9019607843137303E-2</v>
      </c>
      <c r="AB28" s="57">
        <f t="shared" si="16"/>
        <v>4.9019607843137303E-2</v>
      </c>
      <c r="AC28" s="57">
        <f t="shared" si="17"/>
        <v>4.9019607843137303E-2</v>
      </c>
      <c r="AD28" s="57">
        <f t="shared" si="18"/>
        <v>4.9019607843137303E-2</v>
      </c>
      <c r="AE28" s="57">
        <f t="shared" si="19"/>
        <v>4.9019607843137303E-2</v>
      </c>
      <c r="AG28" s="57">
        <f t="shared" si="20"/>
        <v>0.4</v>
      </c>
      <c r="AH28" s="57">
        <f t="shared" si="21"/>
        <v>6.3644069771408253E-3</v>
      </c>
    </row>
    <row r="29" spans="2:41" ht="15.75" customHeight="1">
      <c r="B29" s="8" t="s">
        <v>58</v>
      </c>
      <c r="D29" s="109">
        <f t="shared" ref="D29:D30" si="22">$D$5*$O7*(1-$AA$12)</f>
        <v>0</v>
      </c>
      <c r="E29" s="79">
        <f>D29*(1+Macro!D75*(1-$D9))+E$20*(1-$AA$13)*$O7/(1-$O$6)</f>
        <v>0</v>
      </c>
      <c r="F29" s="79">
        <f>E29*(1+Macro!E75*(1-$D9))+F$20*(1-$AA$13)*$O7/(1-$O$6)</f>
        <v>0</v>
      </c>
      <c r="G29" s="79">
        <f>F29*(1+Macro!F75*(1-$D9))+G$20*(1-$AA$13)*$O7/(1-$O$6)</f>
        <v>0</v>
      </c>
      <c r="H29" s="79">
        <f>G29*(1+Macro!G75*(1-$D9))+H$20*(1-$AA$13)*$O7/(1-$O$6)</f>
        <v>0</v>
      </c>
      <c r="I29" s="79">
        <f>H29*(1+Macro!H75*(1-$D9))+I$20*(1-$AA$13)*$O7/(1-$O$6)</f>
        <v>0</v>
      </c>
      <c r="J29" s="79">
        <f>I29*(1+Macro!I75*(1-$D9))+J$20*(1-$AA$13)*$O7/(1-$O$6)</f>
        <v>0</v>
      </c>
      <c r="K29" s="79">
        <f>J29*(1+Macro!J75*(1-$D9))+K$20*(1-$AA$13)*$O7/(1-$O$6)</f>
        <v>0</v>
      </c>
      <c r="L29" s="79">
        <f>K29*(1+Macro!K75*(1-$D9))+L$20*(1-$AA$13)*$O7/(1-$O$6)</f>
        <v>0</v>
      </c>
      <c r="M29" s="79">
        <f>L29*(1+Macro!L75*(1-$D9))+M$20*(1-$AA$13)*$O7/(1-$O$6)</f>
        <v>0</v>
      </c>
      <c r="N29" s="79">
        <f>M29*(1+Macro!M75*(1-$D9))+N$20*(1-$AA$13)*$O7/(1-$O$6)</f>
        <v>0</v>
      </c>
      <c r="O29" s="79">
        <f>N29*(1+Macro!N75*(1-$D9))+O$20*(1-$AA$13)*$O7/(1-$O$6)</f>
        <v>0</v>
      </c>
      <c r="P29" s="79">
        <f>O29*(1+Macro!O75*(1-$D9))+P$20*(1-$AA$13)*$O7/(1-$O$6)</f>
        <v>0</v>
      </c>
      <c r="Q29" s="79">
        <f>P29*(1+Macro!P75*(1-$D9))+Q$20*(1-$AA$13)*$O7/(1-$O$6)</f>
        <v>0</v>
      </c>
      <c r="R29" s="79">
        <f>Q29*(1+Macro!Q75*(1-$D9))+R$20*(1-$AA$13)*$O7/(1-$O$6)</f>
        <v>0</v>
      </c>
      <c r="S29" s="79">
        <f>R29*(1+Macro!R75*(1-$D9))+S$20*(1-$AA$13)*$O7/(1-$O$6)</f>
        <v>0</v>
      </c>
      <c r="T29" s="79">
        <f>S29*(1+Macro!S75*(1-$D9))+T$20*(1-$AA$13)*$O7/(1-$O$6)</f>
        <v>0</v>
      </c>
      <c r="U29" s="79">
        <f>T29*(1+Macro!T75*(1-$D9))+U$20*(1-$AA$13)*$O7/(1-$O$6)</f>
        <v>0</v>
      </c>
      <c r="V29" s="79">
        <f>U29*(1+Macro!U75*(1-$D9))+V$20*(1-$AA$13)*$O7/(1-$O$6)</f>
        <v>0</v>
      </c>
      <c r="W29" s="79">
        <f>V29*(1+Macro!V75*(1-$D9))+W$20*(1-$AA$13)*$O7/(1-$O$6)</f>
        <v>0</v>
      </c>
      <c r="X29" s="79">
        <f>W29*(1+Macro!W75*(1-$D9))+X$20*(1-$AA$13)*$O7/(1-$O$6)</f>
        <v>0</v>
      </c>
      <c r="Y29" s="79">
        <f>X29*(1+Macro!X75*(1-$D9))+Y$20*(1-$AA$13)*$O7/(1-$O$6)</f>
        <v>0</v>
      </c>
      <c r="AA29" s="57" t="str">
        <f t="shared" si="15"/>
        <v/>
      </c>
      <c r="AB29" s="57" t="str">
        <f t="shared" si="16"/>
        <v/>
      </c>
      <c r="AC29" s="57" t="str">
        <f t="shared" si="17"/>
        <v/>
      </c>
      <c r="AD29" s="57" t="str">
        <f t="shared" si="18"/>
        <v/>
      </c>
      <c r="AE29" s="57" t="str">
        <f t="shared" si="19"/>
        <v/>
      </c>
      <c r="AG29" s="57">
        <f t="shared" si="20"/>
        <v>0</v>
      </c>
      <c r="AH29" s="57">
        <f t="shared" si="21"/>
        <v>0</v>
      </c>
    </row>
    <row r="30" spans="2:41" ht="15.75" customHeight="1">
      <c r="B30" s="8" t="s">
        <v>60</v>
      </c>
      <c r="D30" s="79">
        <f t="shared" si="22"/>
        <v>0</v>
      </c>
      <c r="E30" s="79">
        <f>D30*(1+Macro!D76*(1-$D9))+E$20*(1-$AA$13)*$O8/(1-$O$6)</f>
        <v>0</v>
      </c>
      <c r="F30" s="79">
        <f>E30*(1+Macro!E76*(1-$D9))+F$20*(1-$AA$13)*$O8/(1-$O$6)</f>
        <v>0</v>
      </c>
      <c r="G30" s="79">
        <f>F30*(1+Macro!F76*(1-$D9))+G$20*(1-$AA$13)*$O8/(1-$O$6)</f>
        <v>0</v>
      </c>
      <c r="H30" s="79">
        <f>G30*(1+Macro!G76*(1-$D9))+H$20*(1-$AA$13)*$O8/(1-$O$6)</f>
        <v>0</v>
      </c>
      <c r="I30" s="79">
        <f>H30*(1+Macro!H76*(1-$D9))+I$20*(1-$AA$13)*$O8/(1-$O$6)</f>
        <v>0</v>
      </c>
      <c r="J30" s="79">
        <f>I30*(1+Macro!I76*(1-$D9))+J$20*(1-$AA$13)*$O8/(1-$O$6)</f>
        <v>0</v>
      </c>
      <c r="K30" s="79">
        <f>J30*(1+Macro!J76*(1-$D9))+K$20*(1-$AA$13)*$O8/(1-$O$6)</f>
        <v>0</v>
      </c>
      <c r="L30" s="79">
        <f>K30*(1+Macro!K76*(1-$D9))+L$20*(1-$AA$13)*$O8/(1-$O$6)</f>
        <v>0</v>
      </c>
      <c r="M30" s="79">
        <f>L30*(1+Macro!L76*(1-$D9))+M$20*(1-$AA$13)*$O8/(1-$O$6)</f>
        <v>0</v>
      </c>
      <c r="N30" s="79">
        <f>M30*(1+Macro!M76*(1-$D9))+N$20*(1-$AA$13)*$O8/(1-$O$6)</f>
        <v>0</v>
      </c>
      <c r="O30" s="79">
        <f>N30*(1+Macro!N76*(1-$D9))+O$20*(1-$AA$13)*$O8/(1-$O$6)</f>
        <v>0</v>
      </c>
      <c r="P30" s="79">
        <f>O30*(1+Macro!O76*(1-$D9))+P$20*(1-$AA$13)*$O8/(1-$O$6)</f>
        <v>0</v>
      </c>
      <c r="Q30" s="79">
        <f>P30*(1+Macro!P76*(1-$D9))+Q$20*(1-$AA$13)*$O8/(1-$O$6)</f>
        <v>0</v>
      </c>
      <c r="R30" s="79">
        <f>Q30*(1+Macro!Q76*(1-$D9))+R$20*(1-$AA$13)*$O8/(1-$O$6)</f>
        <v>0</v>
      </c>
      <c r="S30" s="79">
        <f>R30*(1+Macro!R76*(1-$D9))+S$20*(1-$AA$13)*$O8/(1-$O$6)</f>
        <v>0</v>
      </c>
      <c r="T30" s="79">
        <f>S30*(1+Macro!S76*(1-$D9))+T$20*(1-$AA$13)*$O8/(1-$O$6)</f>
        <v>0</v>
      </c>
      <c r="U30" s="79">
        <f>T30*(1+Macro!T76*(1-$D9))+U$20*(1-$AA$13)*$O8/(1-$O$6)</f>
        <v>0</v>
      </c>
      <c r="V30" s="79">
        <f>U30*(1+Macro!U76*(1-$D9))+V$20*(1-$AA$13)*$O8/(1-$O$6)</f>
        <v>0</v>
      </c>
      <c r="W30" s="79">
        <f>V30*(1+Macro!V76*(1-$D9))+W$20*(1-$AA$13)*$O8/(1-$O$6)</f>
        <v>0</v>
      </c>
      <c r="X30" s="79">
        <f>W30*(1+Macro!W76*(1-$D9))+X$20*(1-$AA$13)*$O8/(1-$O$6)</f>
        <v>0</v>
      </c>
      <c r="Y30" s="79">
        <f>X30*(1+Macro!X76*(1-$D9))+Y$20*(1-$AA$13)*$O8/(1-$O$6)</f>
        <v>0</v>
      </c>
      <c r="AA30" s="57" t="str">
        <f t="shared" si="15"/>
        <v/>
      </c>
      <c r="AB30" s="57" t="str">
        <f t="shared" si="16"/>
        <v/>
      </c>
      <c r="AC30" s="57" t="str">
        <f t="shared" si="17"/>
        <v/>
      </c>
      <c r="AD30" s="57" t="str">
        <f t="shared" si="18"/>
        <v/>
      </c>
      <c r="AE30" s="57" t="str">
        <f t="shared" si="19"/>
        <v/>
      </c>
      <c r="AG30" s="57">
        <f t="shared" si="20"/>
        <v>0</v>
      </c>
      <c r="AH30" s="57">
        <f t="shared" si="21"/>
        <v>0</v>
      </c>
    </row>
    <row r="31" spans="2:41" ht="15.75" customHeight="1">
      <c r="B31" s="82" t="s">
        <v>125</v>
      </c>
      <c r="C31" s="82"/>
      <c r="D31" s="110">
        <f t="shared" ref="D31:Y31" si="23">SUM(D26:D30)</f>
        <v>1250</v>
      </c>
      <c r="E31" s="110">
        <f t="shared" si="23"/>
        <v>1754.5098039215686</v>
      </c>
      <c r="F31" s="110">
        <f t="shared" si="23"/>
        <v>2474.7210688196847</v>
      </c>
      <c r="G31" s="110">
        <f t="shared" si="23"/>
        <v>3483.4801898402575</v>
      </c>
      <c r="H31" s="110">
        <f t="shared" si="23"/>
        <v>4868.4967616461508</v>
      </c>
      <c r="I31" s="110">
        <f t="shared" si="23"/>
        <v>6731.0097511876284</v>
      </c>
      <c r="J31" s="110">
        <f t="shared" si="23"/>
        <v>9182.0959328788103</v>
      </c>
      <c r="K31" s="110">
        <f t="shared" si="23"/>
        <v>12335.99547288742</v>
      </c>
      <c r="L31" s="110">
        <f t="shared" si="23"/>
        <v>16300.038992706057</v>
      </c>
      <c r="M31" s="110">
        <f t="shared" si="23"/>
        <v>21161.157741399053</v>
      </c>
      <c r="N31" s="110">
        <f t="shared" si="23"/>
        <v>26969.548196469856</v>
      </c>
      <c r="O31" s="110">
        <f t="shared" si="23"/>
        <v>33720.803200679504</v>
      </c>
      <c r="P31" s="110">
        <f t="shared" si="23"/>
        <v>41338.61494278477</v>
      </c>
      <c r="Q31" s="110">
        <f t="shared" si="23"/>
        <v>49660.844509548704</v>
      </c>
      <c r="R31" s="110">
        <f t="shared" si="23"/>
        <v>59650.376748316972</v>
      </c>
      <c r="S31" s="110">
        <f t="shared" si="23"/>
        <v>71640.821474057389</v>
      </c>
      <c r="T31" s="110">
        <f t="shared" si="23"/>
        <v>86032.518244575112</v>
      </c>
      <c r="U31" s="110">
        <f t="shared" si="23"/>
        <v>103305.88271355339</v>
      </c>
      <c r="V31" s="110">
        <f t="shared" si="23"/>
        <v>124037.42227518509</v>
      </c>
      <c r="W31" s="110">
        <f t="shared" si="23"/>
        <v>148918.95485979944</v>
      </c>
      <c r="X31" s="110">
        <f t="shared" si="23"/>
        <v>178780.67151182529</v>
      </c>
      <c r="Y31" s="110">
        <f t="shared" si="23"/>
        <v>214618.81150776002</v>
      </c>
      <c r="AA31" s="84">
        <f t="shared" si="15"/>
        <v>0.40360784313725495</v>
      </c>
      <c r="AB31" s="84">
        <f t="shared" si="16"/>
        <v>0.39424352248326566</v>
      </c>
      <c r="AC31" s="84">
        <f t="shared" si="17"/>
        <v>0.34924186693743997</v>
      </c>
      <c r="AD31" s="84">
        <f t="shared" si="18"/>
        <v>0.30274537163696191</v>
      </c>
      <c r="AE31" s="84">
        <f t="shared" si="19"/>
        <v>0.27766511406986716</v>
      </c>
      <c r="AG31" s="84">
        <f t="shared" si="20"/>
        <v>1</v>
      </c>
      <c r="AH31" s="84">
        <f t="shared" si="21"/>
        <v>1</v>
      </c>
    </row>
    <row r="32" spans="2:41" ht="15" customHeight="1">
      <c r="B32" s="8" t="s">
        <v>126</v>
      </c>
      <c r="D32" s="79">
        <f>-AE4-AA14</f>
        <v>-500</v>
      </c>
      <c r="E32" s="79">
        <f t="shared" ref="E32:Y32" si="24">D32*(1+$AE$5)</f>
        <v>-525</v>
      </c>
      <c r="F32" s="79">
        <f t="shared" si="24"/>
        <v>-551.25</v>
      </c>
      <c r="G32" s="79">
        <f t="shared" si="24"/>
        <v>-578.8125</v>
      </c>
      <c r="H32" s="79">
        <f t="shared" si="24"/>
        <v>-607.75312500000007</v>
      </c>
      <c r="I32" s="79">
        <f t="shared" si="24"/>
        <v>-638.14078125000015</v>
      </c>
      <c r="J32" s="79">
        <f t="shared" si="24"/>
        <v>-670.04782031250022</v>
      </c>
      <c r="K32" s="79">
        <f t="shared" si="24"/>
        <v>-703.55021132812522</v>
      </c>
      <c r="L32" s="79">
        <f t="shared" si="24"/>
        <v>-738.72772189453156</v>
      </c>
      <c r="M32" s="79">
        <f t="shared" si="24"/>
        <v>-775.66410798925813</v>
      </c>
      <c r="N32" s="79">
        <f t="shared" si="24"/>
        <v>-814.44731338872111</v>
      </c>
      <c r="O32" s="79">
        <f t="shared" si="24"/>
        <v>-855.16967905815716</v>
      </c>
      <c r="P32" s="79">
        <f t="shared" si="24"/>
        <v>-897.92816301106507</v>
      </c>
      <c r="Q32" s="79">
        <f t="shared" si="24"/>
        <v>-942.82457116161834</v>
      </c>
      <c r="R32" s="79">
        <f t="shared" si="24"/>
        <v>-989.96579971969925</v>
      </c>
      <c r="S32" s="79">
        <f t="shared" si="24"/>
        <v>-1039.4640897056843</v>
      </c>
      <c r="T32" s="79">
        <f t="shared" si="24"/>
        <v>-1091.4372941909685</v>
      </c>
      <c r="U32" s="79">
        <f t="shared" si="24"/>
        <v>-1146.0091589005169</v>
      </c>
      <c r="V32" s="79">
        <f t="shared" si="24"/>
        <v>-1203.3096168455429</v>
      </c>
      <c r="W32" s="79">
        <f t="shared" si="24"/>
        <v>-1263.4750976878202</v>
      </c>
      <c r="X32" s="79">
        <f t="shared" si="24"/>
        <v>-1326.6488525722111</v>
      </c>
      <c r="Y32" s="79">
        <f t="shared" si="24"/>
        <v>-1392.9812952008217</v>
      </c>
      <c r="AA32" s="57">
        <f t="shared" si="15"/>
        <v>5.0000000000000044E-2</v>
      </c>
      <c r="AB32" s="57">
        <f t="shared" si="16"/>
        <v>5.0000000000000044E-2</v>
      </c>
      <c r="AC32" s="57">
        <f t="shared" si="17"/>
        <v>5.0000000000000044E-2</v>
      </c>
      <c r="AD32" s="57">
        <f t="shared" si="18"/>
        <v>5.0000000000000044E-2</v>
      </c>
      <c r="AE32" s="57">
        <f t="shared" si="19"/>
        <v>5.0000000000000044E-2</v>
      </c>
      <c r="AG32" s="57"/>
      <c r="AH32" s="57"/>
    </row>
    <row r="33" spans="2:41" ht="15" customHeight="1">
      <c r="B33" s="82" t="s">
        <v>127</v>
      </c>
      <c r="C33" s="82"/>
      <c r="D33" s="110">
        <f t="shared" ref="D33:Y33" si="25">D31+D32</f>
        <v>750</v>
      </c>
      <c r="E33" s="110">
        <f t="shared" si="25"/>
        <v>1229.5098039215686</v>
      </c>
      <c r="F33" s="110">
        <f t="shared" si="25"/>
        <v>1923.4710688196847</v>
      </c>
      <c r="G33" s="110">
        <f t="shared" si="25"/>
        <v>2904.6676898402575</v>
      </c>
      <c r="H33" s="110">
        <f t="shared" si="25"/>
        <v>4260.7436366461507</v>
      </c>
      <c r="I33" s="110">
        <f t="shared" si="25"/>
        <v>6092.8689699376282</v>
      </c>
      <c r="J33" s="110">
        <f t="shared" si="25"/>
        <v>8512.04811256631</v>
      </c>
      <c r="K33" s="110">
        <f t="shared" si="25"/>
        <v>11632.445261559295</v>
      </c>
      <c r="L33" s="110">
        <f t="shared" si="25"/>
        <v>15561.311270811526</v>
      </c>
      <c r="M33" s="110">
        <f t="shared" si="25"/>
        <v>20385.493633409795</v>
      </c>
      <c r="N33" s="110">
        <f t="shared" si="25"/>
        <v>26155.100883081133</v>
      </c>
      <c r="O33" s="110">
        <f t="shared" si="25"/>
        <v>32865.633521621348</v>
      </c>
      <c r="P33" s="110">
        <f t="shared" si="25"/>
        <v>40440.686779773707</v>
      </c>
      <c r="Q33" s="110">
        <f t="shared" si="25"/>
        <v>48718.019938387086</v>
      </c>
      <c r="R33" s="110">
        <f t="shared" si="25"/>
        <v>58660.410948597273</v>
      </c>
      <c r="S33" s="110">
        <f t="shared" si="25"/>
        <v>70601.357384351708</v>
      </c>
      <c r="T33" s="110">
        <f t="shared" si="25"/>
        <v>84941.080950384145</v>
      </c>
      <c r="U33" s="110">
        <f t="shared" si="25"/>
        <v>102159.87355465288</v>
      </c>
      <c r="V33" s="110">
        <f t="shared" si="25"/>
        <v>122834.11265833955</v>
      </c>
      <c r="W33" s="110">
        <f t="shared" si="25"/>
        <v>147655.47976211162</v>
      </c>
      <c r="X33" s="110">
        <f t="shared" si="25"/>
        <v>177454.02265925307</v>
      </c>
      <c r="Y33" s="110">
        <f t="shared" si="25"/>
        <v>213225.8302125592</v>
      </c>
      <c r="AA33" s="84">
        <f t="shared" si="15"/>
        <v>0.63934640522875807</v>
      </c>
      <c r="AB33" s="84">
        <f t="shared" si="16"/>
        <v>0.49909377603466765</v>
      </c>
      <c r="AC33" s="84">
        <f t="shared" si="17"/>
        <v>0.41007984186638402</v>
      </c>
      <c r="AD33" s="84">
        <f t="shared" si="18"/>
        <v>0.34393582970568959</v>
      </c>
      <c r="AE33" s="84">
        <f t="shared" si="19"/>
        <v>0.30871957285060136</v>
      </c>
      <c r="AG33" s="206"/>
      <c r="AH33" s="206"/>
    </row>
    <row r="34" spans="2:41" ht="15.75" customHeight="1">
      <c r="D34" s="79"/>
      <c r="E34" s="79"/>
      <c r="F34" s="79"/>
      <c r="G34" s="79"/>
      <c r="H34" s="79"/>
      <c r="I34" s="79"/>
      <c r="J34" s="79"/>
      <c r="K34" s="79"/>
      <c r="L34" s="79"/>
      <c r="M34" s="79"/>
      <c r="N34" s="79"/>
      <c r="O34" s="79"/>
      <c r="P34" s="79"/>
      <c r="Q34" s="79"/>
      <c r="R34" s="79"/>
      <c r="S34" s="79"/>
      <c r="T34" s="79"/>
      <c r="U34" s="79"/>
      <c r="V34" s="79"/>
      <c r="W34" s="79"/>
      <c r="X34" s="79"/>
      <c r="Y34" s="79"/>
      <c r="AA34" s="57"/>
      <c r="AB34" s="57"/>
      <c r="AC34" s="57"/>
      <c r="AD34" s="57"/>
      <c r="AE34" s="57"/>
    </row>
    <row r="35" spans="2:41" ht="15.75" customHeight="1">
      <c r="B35" s="272" t="s">
        <v>128</v>
      </c>
      <c r="C35" s="268"/>
      <c r="D35" s="268"/>
      <c r="E35" s="268"/>
      <c r="F35" s="268"/>
      <c r="G35" s="268"/>
      <c r="H35" s="268"/>
      <c r="I35" s="268"/>
      <c r="J35" s="268"/>
      <c r="K35" s="268"/>
      <c r="L35" s="268"/>
      <c r="M35" s="268"/>
      <c r="N35" s="268"/>
      <c r="O35" s="268"/>
      <c r="P35" s="268"/>
      <c r="Q35" s="268"/>
      <c r="R35" s="268"/>
      <c r="S35" s="268"/>
      <c r="T35" s="268"/>
      <c r="U35" s="268"/>
      <c r="V35" s="268"/>
      <c r="W35" s="268"/>
      <c r="X35" s="268"/>
      <c r="Y35" s="268"/>
      <c r="Z35" s="268"/>
      <c r="AA35" s="268"/>
      <c r="AB35" s="268"/>
      <c r="AC35" s="268"/>
      <c r="AD35" s="268"/>
      <c r="AE35" s="268"/>
      <c r="AF35" s="268"/>
      <c r="AG35" s="268"/>
      <c r="AH35" s="268"/>
      <c r="AI35" s="268"/>
      <c r="AJ35" s="268"/>
      <c r="AK35" s="268"/>
      <c r="AL35" s="268"/>
      <c r="AM35" s="268"/>
      <c r="AN35" s="268"/>
      <c r="AO35" s="268"/>
    </row>
    <row r="36" spans="2:41" ht="15.75" customHeight="1">
      <c r="D36" s="79"/>
      <c r="E36" s="79"/>
      <c r="F36" s="79"/>
      <c r="G36" s="79"/>
      <c r="H36" s="79"/>
      <c r="I36" s="79"/>
      <c r="J36" s="79"/>
      <c r="K36" s="79"/>
      <c r="L36" s="79"/>
      <c r="M36" s="79"/>
      <c r="N36" s="79"/>
      <c r="O36" s="79"/>
      <c r="P36" s="79"/>
      <c r="Q36" s="79"/>
      <c r="R36" s="79"/>
      <c r="S36" s="79"/>
      <c r="T36" s="79"/>
      <c r="U36" s="79"/>
      <c r="V36" s="79"/>
      <c r="W36" s="79"/>
      <c r="X36" s="79"/>
      <c r="Y36" s="79"/>
      <c r="AA36" s="57"/>
      <c r="AB36" s="57"/>
      <c r="AC36" s="57"/>
      <c r="AD36" s="57"/>
      <c r="AE36" s="57"/>
    </row>
    <row r="37" spans="2:41" ht="15.75" customHeight="1">
      <c r="D37" s="79"/>
      <c r="E37" s="79"/>
      <c r="F37" s="79"/>
      <c r="G37" s="79"/>
      <c r="H37" s="79"/>
      <c r="I37" s="79"/>
      <c r="J37" s="79"/>
      <c r="K37" s="79"/>
      <c r="L37" s="79"/>
      <c r="M37" s="79"/>
      <c r="N37" s="79"/>
      <c r="O37" s="79"/>
      <c r="P37" s="79"/>
      <c r="Q37" s="79"/>
      <c r="R37" s="79"/>
      <c r="S37" s="79"/>
      <c r="T37" s="79"/>
      <c r="U37" s="79"/>
      <c r="V37" s="79"/>
      <c r="W37" s="79"/>
      <c r="X37" s="79"/>
      <c r="Y37" s="79"/>
      <c r="AA37" s="57"/>
      <c r="AB37" s="57"/>
      <c r="AC37" s="57"/>
      <c r="AD37" s="57"/>
      <c r="AE37" s="57"/>
    </row>
    <row r="38" spans="2:41" ht="15.75" customHeight="1">
      <c r="D38" s="79"/>
      <c r="E38" s="79"/>
      <c r="F38" s="79"/>
      <c r="G38" s="79"/>
      <c r="H38" s="79"/>
      <c r="I38" s="79"/>
      <c r="J38" s="79"/>
      <c r="K38" s="79"/>
      <c r="L38" s="79"/>
      <c r="M38" s="79"/>
      <c r="N38" s="79"/>
      <c r="O38" s="79"/>
      <c r="P38" s="79"/>
      <c r="Q38" s="79"/>
      <c r="R38" s="79"/>
      <c r="S38" s="79"/>
      <c r="T38" s="79"/>
      <c r="U38" s="79"/>
      <c r="V38" s="79"/>
      <c r="W38" s="79"/>
      <c r="X38" s="79"/>
      <c r="Y38" s="79"/>
      <c r="AA38" s="57"/>
      <c r="AB38" s="57"/>
      <c r="AC38" s="57"/>
      <c r="AD38" s="57"/>
      <c r="AE38" s="57"/>
    </row>
    <row r="39" spans="2:41" ht="15.75" customHeight="1">
      <c r="D39" s="79"/>
      <c r="E39" s="79"/>
      <c r="F39" s="79"/>
      <c r="G39" s="79"/>
      <c r="H39" s="79"/>
      <c r="I39" s="79"/>
      <c r="J39" s="79"/>
      <c r="K39" s="79"/>
      <c r="L39" s="79"/>
      <c r="M39" s="79"/>
      <c r="N39" s="79"/>
      <c r="O39" s="79"/>
      <c r="P39" s="79"/>
      <c r="Q39" s="79"/>
      <c r="R39" s="79"/>
      <c r="S39" s="79"/>
      <c r="T39" s="79"/>
      <c r="U39" s="79"/>
      <c r="V39" s="79"/>
      <c r="W39" s="79"/>
      <c r="X39" s="79"/>
      <c r="Y39" s="79"/>
      <c r="AA39" s="57"/>
      <c r="AB39" s="57"/>
      <c r="AC39" s="57"/>
      <c r="AD39" s="57"/>
      <c r="AE39" s="57"/>
    </row>
    <row r="40" spans="2:41" ht="15.75" customHeight="1">
      <c r="D40" s="79"/>
      <c r="E40" s="79"/>
      <c r="F40" s="79"/>
      <c r="G40" s="79"/>
      <c r="H40" s="79"/>
      <c r="I40" s="79"/>
      <c r="J40" s="79"/>
      <c r="K40" s="79"/>
      <c r="L40" s="79"/>
      <c r="M40" s="79"/>
      <c r="N40" s="79"/>
      <c r="O40" s="79"/>
      <c r="P40" s="79"/>
      <c r="Q40" s="79"/>
      <c r="R40" s="79"/>
      <c r="S40" s="79"/>
      <c r="T40" s="79"/>
      <c r="U40" s="79"/>
      <c r="V40" s="79"/>
      <c r="W40" s="79"/>
      <c r="X40" s="79"/>
      <c r="Y40" s="79"/>
      <c r="AA40" s="57"/>
      <c r="AB40" s="57"/>
      <c r="AC40" s="57"/>
      <c r="AD40" s="57"/>
      <c r="AE40" s="57"/>
    </row>
    <row r="41" spans="2:41" ht="15.75" customHeight="1">
      <c r="D41" s="79"/>
      <c r="E41" s="79"/>
      <c r="F41" s="79"/>
      <c r="G41" s="79"/>
      <c r="H41" s="79"/>
      <c r="I41" s="79"/>
      <c r="J41" s="79"/>
      <c r="K41" s="79"/>
      <c r="L41" s="79"/>
      <c r="M41" s="79"/>
      <c r="N41" s="79"/>
      <c r="O41" s="79"/>
      <c r="P41" s="79"/>
      <c r="Q41" s="79"/>
      <c r="R41" s="79"/>
      <c r="S41" s="79"/>
      <c r="T41" s="79"/>
      <c r="U41" s="79"/>
      <c r="V41" s="79"/>
      <c r="W41" s="79"/>
      <c r="X41" s="79"/>
      <c r="Y41" s="79"/>
      <c r="AA41" s="57"/>
      <c r="AB41" s="57"/>
      <c r="AC41" s="57"/>
      <c r="AD41" s="57"/>
      <c r="AE41" s="57"/>
    </row>
    <row r="42" spans="2:41" ht="15.75" customHeight="1">
      <c r="D42" s="79"/>
      <c r="E42" s="79"/>
      <c r="F42" s="79"/>
      <c r="G42" s="79"/>
      <c r="H42" s="79"/>
      <c r="I42" s="79"/>
      <c r="J42" s="79"/>
      <c r="K42" s="79"/>
      <c r="L42" s="79"/>
      <c r="M42" s="79"/>
      <c r="N42" s="79"/>
      <c r="O42" s="79"/>
      <c r="P42" s="79"/>
      <c r="Q42" s="79"/>
      <c r="R42" s="79"/>
      <c r="S42" s="79"/>
      <c r="T42" s="79"/>
      <c r="U42" s="79"/>
      <c r="V42" s="79"/>
      <c r="W42" s="79"/>
      <c r="X42" s="79"/>
      <c r="Y42" s="79"/>
      <c r="AA42" s="57"/>
      <c r="AB42" s="57"/>
      <c r="AC42" s="57"/>
      <c r="AD42" s="57"/>
      <c r="AE42" s="57"/>
    </row>
    <row r="43" spans="2:41" ht="15.75" customHeight="1">
      <c r="D43" s="79"/>
      <c r="E43" s="79"/>
      <c r="F43" s="79"/>
      <c r="G43" s="79"/>
      <c r="H43" s="79"/>
      <c r="I43" s="79"/>
      <c r="J43" s="79"/>
      <c r="K43" s="79"/>
      <c r="L43" s="79"/>
      <c r="M43" s="79"/>
      <c r="N43" s="79"/>
      <c r="O43" s="79"/>
      <c r="P43" s="79"/>
      <c r="Q43" s="79"/>
      <c r="R43" s="79"/>
      <c r="S43" s="79"/>
      <c r="T43" s="79"/>
      <c r="U43" s="79"/>
      <c r="V43" s="79"/>
      <c r="W43" s="79"/>
      <c r="X43" s="79"/>
      <c r="Y43" s="79"/>
      <c r="AA43" s="57"/>
      <c r="AB43" s="57"/>
      <c r="AC43" s="57"/>
      <c r="AD43" s="57"/>
      <c r="AE43" s="57"/>
    </row>
    <row r="44" spans="2:41" ht="15.75" customHeight="1">
      <c r="D44" s="79"/>
      <c r="E44" s="79"/>
      <c r="F44" s="79"/>
      <c r="G44" s="79"/>
      <c r="H44" s="79"/>
      <c r="I44" s="79"/>
      <c r="J44" s="79"/>
      <c r="K44" s="79"/>
      <c r="L44" s="79"/>
      <c r="M44" s="79"/>
      <c r="N44" s="79"/>
      <c r="O44" s="79"/>
      <c r="P44" s="79"/>
      <c r="Q44" s="79"/>
      <c r="R44" s="79"/>
      <c r="S44" s="79"/>
      <c r="T44" s="79"/>
      <c r="U44" s="79"/>
      <c r="V44" s="79"/>
      <c r="W44" s="79"/>
      <c r="X44" s="79"/>
      <c r="Y44" s="79"/>
      <c r="AA44" s="57"/>
      <c r="AB44" s="57"/>
      <c r="AC44" s="57"/>
      <c r="AD44" s="57"/>
      <c r="AE44" s="57"/>
    </row>
    <row r="45" spans="2:41" ht="15.75" customHeight="1">
      <c r="D45" s="79"/>
      <c r="E45" s="79"/>
      <c r="F45" s="79"/>
      <c r="G45" s="79"/>
      <c r="H45" s="79"/>
      <c r="I45" s="79"/>
      <c r="J45" s="79"/>
      <c r="K45" s="79"/>
      <c r="L45" s="79"/>
      <c r="M45" s="79"/>
      <c r="N45" s="79"/>
      <c r="O45" s="79"/>
      <c r="P45" s="79"/>
      <c r="Q45" s="79"/>
      <c r="R45" s="79"/>
      <c r="S45" s="79"/>
      <c r="T45" s="79"/>
      <c r="U45" s="79"/>
      <c r="V45" s="79"/>
      <c r="W45" s="79"/>
      <c r="X45" s="79"/>
      <c r="Y45" s="79"/>
      <c r="AA45" s="57"/>
      <c r="AB45" s="57"/>
      <c r="AC45" s="57"/>
      <c r="AD45" s="57"/>
      <c r="AE45" s="57"/>
    </row>
    <row r="46" spans="2:41" ht="15.75" customHeight="1">
      <c r="D46" s="79"/>
      <c r="E46" s="79"/>
      <c r="F46" s="79"/>
      <c r="G46" s="79"/>
      <c r="H46" s="79"/>
      <c r="I46" s="79"/>
      <c r="J46" s="79"/>
      <c r="K46" s="79"/>
      <c r="L46" s="79"/>
      <c r="M46" s="79"/>
      <c r="N46" s="79"/>
      <c r="O46" s="79"/>
      <c r="P46" s="79"/>
      <c r="Q46" s="79"/>
      <c r="R46" s="79"/>
      <c r="S46" s="79"/>
      <c r="T46" s="79"/>
      <c r="U46" s="79"/>
      <c r="V46" s="79"/>
      <c r="W46" s="79"/>
      <c r="X46" s="79"/>
      <c r="Y46" s="79"/>
      <c r="AA46" s="57"/>
      <c r="AB46" s="57"/>
      <c r="AC46" s="57"/>
      <c r="AD46" s="57"/>
      <c r="AE46" s="57"/>
    </row>
    <row r="47" spans="2:41" ht="15.75" customHeight="1">
      <c r="D47" s="79"/>
      <c r="E47" s="79"/>
      <c r="F47" s="79"/>
      <c r="G47" s="79"/>
      <c r="H47" s="79"/>
      <c r="I47" s="79"/>
      <c r="J47" s="79"/>
      <c r="K47" s="79"/>
      <c r="L47" s="79"/>
      <c r="M47" s="79"/>
      <c r="N47" s="79"/>
      <c r="O47" s="79"/>
      <c r="P47" s="79"/>
      <c r="Q47" s="79"/>
      <c r="R47" s="79"/>
      <c r="S47" s="79"/>
      <c r="T47" s="79"/>
      <c r="U47" s="79"/>
      <c r="V47" s="79"/>
      <c r="W47" s="79"/>
      <c r="X47" s="79"/>
      <c r="Y47" s="79"/>
      <c r="AA47" s="57"/>
      <c r="AB47" s="57"/>
      <c r="AC47" s="57"/>
      <c r="AD47" s="57"/>
      <c r="AE47" s="57"/>
    </row>
    <row r="48" spans="2:41" ht="15.75" customHeight="1">
      <c r="D48" s="79"/>
      <c r="E48" s="79"/>
      <c r="F48" s="79"/>
      <c r="G48" s="79"/>
      <c r="H48" s="79"/>
      <c r="I48" s="79"/>
      <c r="J48" s="79"/>
      <c r="K48" s="79"/>
      <c r="L48" s="79"/>
      <c r="M48" s="79"/>
      <c r="N48" s="79"/>
      <c r="O48" s="79"/>
      <c r="P48" s="79"/>
      <c r="Q48" s="79"/>
      <c r="R48" s="79"/>
      <c r="S48" s="79"/>
      <c r="T48" s="79"/>
      <c r="U48" s="79"/>
      <c r="V48" s="79"/>
      <c r="W48" s="79"/>
      <c r="X48" s="79"/>
      <c r="Y48" s="79"/>
      <c r="AA48" s="57"/>
      <c r="AB48" s="57"/>
      <c r="AC48" s="57"/>
      <c r="AD48" s="57"/>
      <c r="AE48" s="57"/>
    </row>
    <row r="49" spans="2:41" ht="15.75" customHeight="1">
      <c r="D49" s="79"/>
      <c r="E49" s="79"/>
      <c r="F49" s="79"/>
      <c r="G49" s="79"/>
      <c r="H49" s="79"/>
      <c r="I49" s="79"/>
      <c r="J49" s="79"/>
      <c r="K49" s="79"/>
      <c r="L49" s="79"/>
      <c r="M49" s="79"/>
      <c r="N49" s="79"/>
      <c r="O49" s="79"/>
      <c r="P49" s="79"/>
      <c r="Q49" s="79"/>
      <c r="R49" s="79"/>
      <c r="S49" s="79"/>
      <c r="T49" s="79"/>
      <c r="U49" s="79"/>
      <c r="V49" s="79"/>
      <c r="W49" s="79"/>
      <c r="X49" s="79"/>
      <c r="Y49" s="79"/>
      <c r="AA49" s="57"/>
      <c r="AB49" s="57"/>
      <c r="AC49" s="57"/>
      <c r="AD49" s="57"/>
      <c r="AE49" s="57"/>
    </row>
    <row r="50" spans="2:41" ht="15.75" customHeight="1">
      <c r="D50" s="79"/>
      <c r="E50" s="79"/>
      <c r="F50" s="79"/>
      <c r="G50" s="79"/>
      <c r="H50" s="79"/>
      <c r="I50" s="79"/>
      <c r="J50" s="79"/>
      <c r="K50" s="79"/>
      <c r="L50" s="79"/>
      <c r="M50" s="79"/>
      <c r="N50" s="79"/>
      <c r="O50" s="79"/>
      <c r="P50" s="79"/>
      <c r="Q50" s="79"/>
      <c r="R50" s="79"/>
      <c r="S50" s="79"/>
      <c r="T50" s="79"/>
      <c r="U50" s="79"/>
      <c r="V50" s="79"/>
      <c r="W50" s="79"/>
      <c r="X50" s="79"/>
      <c r="Y50" s="79"/>
      <c r="AA50" s="57"/>
      <c r="AB50" s="57"/>
      <c r="AC50" s="57"/>
      <c r="AD50" s="57"/>
      <c r="AE50" s="57"/>
    </row>
    <row r="51" spans="2:41" ht="15.75" customHeight="1">
      <c r="D51" s="79"/>
      <c r="E51" s="79"/>
      <c r="F51" s="79"/>
      <c r="G51" s="79"/>
      <c r="H51" s="79"/>
      <c r="I51" s="79"/>
      <c r="J51" s="79"/>
      <c r="K51" s="79"/>
      <c r="L51" s="79"/>
      <c r="M51" s="79"/>
      <c r="N51" s="79"/>
      <c r="O51" s="79"/>
      <c r="P51" s="79"/>
      <c r="Q51" s="79"/>
      <c r="R51" s="79"/>
      <c r="S51" s="79"/>
      <c r="T51" s="79"/>
      <c r="U51" s="79"/>
      <c r="V51" s="79"/>
      <c r="W51" s="79"/>
      <c r="X51" s="79"/>
      <c r="Y51" s="79"/>
      <c r="AA51" s="57"/>
      <c r="AB51" s="57"/>
      <c r="AC51" s="57"/>
      <c r="AD51" s="57"/>
      <c r="AE51" s="57"/>
    </row>
    <row r="52" spans="2:41" ht="15.75" customHeight="1">
      <c r="D52" s="79"/>
      <c r="E52" s="79"/>
      <c r="F52" s="79"/>
      <c r="G52" s="79"/>
      <c r="H52" s="79"/>
      <c r="I52" s="79"/>
      <c r="J52" s="79"/>
      <c r="K52" s="79"/>
      <c r="L52" s="79"/>
      <c r="M52" s="79"/>
      <c r="N52" s="79"/>
      <c r="O52" s="79"/>
      <c r="P52" s="79"/>
      <c r="Q52" s="79"/>
      <c r="R52" s="79"/>
      <c r="S52" s="79"/>
      <c r="T52" s="79"/>
      <c r="U52" s="79"/>
      <c r="V52" s="79"/>
      <c r="W52" s="79"/>
      <c r="X52" s="79"/>
      <c r="Y52" s="79"/>
      <c r="AA52" s="57"/>
      <c r="AB52" s="57"/>
      <c r="AC52" s="57"/>
      <c r="AD52" s="57"/>
      <c r="AE52" s="57"/>
    </row>
    <row r="53" spans="2:41" ht="15.75" customHeight="1">
      <c r="D53" s="79"/>
      <c r="E53" s="79"/>
      <c r="F53" s="79"/>
      <c r="G53" s="79"/>
      <c r="H53" s="79"/>
      <c r="I53" s="79"/>
      <c r="J53" s="79"/>
      <c r="K53" s="79"/>
      <c r="L53" s="79"/>
      <c r="M53" s="79"/>
      <c r="N53" s="79"/>
      <c r="O53" s="79"/>
      <c r="P53" s="79"/>
      <c r="Q53" s="79"/>
      <c r="R53" s="79"/>
      <c r="S53" s="79"/>
      <c r="T53" s="79"/>
      <c r="U53" s="79"/>
      <c r="V53" s="79"/>
      <c r="W53" s="79"/>
      <c r="X53" s="79"/>
      <c r="Y53" s="79"/>
      <c r="AA53" s="57"/>
      <c r="AB53" s="57"/>
      <c r="AC53" s="57"/>
      <c r="AD53" s="57"/>
      <c r="AE53" s="57"/>
    </row>
    <row r="54" spans="2:41" ht="15.75" customHeight="1">
      <c r="D54" s="79"/>
      <c r="E54" s="79"/>
      <c r="F54" s="79"/>
      <c r="G54" s="79"/>
      <c r="H54" s="79"/>
      <c r="I54" s="79"/>
      <c r="J54" s="79"/>
      <c r="K54" s="79"/>
      <c r="L54" s="79"/>
      <c r="M54" s="79"/>
      <c r="N54" s="79"/>
      <c r="O54" s="79"/>
      <c r="P54" s="79"/>
      <c r="Q54" s="79"/>
      <c r="R54" s="79"/>
      <c r="S54" s="79"/>
      <c r="T54" s="79"/>
      <c r="U54" s="79"/>
      <c r="V54" s="79"/>
      <c r="W54" s="79"/>
      <c r="X54" s="79"/>
      <c r="Y54" s="79"/>
      <c r="AA54" s="57"/>
      <c r="AB54" s="57"/>
      <c r="AC54" s="57"/>
      <c r="AD54" s="57"/>
      <c r="AE54" s="57"/>
    </row>
    <row r="55" spans="2:41" ht="15.75" customHeight="1">
      <c r="D55" s="79"/>
      <c r="E55" s="79"/>
      <c r="F55" s="79"/>
      <c r="G55" s="79"/>
      <c r="H55" s="79"/>
      <c r="I55" s="79"/>
      <c r="J55" s="79"/>
      <c r="K55" s="79"/>
      <c r="L55" s="79"/>
      <c r="M55" s="79"/>
      <c r="N55" s="79"/>
      <c r="O55" s="79"/>
      <c r="P55" s="79"/>
      <c r="Q55" s="79"/>
      <c r="R55" s="79"/>
      <c r="S55" s="79"/>
      <c r="T55" s="79"/>
      <c r="U55" s="79"/>
      <c r="V55" s="79"/>
      <c r="W55" s="79"/>
      <c r="X55" s="79"/>
      <c r="Y55" s="79"/>
      <c r="AA55" s="57"/>
      <c r="AB55" s="57"/>
      <c r="AC55" s="57"/>
      <c r="AD55" s="57"/>
      <c r="AE55" s="57"/>
    </row>
    <row r="56" spans="2:41" ht="15.75" customHeight="1">
      <c r="D56" s="79"/>
      <c r="E56" s="79"/>
      <c r="F56" s="79"/>
      <c r="G56" s="79"/>
      <c r="H56" s="79"/>
      <c r="I56" s="79"/>
      <c r="J56" s="79"/>
      <c r="K56" s="79"/>
      <c r="L56" s="79"/>
      <c r="M56" s="79"/>
      <c r="N56" s="79"/>
      <c r="O56" s="79"/>
      <c r="P56" s="79"/>
      <c r="Q56" s="79"/>
      <c r="R56" s="79"/>
      <c r="S56" s="79"/>
      <c r="T56" s="79"/>
      <c r="U56" s="79"/>
      <c r="V56" s="79"/>
      <c r="W56" s="79"/>
      <c r="X56" s="79"/>
      <c r="Y56" s="79"/>
      <c r="AA56" s="57"/>
      <c r="AB56" s="57"/>
      <c r="AC56" s="57"/>
      <c r="AD56" s="57"/>
      <c r="AE56" s="57"/>
    </row>
    <row r="57" spans="2:41" ht="15.75" customHeight="1">
      <c r="D57" s="79"/>
      <c r="E57" s="79"/>
      <c r="F57" s="79"/>
      <c r="G57" s="79"/>
      <c r="H57" s="79"/>
      <c r="I57" s="79"/>
      <c r="J57" s="79"/>
      <c r="K57" s="79"/>
      <c r="L57" s="79"/>
      <c r="M57" s="79"/>
      <c r="N57" s="79"/>
      <c r="O57" s="79"/>
      <c r="P57" s="79"/>
      <c r="Q57" s="79"/>
      <c r="R57" s="79"/>
      <c r="S57" s="79"/>
      <c r="T57" s="79"/>
      <c r="U57" s="79"/>
      <c r="V57" s="79"/>
      <c r="W57" s="79"/>
      <c r="X57" s="79"/>
      <c r="Y57" s="79"/>
      <c r="AA57" s="57"/>
      <c r="AB57" s="57"/>
      <c r="AC57" s="57"/>
      <c r="AD57" s="57"/>
      <c r="AE57" s="57"/>
    </row>
    <row r="58" spans="2:41" ht="15.75" customHeight="1">
      <c r="D58" s="79"/>
      <c r="E58" s="79"/>
      <c r="F58" s="79"/>
      <c r="G58" s="79"/>
      <c r="H58" s="79"/>
      <c r="I58" s="79"/>
      <c r="J58" s="79"/>
      <c r="K58" s="79"/>
      <c r="L58" s="79"/>
      <c r="M58" s="79"/>
      <c r="N58" s="79"/>
      <c r="O58" s="79"/>
      <c r="P58" s="79"/>
      <c r="Q58" s="79"/>
      <c r="R58" s="79"/>
      <c r="S58" s="79"/>
      <c r="T58" s="79"/>
      <c r="U58" s="79"/>
      <c r="V58" s="79"/>
      <c r="W58" s="79"/>
      <c r="X58" s="79"/>
      <c r="Y58" s="79"/>
      <c r="AA58" s="57"/>
      <c r="AB58" s="57"/>
      <c r="AC58" s="57"/>
      <c r="AD58" s="57"/>
      <c r="AE58" s="57"/>
    </row>
    <row r="59" spans="2:41" ht="15.75" customHeight="1">
      <c r="D59" s="79"/>
      <c r="E59" s="79"/>
      <c r="F59" s="79"/>
      <c r="G59" s="79"/>
      <c r="H59" s="79"/>
      <c r="I59" s="79"/>
      <c r="J59" s="79"/>
      <c r="K59" s="79"/>
      <c r="L59" s="79"/>
      <c r="M59" s="79"/>
      <c r="N59" s="79"/>
      <c r="O59" s="79"/>
      <c r="P59" s="79"/>
      <c r="Q59" s="79"/>
      <c r="R59" s="79"/>
      <c r="S59" s="79"/>
      <c r="T59" s="79"/>
      <c r="U59" s="79"/>
      <c r="V59" s="79"/>
      <c r="W59" s="79"/>
      <c r="X59" s="79"/>
      <c r="Y59" s="79"/>
      <c r="AA59" s="57"/>
      <c r="AB59" s="57"/>
      <c r="AC59" s="57"/>
      <c r="AD59" s="57"/>
      <c r="AE59" s="57"/>
    </row>
    <row r="60" spans="2:41" ht="15.75" customHeight="1">
      <c r="D60" s="79"/>
      <c r="E60" s="79"/>
      <c r="F60" s="79"/>
      <c r="G60" s="79"/>
      <c r="H60" s="79"/>
      <c r="I60" s="79"/>
      <c r="J60" s="79"/>
      <c r="K60" s="79"/>
      <c r="L60" s="79"/>
      <c r="M60" s="79"/>
      <c r="N60" s="79"/>
      <c r="O60" s="79"/>
      <c r="P60" s="79"/>
      <c r="Q60" s="79"/>
      <c r="R60" s="79"/>
      <c r="S60" s="79"/>
      <c r="T60" s="79"/>
      <c r="U60" s="79"/>
      <c r="V60" s="79"/>
      <c r="W60" s="79"/>
      <c r="X60" s="79"/>
      <c r="Y60" s="79"/>
      <c r="AA60" s="57"/>
      <c r="AB60" s="57"/>
      <c r="AC60" s="57"/>
      <c r="AD60" s="57"/>
      <c r="AE60" s="57"/>
    </row>
    <row r="61" spans="2:41" ht="15.75" customHeight="1">
      <c r="D61" s="79"/>
      <c r="E61" s="79"/>
      <c r="F61" s="79"/>
      <c r="G61" s="79"/>
      <c r="H61" s="79"/>
      <c r="I61" s="79"/>
      <c r="J61" s="79"/>
      <c r="K61" s="79"/>
      <c r="L61" s="79"/>
      <c r="M61" s="79"/>
      <c r="N61" s="79"/>
      <c r="O61" s="79"/>
      <c r="P61" s="79"/>
      <c r="Q61" s="79"/>
      <c r="R61" s="79"/>
      <c r="S61" s="79"/>
      <c r="T61" s="79"/>
      <c r="U61" s="79"/>
      <c r="V61" s="79"/>
      <c r="W61" s="79"/>
      <c r="X61" s="79"/>
      <c r="Y61" s="79"/>
      <c r="AA61" s="57"/>
      <c r="AB61" s="57"/>
      <c r="AC61" s="57"/>
      <c r="AD61" s="57"/>
      <c r="AE61" s="57"/>
    </row>
    <row r="62" spans="2:41" ht="15.75" customHeight="1">
      <c r="D62" s="79"/>
      <c r="E62" s="79"/>
      <c r="F62" s="79"/>
      <c r="G62" s="79"/>
      <c r="H62" s="79"/>
      <c r="I62" s="79"/>
      <c r="J62" s="79"/>
      <c r="K62" s="79"/>
      <c r="L62" s="79"/>
      <c r="M62" s="79"/>
      <c r="N62" s="79"/>
      <c r="O62" s="79"/>
      <c r="P62" s="79"/>
      <c r="Q62" s="79"/>
      <c r="R62" s="79"/>
      <c r="S62" s="79"/>
      <c r="T62" s="79"/>
      <c r="U62" s="79"/>
      <c r="V62" s="79"/>
      <c r="W62" s="79"/>
      <c r="X62" s="79"/>
      <c r="Y62" s="79"/>
      <c r="AA62" s="57"/>
      <c r="AB62" s="57"/>
      <c r="AC62" s="57"/>
      <c r="AD62" s="57"/>
      <c r="AE62" s="57"/>
    </row>
    <row r="63" spans="2:41" ht="15.75" customHeight="1">
      <c r="D63" s="79"/>
      <c r="E63" s="79"/>
      <c r="F63" s="79"/>
      <c r="G63" s="79"/>
      <c r="H63" s="79"/>
      <c r="I63" s="79"/>
      <c r="J63" s="79"/>
      <c r="K63" s="79"/>
      <c r="L63" s="79"/>
      <c r="M63" s="79"/>
      <c r="N63" s="79"/>
      <c r="O63" s="79"/>
      <c r="P63" s="79"/>
      <c r="Q63" s="79"/>
      <c r="R63" s="79"/>
      <c r="S63" s="79"/>
      <c r="T63" s="79"/>
      <c r="U63" s="79"/>
      <c r="V63" s="79"/>
      <c r="W63" s="79"/>
      <c r="X63" s="79"/>
      <c r="Y63" s="79"/>
      <c r="AA63" s="57"/>
      <c r="AB63" s="57"/>
      <c r="AC63" s="57"/>
      <c r="AD63" s="57"/>
      <c r="AE63" s="57"/>
    </row>
    <row r="64" spans="2:41" ht="15.75" customHeight="1">
      <c r="B64" s="272" t="s">
        <v>129</v>
      </c>
      <c r="C64" s="268"/>
      <c r="D64" s="268"/>
      <c r="E64" s="268"/>
      <c r="F64" s="268"/>
      <c r="G64" s="268"/>
      <c r="H64" s="268"/>
      <c r="I64" s="268"/>
      <c r="J64" s="268"/>
      <c r="K64" s="268"/>
      <c r="L64" s="268"/>
      <c r="M64" s="268"/>
      <c r="N64" s="268"/>
      <c r="O64" s="268"/>
      <c r="P64" s="268"/>
      <c r="Q64" s="268"/>
      <c r="R64" s="268"/>
      <c r="S64" s="268"/>
      <c r="T64" s="268"/>
      <c r="U64" s="268"/>
      <c r="V64" s="268"/>
      <c r="W64" s="268"/>
      <c r="X64" s="268"/>
      <c r="Y64" s="268"/>
      <c r="Z64" s="268"/>
      <c r="AA64" s="268"/>
      <c r="AB64" s="268"/>
      <c r="AC64" s="268"/>
      <c r="AD64" s="268"/>
      <c r="AE64" s="268"/>
      <c r="AF64" s="268"/>
      <c r="AG64" s="268"/>
      <c r="AH64" s="268"/>
      <c r="AI64" s="268"/>
      <c r="AJ64" s="268"/>
      <c r="AK64" s="268"/>
      <c r="AL64" s="268"/>
      <c r="AM64" s="268"/>
      <c r="AN64" s="268"/>
      <c r="AO64" s="268"/>
    </row>
    <row r="65" spans="2:5" ht="15.75" customHeight="1">
      <c r="C65" s="111">
        <f>$Y$33/10^3</f>
        <v>213.2258302125592</v>
      </c>
      <c r="D65" s="112">
        <f>$AE$33</f>
        <v>0.30871957285060136</v>
      </c>
      <c r="E65" s="90">
        <f>$Y$23</f>
        <v>15.914910077368692</v>
      </c>
    </row>
    <row r="66" spans="2:5" ht="15.75" customHeight="1">
      <c r="B66" s="8" t="s">
        <v>3</v>
      </c>
      <c r="C66" s="111">
        <v>6.5048164465026801</v>
      </c>
      <c r="D66" s="112">
        <v>0.10834493777551524</v>
      </c>
      <c r="E66" s="90">
        <v>0</v>
      </c>
    </row>
    <row r="67" spans="2:5" ht="15.75" customHeight="1">
      <c r="B67" s="8" t="s">
        <v>4</v>
      </c>
      <c r="C67" s="111">
        <v>19.160762026075282</v>
      </c>
      <c r="D67" s="112">
        <v>0.16685458955265897</v>
      </c>
      <c r="E67" s="90">
        <v>0.98805319617612719</v>
      </c>
    </row>
    <row r="68" spans="2:5" ht="15.75" customHeight="1">
      <c r="B68" s="8" t="s">
        <v>5</v>
      </c>
      <c r="C68" s="111">
        <v>107.75238108308346</v>
      </c>
      <c r="D68" s="112">
        <v>0.26686896104470104</v>
      </c>
      <c r="E68" s="90">
        <v>7.9044255694090175</v>
      </c>
    </row>
    <row r="69" spans="2:5" ht="15.75" customHeight="1">
      <c r="B69" s="8" t="s">
        <v>6</v>
      </c>
      <c r="C69" s="111">
        <v>158.48442332368464</v>
      </c>
      <c r="D69" s="112">
        <v>0.29035951777444047</v>
      </c>
      <c r="E69" s="90">
        <v>11.803608884838194</v>
      </c>
    </row>
    <row r="70" spans="2:5" ht="15.75" customHeight="1">
      <c r="B70" s="8" t="s">
        <v>7</v>
      </c>
      <c r="C70" s="111">
        <v>213.2258302125592</v>
      </c>
      <c r="D70" s="112">
        <v>0.30871957285060136</v>
      </c>
      <c r="E70" s="90">
        <v>15.914910077368692</v>
      </c>
    </row>
    <row r="71" spans="2:5" ht="15.75" customHeight="1"/>
    <row r="72" spans="2:5" ht="15.75" customHeight="1"/>
    <row r="73" spans="2:5" ht="15.75" customHeight="1"/>
    <row r="74" spans="2:5" ht="15.75" customHeight="1"/>
    <row r="75" spans="2:5" ht="15.75" customHeight="1"/>
    <row r="76" spans="2:5" ht="15.75" customHeight="1"/>
    <row r="77" spans="2:5" ht="15.75" customHeight="1"/>
    <row r="78" spans="2:5" ht="15.75" customHeight="1"/>
    <row r="79" spans="2:5" ht="15.75" customHeight="1"/>
    <row r="80" spans="2: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35:AO35"/>
    <mergeCell ref="B64:AO64"/>
    <mergeCell ref="B3:AH3"/>
    <mergeCell ref="AK3:AO3"/>
    <mergeCell ref="B17:AH17"/>
    <mergeCell ref="D18:Y18"/>
    <mergeCell ref="AA18:AE18"/>
    <mergeCell ref="AG18:AH18"/>
  </mergeCells>
  <conditionalFormatting sqref="E11:Y11">
    <cfRule type="expression" dxfId="5" priority="1">
      <formula>E11=$T$1</formula>
    </cfRule>
  </conditionalFormatting>
  <hyperlinks>
    <hyperlink ref="AG1" location="SelectedCase" display="Base" xr:uid="{00000000-0004-0000-0300-000000000000}"/>
    <hyperlink ref="BN1" location="SelectedCase" display="SelectedCase" xr:uid="{00000000-0004-0000-0300-000001000000}"/>
  </hyperlinks>
  <pageMargins left="0.7" right="0.7" top="0.75" bottom="0.75" header="0" footer="0"/>
  <pageSetup orientation="portrait"/>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Cover!$A$5:$E$5</xm:f>
          </x14:formula1>
          <xm:sqref>T1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AE2D5"/>
    <pageSetUpPr fitToPage="1"/>
  </sheetPr>
  <dimension ref="B1:AR1000"/>
  <sheetViews>
    <sheetView showGridLines="0" workbookViewId="0">
      <pane ySplit="1" topLeftCell="A2" activePane="bottomLeft" state="frozen"/>
      <selection pane="bottomLeft" activeCell="B3" sqref="B3"/>
    </sheetView>
  </sheetViews>
  <sheetFormatPr defaultColWidth="12.5703125" defaultRowHeight="15" customHeight="1" outlineLevelRow="1" outlineLevelCol="1"/>
  <cols>
    <col min="1" max="1" width="0.85546875" customWidth="1"/>
    <col min="2" max="5" width="13.140625" customWidth="1"/>
    <col min="6" max="9" width="14.42578125" hidden="1" customWidth="1" outlineLevel="1"/>
    <col min="10" max="10" width="13.140625" customWidth="1"/>
    <col min="11" max="14" width="14.42578125" hidden="1" customWidth="1" outlineLevel="1"/>
    <col min="15" max="15" width="11.42578125" customWidth="1"/>
    <col min="16" max="19" width="14.42578125" hidden="1" customWidth="1" outlineLevel="1"/>
    <col min="20" max="20" width="13.140625" customWidth="1"/>
    <col min="21" max="24" width="14.42578125" hidden="1" customWidth="1" outlineLevel="1"/>
    <col min="25" max="25" width="13.140625" customWidth="1"/>
    <col min="26" max="26" width="1.5703125" customWidth="1"/>
    <col min="27" max="27" width="10.42578125" hidden="1" customWidth="1" outlineLevel="1"/>
    <col min="28" max="30" width="8.85546875" hidden="1" customWidth="1" outlineLevel="1"/>
    <col min="31" max="31" width="13.140625" customWidth="1"/>
    <col min="32" max="32" width="1.5703125" hidden="1" customWidth="1" outlineLevel="1"/>
    <col min="33" max="34" width="13.140625" hidden="1" customWidth="1" outlineLevel="1"/>
    <col min="35" max="35" width="1.5703125" customWidth="1"/>
    <col min="36" max="36" width="11.85546875" customWidth="1"/>
    <col min="37" max="37" width="15.42578125" customWidth="1"/>
    <col min="38" max="42" width="11.85546875" customWidth="1"/>
    <col min="43" max="43" width="8.140625" customWidth="1"/>
    <col min="44" max="44" width="9.140625" customWidth="1"/>
  </cols>
  <sheetData>
    <row r="1" spans="2:44">
      <c r="B1" s="9" t="s">
        <v>26</v>
      </c>
      <c r="C1" s="9"/>
      <c r="D1" s="11" t="s">
        <v>130</v>
      </c>
      <c r="E1" s="10"/>
      <c r="F1" s="113"/>
      <c r="G1" s="113"/>
      <c r="H1" s="113"/>
      <c r="I1" s="113"/>
      <c r="K1" s="10"/>
      <c r="L1" s="10"/>
      <c r="M1" s="10"/>
      <c r="N1" s="10"/>
      <c r="O1" s="114" t="s">
        <v>98</v>
      </c>
      <c r="P1" s="10"/>
      <c r="Q1" s="10"/>
      <c r="R1" s="10"/>
      <c r="S1" s="10"/>
      <c r="T1" s="93" t="s">
        <v>5</v>
      </c>
      <c r="U1" s="10"/>
      <c r="V1" s="10"/>
      <c r="W1" s="10"/>
      <c r="X1" s="10"/>
      <c r="Z1" s="10"/>
      <c r="AA1" s="10"/>
      <c r="AB1" s="10"/>
      <c r="AC1" s="10"/>
      <c r="AD1" s="10"/>
      <c r="AE1" s="234" t="s">
        <v>99</v>
      </c>
      <c r="AF1" s="115"/>
      <c r="AG1" s="115"/>
      <c r="AH1" s="115"/>
      <c r="AI1" s="222"/>
      <c r="AJ1" s="223" t="s">
        <v>31</v>
      </c>
      <c r="AK1" s="10"/>
      <c r="AL1" s="10"/>
      <c r="AM1" s="10"/>
      <c r="AN1" s="10"/>
      <c r="AO1" s="10"/>
      <c r="AP1" s="10"/>
    </row>
    <row r="2" spans="2:44" ht="3.75" customHeight="1"/>
    <row r="3" spans="2:44">
      <c r="B3" s="272" t="s">
        <v>27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c r="AH3" s="268"/>
      <c r="AJ3" s="272" t="s">
        <v>101</v>
      </c>
      <c r="AK3" s="268"/>
      <c r="AL3" s="268"/>
      <c r="AM3" s="268"/>
      <c r="AN3" s="268"/>
      <c r="AO3" s="268"/>
      <c r="AP3" s="268"/>
    </row>
    <row r="4" spans="2:44" ht="15" customHeight="1">
      <c r="B4" s="8" t="s">
        <v>131</v>
      </c>
      <c r="C4" s="8"/>
      <c r="D4" s="97">
        <v>100</v>
      </c>
      <c r="J4" s="8" t="s">
        <v>102</v>
      </c>
      <c r="O4" s="95">
        <v>0</v>
      </c>
      <c r="Y4" s="116" t="s">
        <v>132</v>
      </c>
      <c r="AE4" s="38">
        <v>0.4</v>
      </c>
      <c r="AJ4" s="185"/>
      <c r="AK4" s="276" t="s">
        <v>133</v>
      </c>
      <c r="AL4" s="277" t="s">
        <v>134</v>
      </c>
      <c r="AM4" s="186"/>
      <c r="AN4" s="186"/>
      <c r="AO4" s="186"/>
      <c r="AP4" s="186"/>
    </row>
    <row r="5" spans="2:44">
      <c r="B5" s="8" t="s">
        <v>135</v>
      </c>
      <c r="D5" s="38">
        <v>0.05</v>
      </c>
      <c r="E5" s="117"/>
      <c r="J5" s="8" t="s">
        <v>136</v>
      </c>
      <c r="O5" s="97">
        <v>200</v>
      </c>
      <c r="T5" s="118"/>
      <c r="U5" s="52"/>
      <c r="Y5" s="18" t="s">
        <v>137</v>
      </c>
      <c r="AE5" s="42">
        <f>(1-AE4)*Macro!AD12</f>
        <v>1.2E-2</v>
      </c>
      <c r="AJ5" s="185" t="s">
        <v>42</v>
      </c>
      <c r="AK5" s="268"/>
      <c r="AL5" s="268"/>
      <c r="AM5" s="186" t="s">
        <v>105</v>
      </c>
      <c r="AN5" s="186" t="s">
        <v>106</v>
      </c>
      <c r="AO5" s="186" t="s">
        <v>107</v>
      </c>
      <c r="AP5" s="186" t="s">
        <v>108</v>
      </c>
    </row>
    <row r="6" spans="2:44">
      <c r="B6" s="8" t="s">
        <v>138</v>
      </c>
      <c r="D6" s="97">
        <v>1000</v>
      </c>
      <c r="E6" s="119"/>
      <c r="J6" s="8" t="s">
        <v>139</v>
      </c>
      <c r="O6" s="38">
        <v>0.1</v>
      </c>
      <c r="T6" s="57"/>
      <c r="Y6" s="18" t="s">
        <v>140</v>
      </c>
      <c r="AE6" s="38">
        <v>0.37</v>
      </c>
      <c r="AJ6" s="1">
        <v>2024</v>
      </c>
      <c r="AK6" s="120" t="str">
        <f t="shared" ref="AK6:AK27" ca="1" si="0">HLOOKUP($AJ6,$D$19:$Y$48,30)/10^3</f>
        <v>#REF!</v>
      </c>
      <c r="AL6" s="121" t="str">
        <f t="shared" ref="AL6:AL27" ca="1" si="1">HLOOKUP($AJ6,$D$19:$Y$48,26)/10^3</f>
        <v>#REF!</v>
      </c>
      <c r="AM6" s="121" t="str">
        <f t="shared" ref="AM6:AM27" ca="1" si="2">HLOOKUP($AJ6,$D$19:$Y$48,6)/10^3</f>
        <v>#REF!</v>
      </c>
      <c r="AN6" s="121" t="str">
        <f t="shared" ref="AN6:AN27" ca="1" si="3">HLOOKUP($AJ6,$D$19:$Y$48,7)/10^3</f>
        <v>#REF!</v>
      </c>
      <c r="AO6" s="121" t="str">
        <f t="shared" ref="AO6:AO27" ca="1" si="4">AM6-AN6</f>
        <v>#REF!</v>
      </c>
      <c r="AP6" s="122" t="str">
        <f t="shared" ref="AP6:AP27" ca="1" si="5">HLOOKUP($AJ6,$D$19:$Y$48,3)/10^3</f>
        <v>#REF!</v>
      </c>
    </row>
    <row r="7" spans="2:44">
      <c r="B7" s="72" t="s">
        <v>141</v>
      </c>
      <c r="C7" s="72"/>
      <c r="D7" s="123">
        <f>D6/D4</f>
        <v>10</v>
      </c>
      <c r="E7" s="124"/>
      <c r="J7" s="52" t="s">
        <v>142</v>
      </c>
      <c r="O7" s="97">
        <v>50</v>
      </c>
      <c r="T7" s="125"/>
      <c r="U7" s="90"/>
      <c r="AJ7" s="54">
        <f t="shared" ref="AJ7:AJ27" si="6">AJ6+1</f>
        <v>2025</v>
      </c>
      <c r="AK7" s="126" t="str">
        <f t="shared" ca="1" si="0"/>
        <v>#REF!</v>
      </c>
      <c r="AL7" s="127" t="str">
        <f t="shared" ca="1" si="1"/>
        <v>#REF!</v>
      </c>
      <c r="AM7" s="127" t="str">
        <f t="shared" ca="1" si="2"/>
        <v>#REF!</v>
      </c>
      <c r="AN7" s="127" t="str">
        <f t="shared" ca="1" si="3"/>
        <v>#REF!</v>
      </c>
      <c r="AO7" s="127" t="str">
        <f t="shared" ca="1" si="4"/>
        <v>#REF!</v>
      </c>
      <c r="AP7" s="128" t="str">
        <f t="shared" ca="1" si="5"/>
        <v>#REF!</v>
      </c>
    </row>
    <row r="8" spans="2:44">
      <c r="B8" s="8" t="s">
        <v>143</v>
      </c>
      <c r="C8" s="8"/>
      <c r="D8" s="97">
        <v>100</v>
      </c>
      <c r="E8" s="124"/>
      <c r="J8" s="8" t="s">
        <v>144</v>
      </c>
      <c r="O8" s="52">
        <f>D6-O5+O7+O4*D22/10^3</f>
        <v>850</v>
      </c>
      <c r="T8" s="125"/>
      <c r="U8" s="90"/>
      <c r="AJ8" s="1">
        <f t="shared" si="6"/>
        <v>2026</v>
      </c>
      <c r="AK8" s="120" t="str">
        <f t="shared" ca="1" si="0"/>
        <v>#REF!</v>
      </c>
      <c r="AL8" s="121" t="str">
        <f t="shared" ca="1" si="1"/>
        <v>#REF!</v>
      </c>
      <c r="AM8" s="121" t="str">
        <f t="shared" ca="1" si="2"/>
        <v>#REF!</v>
      </c>
      <c r="AN8" s="121" t="str">
        <f t="shared" ca="1" si="3"/>
        <v>#REF!</v>
      </c>
      <c r="AO8" s="121" t="str">
        <f t="shared" ca="1" si="4"/>
        <v>#REF!</v>
      </c>
      <c r="AP8" s="122" t="str">
        <f t="shared" ca="1" si="5"/>
        <v>#REF!</v>
      </c>
      <c r="AR8" s="129"/>
    </row>
    <row r="9" spans="2:44">
      <c r="B9" s="72" t="s">
        <v>145</v>
      </c>
      <c r="C9" s="72"/>
      <c r="D9" s="130">
        <f>O8*10^6/D8</f>
        <v>8500000</v>
      </c>
      <c r="E9" s="119"/>
      <c r="J9" s="57"/>
      <c r="O9" s="57"/>
      <c r="T9" s="57"/>
      <c r="AJ9" s="1">
        <f t="shared" si="6"/>
        <v>2027</v>
      </c>
      <c r="AK9" s="120" t="str">
        <f t="shared" ca="1" si="0"/>
        <v>#REF!</v>
      </c>
      <c r="AL9" s="121" t="str">
        <f t="shared" ca="1" si="1"/>
        <v>#REF!</v>
      </c>
      <c r="AM9" s="121" t="str">
        <f t="shared" ca="1" si="2"/>
        <v>#REF!</v>
      </c>
      <c r="AN9" s="121" t="str">
        <f t="shared" ca="1" si="3"/>
        <v>#REF!</v>
      </c>
      <c r="AO9" s="121" t="str">
        <f t="shared" ca="1" si="4"/>
        <v>#REF!</v>
      </c>
      <c r="AP9" s="122" t="str">
        <f t="shared" ca="1" si="5"/>
        <v>#REF!</v>
      </c>
    </row>
    <row r="10" spans="2:44">
      <c r="D10" s="103" t="s">
        <v>3</v>
      </c>
      <c r="E10" s="103" t="s">
        <v>4</v>
      </c>
      <c r="J10" s="103" t="s">
        <v>5</v>
      </c>
      <c r="O10" s="103" t="s">
        <v>6</v>
      </c>
      <c r="T10" s="103" t="s">
        <v>7</v>
      </c>
      <c r="V10" s="1" t="str">
        <f>T1</f>
        <v>BTC Maxi</v>
      </c>
      <c r="AJ10" s="1">
        <f t="shared" si="6"/>
        <v>2028</v>
      </c>
      <c r="AK10" s="120" t="str">
        <f t="shared" ca="1" si="0"/>
        <v>#REF!</v>
      </c>
      <c r="AL10" s="121" t="str">
        <f t="shared" ca="1" si="1"/>
        <v>#REF!</v>
      </c>
      <c r="AM10" s="121" t="str">
        <f t="shared" ca="1" si="2"/>
        <v>#REF!</v>
      </c>
      <c r="AN10" s="121" t="str">
        <f t="shared" ca="1" si="3"/>
        <v>#REF!</v>
      </c>
      <c r="AO10" s="121" t="str">
        <f t="shared" ca="1" si="4"/>
        <v>#REF!</v>
      </c>
      <c r="AP10" s="122" t="str">
        <f t="shared" ca="1" si="5"/>
        <v>#REF!</v>
      </c>
    </row>
    <row r="11" spans="2:44" ht="15" customHeight="1">
      <c r="B11" s="8" t="s">
        <v>146</v>
      </c>
      <c r="C11" s="8"/>
      <c r="D11" s="38">
        <v>0</v>
      </c>
      <c r="E11" s="38">
        <v>0.1</v>
      </c>
      <c r="F11" s="38"/>
      <c r="G11" s="38"/>
      <c r="H11" s="38"/>
      <c r="I11" s="38"/>
      <c r="J11" s="38">
        <v>0.8</v>
      </c>
      <c r="K11" s="38"/>
      <c r="L11" s="38"/>
      <c r="M11" s="38"/>
      <c r="N11" s="38"/>
      <c r="O11" s="38">
        <v>1</v>
      </c>
      <c r="P11" s="38"/>
      <c r="Q11" s="38"/>
      <c r="R11" s="38"/>
      <c r="S11" s="38"/>
      <c r="T11" s="38">
        <v>1</v>
      </c>
      <c r="V11" s="104">
        <f t="shared" ref="V11:V15" si="7">INDEX($B$10:$T$15,MATCH(B11,$B$10:$B$15,0),MATCH($V$10,$B$10:$T$10,0))</f>
        <v>0.8</v>
      </c>
      <c r="AJ11" s="1">
        <f t="shared" si="6"/>
        <v>2029</v>
      </c>
      <c r="AK11" s="120" t="str">
        <f t="shared" ca="1" si="0"/>
        <v>#REF!</v>
      </c>
      <c r="AL11" s="121" t="str">
        <f t="shared" ca="1" si="1"/>
        <v>#REF!</v>
      </c>
      <c r="AM11" s="121" t="str">
        <f t="shared" ca="1" si="2"/>
        <v>#REF!</v>
      </c>
      <c r="AN11" s="121" t="str">
        <f t="shared" ca="1" si="3"/>
        <v>#REF!</v>
      </c>
      <c r="AO11" s="121" t="str">
        <f t="shared" ca="1" si="4"/>
        <v>#REF!</v>
      </c>
      <c r="AP11" s="122" t="str">
        <f t="shared" ca="1" si="5"/>
        <v>#REF!</v>
      </c>
    </row>
    <row r="12" spans="2:44">
      <c r="B12" s="8" t="s">
        <v>147</v>
      </c>
      <c r="C12" s="8"/>
      <c r="D12" s="38">
        <v>0</v>
      </c>
      <c r="E12" s="38">
        <v>9.9999999999999978E-2</v>
      </c>
      <c r="F12" s="38">
        <v>1</v>
      </c>
      <c r="G12" s="38">
        <v>1</v>
      </c>
      <c r="H12" s="38">
        <v>1</v>
      </c>
      <c r="I12" s="38">
        <v>1</v>
      </c>
      <c r="J12" s="38">
        <v>0.8</v>
      </c>
      <c r="K12" s="38">
        <v>1</v>
      </c>
      <c r="L12" s="38">
        <v>1</v>
      </c>
      <c r="M12" s="38">
        <v>1</v>
      </c>
      <c r="N12" s="38">
        <v>1</v>
      </c>
      <c r="O12" s="38">
        <v>1</v>
      </c>
      <c r="P12" s="38">
        <v>1</v>
      </c>
      <c r="Q12" s="38">
        <v>1</v>
      </c>
      <c r="R12" s="38">
        <v>1</v>
      </c>
      <c r="S12" s="38">
        <v>1</v>
      </c>
      <c r="T12" s="38">
        <v>1</v>
      </c>
      <c r="V12" s="104">
        <f t="shared" si="7"/>
        <v>0.8</v>
      </c>
      <c r="AJ12" s="54">
        <f t="shared" si="6"/>
        <v>2030</v>
      </c>
      <c r="AK12" s="126" t="str">
        <f t="shared" ca="1" si="0"/>
        <v>#REF!</v>
      </c>
      <c r="AL12" s="127" t="str">
        <f t="shared" ca="1" si="1"/>
        <v>#REF!</v>
      </c>
      <c r="AM12" s="127" t="str">
        <f t="shared" ca="1" si="2"/>
        <v>#REF!</v>
      </c>
      <c r="AN12" s="127" t="str">
        <f t="shared" ca="1" si="3"/>
        <v>#REF!</v>
      </c>
      <c r="AO12" s="127" t="str">
        <f t="shared" ca="1" si="4"/>
        <v>#REF!</v>
      </c>
      <c r="AP12" s="128" t="str">
        <f t="shared" ca="1" si="5"/>
        <v>#REF!</v>
      </c>
    </row>
    <row r="13" spans="2:44">
      <c r="B13" s="8" t="s">
        <v>148</v>
      </c>
      <c r="C13" s="8"/>
      <c r="D13" s="38">
        <v>0</v>
      </c>
      <c r="E13" s="38">
        <v>0</v>
      </c>
      <c r="F13" s="38"/>
      <c r="G13" s="38"/>
      <c r="H13" s="38"/>
      <c r="I13" s="38"/>
      <c r="J13" s="38">
        <v>0</v>
      </c>
      <c r="K13" s="38"/>
      <c r="L13" s="38"/>
      <c r="M13" s="38"/>
      <c r="N13" s="38"/>
      <c r="O13" s="38">
        <v>0.05</v>
      </c>
      <c r="P13" s="38"/>
      <c r="Q13" s="38"/>
      <c r="R13" s="38"/>
      <c r="S13" s="38"/>
      <c r="T13" s="38">
        <v>0.05</v>
      </c>
      <c r="V13" s="104">
        <f t="shared" si="7"/>
        <v>0</v>
      </c>
      <c r="AJ13" s="1">
        <f t="shared" si="6"/>
        <v>2031</v>
      </c>
      <c r="AK13" s="120" t="str">
        <f t="shared" ca="1" si="0"/>
        <v>#REF!</v>
      </c>
      <c r="AL13" s="121" t="str">
        <f t="shared" ca="1" si="1"/>
        <v>#REF!</v>
      </c>
      <c r="AM13" s="121" t="str">
        <f t="shared" ca="1" si="2"/>
        <v>#REF!</v>
      </c>
      <c r="AN13" s="121" t="str">
        <f t="shared" ca="1" si="3"/>
        <v>#REF!</v>
      </c>
      <c r="AO13" s="121" t="str">
        <f t="shared" ca="1" si="4"/>
        <v>#REF!</v>
      </c>
      <c r="AP13" s="122" t="str">
        <f t="shared" ca="1" si="5"/>
        <v>#REF!</v>
      </c>
    </row>
    <row r="14" spans="2:44" ht="14.25" customHeight="1">
      <c r="B14" s="8" t="s">
        <v>149</v>
      </c>
      <c r="C14" s="8"/>
      <c r="D14" s="38">
        <v>0</v>
      </c>
      <c r="E14" s="38">
        <v>0</v>
      </c>
      <c r="F14" s="38"/>
      <c r="G14" s="38"/>
      <c r="H14" s="38"/>
      <c r="I14" s="38"/>
      <c r="J14" s="38">
        <v>0</v>
      </c>
      <c r="K14" s="38"/>
      <c r="L14" s="38"/>
      <c r="M14" s="38"/>
      <c r="N14" s="38"/>
      <c r="O14" s="38">
        <v>0.25</v>
      </c>
      <c r="P14" s="38"/>
      <c r="Q14" s="38"/>
      <c r="R14" s="38"/>
      <c r="S14" s="38"/>
      <c r="T14" s="38">
        <v>0.45</v>
      </c>
      <c r="V14" s="104">
        <f t="shared" si="7"/>
        <v>0</v>
      </c>
      <c r="AJ14" s="1">
        <f t="shared" si="6"/>
        <v>2032</v>
      </c>
      <c r="AK14" s="120" t="str">
        <f t="shared" ca="1" si="0"/>
        <v>#REF!</v>
      </c>
      <c r="AL14" s="121" t="str">
        <f t="shared" ca="1" si="1"/>
        <v>#REF!</v>
      </c>
      <c r="AM14" s="121" t="str">
        <f t="shared" ca="1" si="2"/>
        <v>#REF!</v>
      </c>
      <c r="AN14" s="121" t="str">
        <f t="shared" ca="1" si="3"/>
        <v>#REF!</v>
      </c>
      <c r="AO14" s="121" t="str">
        <f t="shared" ca="1" si="4"/>
        <v>#REF!</v>
      </c>
      <c r="AP14" s="122" t="str">
        <f t="shared" ca="1" si="5"/>
        <v>#REF!</v>
      </c>
    </row>
    <row r="15" spans="2:44" ht="14.25" customHeight="1">
      <c r="B15" s="8" t="s">
        <v>150</v>
      </c>
      <c r="C15" s="8"/>
      <c r="D15" s="38">
        <v>0</v>
      </c>
      <c r="E15" s="38">
        <v>0</v>
      </c>
      <c r="F15" s="38"/>
      <c r="G15" s="38"/>
      <c r="H15" s="38"/>
      <c r="I15" s="38"/>
      <c r="J15" s="38">
        <v>0</v>
      </c>
      <c r="K15" s="38"/>
      <c r="L15" s="38"/>
      <c r="M15" s="38"/>
      <c r="N15" s="38"/>
      <c r="O15" s="38">
        <v>0</v>
      </c>
      <c r="P15" s="38"/>
      <c r="Q15" s="38"/>
      <c r="R15" s="38"/>
      <c r="S15" s="38"/>
      <c r="T15" s="38">
        <v>0.1</v>
      </c>
      <c r="V15" s="104">
        <f t="shared" si="7"/>
        <v>0</v>
      </c>
      <c r="AJ15" s="1">
        <f t="shared" si="6"/>
        <v>2033</v>
      </c>
      <c r="AK15" s="120" t="str">
        <f t="shared" ca="1" si="0"/>
        <v>#REF!</v>
      </c>
      <c r="AL15" s="121" t="str">
        <f t="shared" ca="1" si="1"/>
        <v>#REF!</v>
      </c>
      <c r="AM15" s="121" t="str">
        <f t="shared" ca="1" si="2"/>
        <v>#REF!</v>
      </c>
      <c r="AN15" s="121" t="str">
        <f t="shared" ca="1" si="3"/>
        <v>#REF!</v>
      </c>
      <c r="AO15" s="121" t="str">
        <f t="shared" ca="1" si="4"/>
        <v>#REF!</v>
      </c>
      <c r="AP15" s="122" t="str">
        <f t="shared" ca="1" si="5"/>
        <v>#REF!</v>
      </c>
    </row>
    <row r="16" spans="2:44">
      <c r="AJ16" s="1">
        <f t="shared" si="6"/>
        <v>2034</v>
      </c>
      <c r="AK16" s="120" t="str">
        <f t="shared" ca="1" si="0"/>
        <v>#REF!</v>
      </c>
      <c r="AL16" s="121" t="str">
        <f t="shared" ca="1" si="1"/>
        <v>#REF!</v>
      </c>
      <c r="AM16" s="121" t="str">
        <f t="shared" ca="1" si="2"/>
        <v>#REF!</v>
      </c>
      <c r="AN16" s="121" t="str">
        <f t="shared" ca="1" si="3"/>
        <v>#REF!</v>
      </c>
      <c r="AO16" s="121" t="str">
        <f t="shared" ca="1" si="4"/>
        <v>#REF!</v>
      </c>
      <c r="AP16" s="122" t="str">
        <f t="shared" ca="1" si="5"/>
        <v>#REF!</v>
      </c>
    </row>
    <row r="17" spans="2:42">
      <c r="B17" s="272" t="s">
        <v>65</v>
      </c>
      <c r="C17" s="268"/>
      <c r="D17" s="268"/>
      <c r="E17" s="268"/>
      <c r="F17" s="268"/>
      <c r="G17" s="268"/>
      <c r="H17" s="268"/>
      <c r="I17" s="268"/>
      <c r="J17" s="268"/>
      <c r="K17" s="268"/>
      <c r="L17" s="268"/>
      <c r="M17" s="268"/>
      <c r="N17" s="268"/>
      <c r="O17" s="268"/>
      <c r="P17" s="268"/>
      <c r="Q17" s="268"/>
      <c r="R17" s="268"/>
      <c r="S17" s="268"/>
      <c r="T17" s="268"/>
      <c r="U17" s="268"/>
      <c r="V17" s="268"/>
      <c r="W17" s="268"/>
      <c r="X17" s="268"/>
      <c r="Y17" s="268"/>
      <c r="Z17" s="268"/>
      <c r="AA17" s="268"/>
      <c r="AB17" s="268"/>
      <c r="AC17" s="268"/>
      <c r="AD17" s="268"/>
      <c r="AE17" s="268"/>
      <c r="AF17" s="268"/>
      <c r="AG17" s="268"/>
      <c r="AH17" s="268"/>
      <c r="AJ17" s="54">
        <f t="shared" si="6"/>
        <v>2035</v>
      </c>
      <c r="AK17" s="126" t="str">
        <f t="shared" ca="1" si="0"/>
        <v>#REF!</v>
      </c>
      <c r="AL17" s="127" t="str">
        <f t="shared" ca="1" si="1"/>
        <v>#REF!</v>
      </c>
      <c r="AM17" s="127" t="str">
        <f t="shared" ca="1" si="2"/>
        <v>#REF!</v>
      </c>
      <c r="AN17" s="127" t="str">
        <f t="shared" ca="1" si="3"/>
        <v>#REF!</v>
      </c>
      <c r="AO17" s="127" t="str">
        <f t="shared" ca="1" si="4"/>
        <v>#REF!</v>
      </c>
      <c r="AP17" s="128" t="str">
        <f t="shared" ca="1" si="5"/>
        <v>#REF!</v>
      </c>
    </row>
    <row r="18" spans="2:42">
      <c r="B18" s="226"/>
      <c r="C18" s="226"/>
      <c r="D18" s="273" t="s">
        <v>42</v>
      </c>
      <c r="E18" s="274"/>
      <c r="F18" s="274"/>
      <c r="G18" s="274"/>
      <c r="H18" s="274"/>
      <c r="I18" s="274"/>
      <c r="J18" s="274"/>
      <c r="K18" s="274"/>
      <c r="L18" s="274"/>
      <c r="M18" s="274"/>
      <c r="N18" s="274"/>
      <c r="O18" s="274"/>
      <c r="P18" s="274"/>
      <c r="Q18" s="274"/>
      <c r="R18" s="274"/>
      <c r="S18" s="274"/>
      <c r="T18" s="274"/>
      <c r="U18" s="274"/>
      <c r="V18" s="274"/>
      <c r="W18" s="274"/>
      <c r="X18" s="274"/>
      <c r="Y18" s="274"/>
      <c r="AA18" s="275" t="s">
        <v>66</v>
      </c>
      <c r="AB18" s="268"/>
      <c r="AC18" s="268"/>
      <c r="AD18" s="268"/>
      <c r="AE18" s="268"/>
      <c r="AG18" s="275" t="s">
        <v>119</v>
      </c>
      <c r="AH18" s="268"/>
      <c r="AJ18" s="1">
        <f t="shared" si="6"/>
        <v>2036</v>
      </c>
      <c r="AK18" s="120" t="str">
        <f t="shared" ca="1" si="0"/>
        <v>#REF!</v>
      </c>
      <c r="AL18" s="121" t="str">
        <f t="shared" ca="1" si="1"/>
        <v>#REF!</v>
      </c>
      <c r="AM18" s="121" t="str">
        <f t="shared" ca="1" si="2"/>
        <v>#REF!</v>
      </c>
      <c r="AN18" s="121" t="str">
        <f t="shared" ca="1" si="3"/>
        <v>#REF!</v>
      </c>
      <c r="AO18" s="121" t="str">
        <f t="shared" ca="1" si="4"/>
        <v>#REF!</v>
      </c>
      <c r="AP18" s="122" t="str">
        <f t="shared" ca="1" si="5"/>
        <v>#REF!</v>
      </c>
    </row>
    <row r="19" spans="2:42">
      <c r="B19" s="227" t="s">
        <v>151</v>
      </c>
      <c r="C19" s="226"/>
      <c r="D19" s="196">
        <f>Macro!C17</f>
        <v>2024</v>
      </c>
      <c r="E19" s="196">
        <f>Macro!D17</f>
        <v>2025</v>
      </c>
      <c r="F19" s="196">
        <f>Macro!E17</f>
        <v>2026</v>
      </c>
      <c r="G19" s="196">
        <f>Macro!F17</f>
        <v>2027</v>
      </c>
      <c r="H19" s="196">
        <f>Macro!G17</f>
        <v>2028</v>
      </c>
      <c r="I19" s="196">
        <f>Macro!H17</f>
        <v>2029</v>
      </c>
      <c r="J19" s="196">
        <f>Macro!I17</f>
        <v>2030</v>
      </c>
      <c r="K19" s="196">
        <f>Macro!J17</f>
        <v>2031</v>
      </c>
      <c r="L19" s="196">
        <f>Macro!K17</f>
        <v>2032</v>
      </c>
      <c r="M19" s="196">
        <f>Macro!L17</f>
        <v>2033</v>
      </c>
      <c r="N19" s="196">
        <f>Macro!M17</f>
        <v>2034</v>
      </c>
      <c r="O19" s="196">
        <f>Macro!N17</f>
        <v>2035</v>
      </c>
      <c r="P19" s="196">
        <f>Macro!O17</f>
        <v>2036</v>
      </c>
      <c r="Q19" s="196">
        <f>Macro!P17</f>
        <v>2037</v>
      </c>
      <c r="R19" s="196">
        <f>Macro!Q17</f>
        <v>2038</v>
      </c>
      <c r="S19" s="196">
        <f>Macro!R17</f>
        <v>2039</v>
      </c>
      <c r="T19" s="196">
        <f>Macro!S17</f>
        <v>2040</v>
      </c>
      <c r="U19" s="196">
        <f>Macro!T17</f>
        <v>2041</v>
      </c>
      <c r="V19" s="196">
        <f>Macro!U17</f>
        <v>2042</v>
      </c>
      <c r="W19" s="196">
        <f>Macro!V17</f>
        <v>2043</v>
      </c>
      <c r="X19" s="196">
        <f>Macro!W17</f>
        <v>2044</v>
      </c>
      <c r="Y19" s="196">
        <f>Macro!X17</f>
        <v>2045</v>
      </c>
      <c r="Z19" s="1"/>
      <c r="AA19" s="196" t="s">
        <v>69</v>
      </c>
      <c r="AB19" s="196" t="s">
        <v>70</v>
      </c>
      <c r="AC19" s="196" t="s">
        <v>71</v>
      </c>
      <c r="AD19" s="196" t="s">
        <v>72</v>
      </c>
      <c r="AE19" s="196" t="s">
        <v>73</v>
      </c>
      <c r="AF19" s="245"/>
      <c r="AG19" s="196">
        <f>D19</f>
        <v>2024</v>
      </c>
      <c r="AH19" s="196" t="e">
        <f>#REF!+1</f>
        <v>#REF!</v>
      </c>
      <c r="AJ19" s="1">
        <f t="shared" si="6"/>
        <v>2037</v>
      </c>
      <c r="AK19" s="120" t="str">
        <f t="shared" ca="1" si="0"/>
        <v>#REF!</v>
      </c>
      <c r="AL19" s="121" t="str">
        <f t="shared" ca="1" si="1"/>
        <v>#REF!</v>
      </c>
      <c r="AM19" s="121" t="str">
        <f t="shared" ca="1" si="2"/>
        <v>#REF!</v>
      </c>
      <c r="AN19" s="121" t="str">
        <f t="shared" ca="1" si="3"/>
        <v>#REF!</v>
      </c>
      <c r="AO19" s="121" t="str">
        <f t="shared" ca="1" si="4"/>
        <v>#REF!</v>
      </c>
      <c r="AP19" s="122" t="str">
        <f t="shared" ca="1" si="5"/>
        <v>#REF!</v>
      </c>
    </row>
    <row r="20" spans="2:42">
      <c r="B20" s="98" t="s">
        <v>122</v>
      </c>
      <c r="C20" s="188"/>
      <c r="D20" s="131" t="str">
        <f t="shared" ref="D20:Y20" ca="1" si="8">-D111*10^3/D22</f>
        <v>#REF!</v>
      </c>
      <c r="E20" s="131" t="str">
        <f t="shared" ca="1" si="8"/>
        <v>#REF!</v>
      </c>
      <c r="F20" s="131" t="str">
        <f t="shared" ca="1" si="8"/>
        <v>#REF!</v>
      </c>
      <c r="G20" s="131" t="str">
        <f t="shared" ca="1" si="8"/>
        <v>#REF!</v>
      </c>
      <c r="H20" s="131" t="str">
        <f t="shared" ca="1" si="8"/>
        <v>#REF!</v>
      </c>
      <c r="I20" s="131" t="str">
        <f t="shared" ca="1" si="8"/>
        <v>#REF!</v>
      </c>
      <c r="J20" s="131" t="str">
        <f t="shared" ca="1" si="8"/>
        <v>#REF!</v>
      </c>
      <c r="K20" s="131" t="str">
        <f t="shared" ca="1" si="8"/>
        <v>#REF!</v>
      </c>
      <c r="L20" s="131" t="str">
        <f t="shared" ca="1" si="8"/>
        <v>#REF!</v>
      </c>
      <c r="M20" s="131" t="str">
        <f t="shared" ca="1" si="8"/>
        <v>#REF!</v>
      </c>
      <c r="N20" s="131" t="str">
        <f t="shared" ca="1" si="8"/>
        <v>#REF!</v>
      </c>
      <c r="O20" s="131" t="str">
        <f t="shared" ca="1" si="8"/>
        <v>#REF!</v>
      </c>
      <c r="P20" s="131" t="str">
        <f t="shared" ca="1" si="8"/>
        <v>#REF!</v>
      </c>
      <c r="Q20" s="131" t="str">
        <f t="shared" ca="1" si="8"/>
        <v>#REF!</v>
      </c>
      <c r="R20" s="131" t="str">
        <f t="shared" ca="1" si="8"/>
        <v>#REF!</v>
      </c>
      <c r="S20" s="131" t="str">
        <f t="shared" ca="1" si="8"/>
        <v>#REF!</v>
      </c>
      <c r="T20" s="131" t="str">
        <f t="shared" ca="1" si="8"/>
        <v>#REF!</v>
      </c>
      <c r="U20" s="131" t="str">
        <f t="shared" ca="1" si="8"/>
        <v>#REF!</v>
      </c>
      <c r="V20" s="131" t="str">
        <f t="shared" ca="1" si="8"/>
        <v>#REF!</v>
      </c>
      <c r="W20" s="131" t="str">
        <f t="shared" ca="1" si="8"/>
        <v>#REF!</v>
      </c>
      <c r="X20" s="131" t="str">
        <f t="shared" ca="1" si="8"/>
        <v>#REF!</v>
      </c>
      <c r="Y20" s="131" t="str">
        <f t="shared" ca="1" si="8"/>
        <v>#REF!</v>
      </c>
      <c r="AA20" s="57" t="str">
        <f t="shared" ref="AA20:AA22" ca="1" si="9">IFERROR((E20/D20)-1,"")</f>
        <v/>
      </c>
      <c r="AB20" s="57" t="str">
        <f t="shared" ref="AB20:AB22" ca="1" si="10">IFERROR((J20/D20)^(1/6)-1,"")</f>
        <v/>
      </c>
      <c r="AC20" s="57" t="str">
        <f t="shared" ref="AC20:AC22" ca="1" si="11">IFERROR((O20/D20)^(1/11)-1,"")</f>
        <v/>
      </c>
      <c r="AD20" s="57" t="str">
        <f t="shared" ref="AD20:AD22" ca="1" si="12">IFERROR((T20/D20)^(1/16)-1,"")</f>
        <v/>
      </c>
      <c r="AE20" s="57"/>
      <c r="AF20" s="245"/>
      <c r="AG20" s="245"/>
      <c r="AH20" s="245"/>
      <c r="AJ20" s="1">
        <f t="shared" si="6"/>
        <v>2038</v>
      </c>
      <c r="AK20" s="120" t="str">
        <f t="shared" ca="1" si="0"/>
        <v>#REF!</v>
      </c>
      <c r="AL20" s="121" t="str">
        <f t="shared" ca="1" si="1"/>
        <v>#REF!</v>
      </c>
      <c r="AM20" s="121" t="str">
        <f t="shared" ca="1" si="2"/>
        <v>#REF!</v>
      </c>
      <c r="AN20" s="121" t="str">
        <f t="shared" ca="1" si="3"/>
        <v>#REF!</v>
      </c>
      <c r="AO20" s="121" t="str">
        <f t="shared" ca="1" si="4"/>
        <v>#REF!</v>
      </c>
      <c r="AP20" s="122" t="str">
        <f t="shared" ca="1" si="5"/>
        <v>#REF!</v>
      </c>
    </row>
    <row r="21" spans="2:42" ht="15.75" customHeight="1">
      <c r="B21" s="231" t="s">
        <v>123</v>
      </c>
      <c r="C21" s="236"/>
      <c r="D21" s="237" t="str">
        <f ca="1">D117/Macro!C20*10^3</f>
        <v>#REF!</v>
      </c>
      <c r="E21" s="237" t="str">
        <f ca="1">E117/Macro!D20*10^3</f>
        <v>#REF!</v>
      </c>
      <c r="F21" s="237" t="str">
        <f ca="1">F117/Macro!E20*10^3</f>
        <v>#REF!</v>
      </c>
      <c r="G21" s="237" t="str">
        <f ca="1">G117/Macro!F20*10^3</f>
        <v>#REF!</v>
      </c>
      <c r="H21" s="237" t="str">
        <f ca="1">H117/Macro!G20*10^3</f>
        <v>#REF!</v>
      </c>
      <c r="I21" s="237" t="str">
        <f ca="1">I117/Macro!H20*10^3</f>
        <v>#REF!</v>
      </c>
      <c r="J21" s="237" t="str">
        <f ca="1">J117/Macro!I20*10^3</f>
        <v>#REF!</v>
      </c>
      <c r="K21" s="237" t="str">
        <f ca="1">K117/Macro!J20*10^3</f>
        <v>#REF!</v>
      </c>
      <c r="L21" s="237" t="str">
        <f ca="1">L117/Macro!K20*10^3</f>
        <v>#REF!</v>
      </c>
      <c r="M21" s="237" t="str">
        <f ca="1">M117/Macro!L20*10^3</f>
        <v>#REF!</v>
      </c>
      <c r="N21" s="237" t="str">
        <f ca="1">N117/Macro!M20*10^3</f>
        <v>#REF!</v>
      </c>
      <c r="O21" s="237" t="str">
        <f ca="1">O117/Macro!N20*10^3</f>
        <v>#REF!</v>
      </c>
      <c r="P21" s="237" t="str">
        <f ca="1">P117/Macro!O20*10^3</f>
        <v>#REF!</v>
      </c>
      <c r="Q21" s="237" t="str">
        <f ca="1">Q117/Macro!P20*10^3</f>
        <v>#REF!</v>
      </c>
      <c r="R21" s="237" t="str">
        <f ca="1">R117/Macro!Q20*10^3</f>
        <v>#REF!</v>
      </c>
      <c r="S21" s="237" t="str">
        <f ca="1">S117/Macro!R20*10^3</f>
        <v>#REF!</v>
      </c>
      <c r="T21" s="237" t="str">
        <f ca="1">T117/Macro!S20*10^3</f>
        <v>#REF!</v>
      </c>
      <c r="U21" s="237" t="str">
        <f ca="1">U117/Macro!T20*10^3</f>
        <v>#REF!</v>
      </c>
      <c r="V21" s="237" t="str">
        <f ca="1">V117/Macro!U20*10^3</f>
        <v>#REF!</v>
      </c>
      <c r="W21" s="237" t="str">
        <f ca="1">W117/Macro!V20*10^3</f>
        <v>#REF!</v>
      </c>
      <c r="X21" s="237" t="str">
        <f ca="1">X117/Macro!W20*10^3</f>
        <v>#REF!</v>
      </c>
      <c r="Y21" s="237" t="str">
        <f ca="1">Y117/Macro!X20*10^3</f>
        <v>#REF!</v>
      </c>
      <c r="Z21" s="66"/>
      <c r="AA21" s="206" t="str">
        <f t="shared" ca="1" si="9"/>
        <v/>
      </c>
      <c r="AB21" s="206" t="str">
        <f t="shared" ca="1" si="10"/>
        <v/>
      </c>
      <c r="AC21" s="206" t="str">
        <f t="shared" ca="1" si="11"/>
        <v/>
      </c>
      <c r="AD21" s="206" t="str">
        <f t="shared" ca="1" si="12"/>
        <v/>
      </c>
      <c r="AE21" s="206" t="str">
        <f t="shared" ref="AE21:AE22" ca="1" si="13">IFERROR((Y21/D21)^(1/21)-1,"")</f>
        <v/>
      </c>
      <c r="AF21" s="185"/>
      <c r="AG21" s="185"/>
      <c r="AH21" s="185"/>
      <c r="AJ21" s="1">
        <f t="shared" si="6"/>
        <v>2039</v>
      </c>
      <c r="AK21" s="120" t="str">
        <f t="shared" ca="1" si="0"/>
        <v>#REF!</v>
      </c>
      <c r="AL21" s="121" t="str">
        <f t="shared" ca="1" si="1"/>
        <v>#REF!</v>
      </c>
      <c r="AM21" s="121" t="str">
        <f t="shared" ca="1" si="2"/>
        <v>#REF!</v>
      </c>
      <c r="AN21" s="121" t="str">
        <f t="shared" ca="1" si="3"/>
        <v>#REF!</v>
      </c>
      <c r="AO21" s="121" t="str">
        <f t="shared" ca="1" si="4"/>
        <v>#REF!</v>
      </c>
      <c r="AP21" s="122" t="str">
        <f t="shared" ca="1" si="5"/>
        <v>#REF!</v>
      </c>
    </row>
    <row r="22" spans="2:42" ht="15.75" customHeight="1">
      <c r="B22" s="98" t="s">
        <v>75</v>
      </c>
      <c r="C22" s="188"/>
      <c r="D22" s="79">
        <f>Macro!C20</f>
        <v>65</v>
      </c>
      <c r="E22" s="79">
        <f>Macro!D20</f>
        <v>97.5</v>
      </c>
      <c r="F22" s="79">
        <f>Macro!E20</f>
        <v>143.8125</v>
      </c>
      <c r="G22" s="79">
        <f>Macro!F20</f>
        <v>208.52812499999999</v>
      </c>
      <c r="H22" s="79">
        <f>Macro!G20</f>
        <v>297.15257812499993</v>
      </c>
      <c r="I22" s="79">
        <f>Macro!H20</f>
        <v>416.01360937499987</v>
      </c>
      <c r="J22" s="79">
        <f>Macro!I20</f>
        <v>572.01871289062478</v>
      </c>
      <c r="K22" s="79">
        <f>Macro!J20</f>
        <v>772.22526240234333</v>
      </c>
      <c r="L22" s="79">
        <f>Macro!K20</f>
        <v>1023.1984726831047</v>
      </c>
      <c r="M22" s="79">
        <f>Macro!L20</f>
        <v>1330.1580144880359</v>
      </c>
      <c r="N22" s="79">
        <f>Macro!M20</f>
        <v>1695.9514684722456</v>
      </c>
      <c r="O22" s="79">
        <f>Macro!N20</f>
        <v>2119.9393355903067</v>
      </c>
      <c r="P22" s="79">
        <f>Macro!O20</f>
        <v>2596.9256860981254</v>
      </c>
      <c r="Q22" s="79">
        <f>Macro!P20</f>
        <v>3116.3108233177504</v>
      </c>
      <c r="R22" s="79">
        <f>Macro!Q20</f>
        <v>3739.5729879813002</v>
      </c>
      <c r="S22" s="79">
        <f>Macro!R20</f>
        <v>4487.4875855775599</v>
      </c>
      <c r="T22" s="79">
        <f>Macro!S20</f>
        <v>5384.9851026930719</v>
      </c>
      <c r="U22" s="79">
        <f>Macro!T20</f>
        <v>6461.9821232316863</v>
      </c>
      <c r="V22" s="79">
        <f>Macro!U20</f>
        <v>7754.3785478780228</v>
      </c>
      <c r="W22" s="79">
        <f>Macro!V20</f>
        <v>9305.2542574536274</v>
      </c>
      <c r="X22" s="79">
        <f>Macro!W20</f>
        <v>11166.305108944352</v>
      </c>
      <c r="Y22" s="79">
        <f>Macro!X20</f>
        <v>13399.566130733223</v>
      </c>
      <c r="AA22" s="57">
        <f t="shared" si="9"/>
        <v>0.5</v>
      </c>
      <c r="AB22" s="57">
        <f t="shared" si="10"/>
        <v>0.43686559725988783</v>
      </c>
      <c r="AC22" s="57">
        <f t="shared" si="11"/>
        <v>0.37272244333469207</v>
      </c>
      <c r="AD22" s="57">
        <f t="shared" si="12"/>
        <v>0.31792879499327231</v>
      </c>
      <c r="AE22" s="57">
        <f t="shared" si="13"/>
        <v>0.28883975252734717</v>
      </c>
      <c r="AF22" s="245"/>
      <c r="AG22" s="245"/>
      <c r="AH22" s="245"/>
      <c r="AJ22" s="54">
        <f t="shared" si="6"/>
        <v>2040</v>
      </c>
      <c r="AK22" s="126" t="str">
        <f t="shared" ca="1" si="0"/>
        <v>#REF!</v>
      </c>
      <c r="AL22" s="127" t="str">
        <f t="shared" ca="1" si="1"/>
        <v>#REF!</v>
      </c>
      <c r="AM22" s="127" t="str">
        <f t="shared" ca="1" si="2"/>
        <v>#REF!</v>
      </c>
      <c r="AN22" s="127" t="str">
        <f t="shared" ca="1" si="3"/>
        <v>#REF!</v>
      </c>
      <c r="AO22" s="127" t="str">
        <f t="shared" ca="1" si="4"/>
        <v>#REF!</v>
      </c>
      <c r="AP22" s="128" t="str">
        <f t="shared" ca="1" si="5"/>
        <v>#REF!</v>
      </c>
    </row>
    <row r="23" spans="2:42" ht="15" customHeight="1">
      <c r="B23" s="197" t="s">
        <v>152</v>
      </c>
      <c r="C23" s="197"/>
      <c r="D23" s="198"/>
      <c r="E23" s="198"/>
      <c r="F23" s="198"/>
      <c r="G23" s="198"/>
      <c r="H23" s="198"/>
      <c r="I23" s="198"/>
      <c r="J23" s="198"/>
      <c r="K23" s="198"/>
      <c r="L23" s="198"/>
      <c r="M23" s="198"/>
      <c r="N23" s="198"/>
      <c r="O23" s="198"/>
      <c r="P23" s="198"/>
      <c r="Q23" s="198"/>
      <c r="R23" s="198"/>
      <c r="S23" s="198"/>
      <c r="T23" s="198"/>
      <c r="U23" s="198"/>
      <c r="V23" s="198"/>
      <c r="W23" s="198"/>
      <c r="X23" s="198"/>
      <c r="Y23" s="198"/>
      <c r="AA23" s="198"/>
      <c r="AB23" s="198"/>
      <c r="AC23" s="198"/>
      <c r="AD23" s="198"/>
      <c r="AE23" s="198"/>
      <c r="AF23" s="238"/>
      <c r="AG23" s="238"/>
      <c r="AH23" s="238"/>
      <c r="AJ23" s="1">
        <f t="shared" si="6"/>
        <v>2041</v>
      </c>
      <c r="AK23" s="120" t="str">
        <f t="shared" ca="1" si="0"/>
        <v>#REF!</v>
      </c>
      <c r="AL23" s="121" t="str">
        <f t="shared" ca="1" si="1"/>
        <v>#REF!</v>
      </c>
      <c r="AM23" s="121" t="str">
        <f t="shared" ca="1" si="2"/>
        <v>#REF!</v>
      </c>
      <c r="AN23" s="121" t="str">
        <f t="shared" ca="1" si="3"/>
        <v>#REF!</v>
      </c>
      <c r="AO23" s="121" t="str">
        <f t="shared" ca="1" si="4"/>
        <v>#REF!</v>
      </c>
      <c r="AP23" s="122" t="str">
        <f t="shared" ca="1" si="5"/>
        <v>#REF!</v>
      </c>
    </row>
    <row r="24" spans="2:42" ht="15.75" customHeight="1">
      <c r="B24" s="231" t="s">
        <v>153</v>
      </c>
      <c r="C24" s="236"/>
      <c r="D24" s="205" t="str">
        <f t="shared" ref="D24:Y24" ca="1" si="14">D117</f>
        <v>#REF!</v>
      </c>
      <c r="E24" s="205" t="str">
        <f t="shared" ca="1" si="14"/>
        <v>#REF!</v>
      </c>
      <c r="F24" s="205" t="str">
        <f t="shared" ca="1" si="14"/>
        <v>#REF!</v>
      </c>
      <c r="G24" s="205" t="str">
        <f t="shared" ca="1" si="14"/>
        <v>#REF!</v>
      </c>
      <c r="H24" s="205" t="str">
        <f t="shared" ca="1" si="14"/>
        <v>#REF!</v>
      </c>
      <c r="I24" s="205" t="str">
        <f t="shared" ca="1" si="14"/>
        <v>#REF!</v>
      </c>
      <c r="J24" s="205" t="str">
        <f t="shared" ca="1" si="14"/>
        <v>#REF!</v>
      </c>
      <c r="K24" s="205" t="str">
        <f t="shared" ca="1" si="14"/>
        <v>#REF!</v>
      </c>
      <c r="L24" s="205" t="str">
        <f t="shared" ca="1" si="14"/>
        <v>#REF!</v>
      </c>
      <c r="M24" s="205" t="str">
        <f t="shared" ca="1" si="14"/>
        <v>#REF!</v>
      </c>
      <c r="N24" s="205" t="str">
        <f t="shared" ca="1" si="14"/>
        <v>#REF!</v>
      </c>
      <c r="O24" s="205" t="str">
        <f t="shared" ca="1" si="14"/>
        <v>#REF!</v>
      </c>
      <c r="P24" s="205" t="str">
        <f t="shared" ca="1" si="14"/>
        <v>#REF!</v>
      </c>
      <c r="Q24" s="205" t="str">
        <f t="shared" ca="1" si="14"/>
        <v>#REF!</v>
      </c>
      <c r="R24" s="205" t="str">
        <f t="shared" ca="1" si="14"/>
        <v>#REF!</v>
      </c>
      <c r="S24" s="205" t="str">
        <f t="shared" ca="1" si="14"/>
        <v>#REF!</v>
      </c>
      <c r="T24" s="205" t="str">
        <f t="shared" ca="1" si="14"/>
        <v>#REF!</v>
      </c>
      <c r="U24" s="205" t="str">
        <f t="shared" ca="1" si="14"/>
        <v>#REF!</v>
      </c>
      <c r="V24" s="205" t="str">
        <f t="shared" ca="1" si="14"/>
        <v>#REF!</v>
      </c>
      <c r="W24" s="205" t="str">
        <f t="shared" ca="1" si="14"/>
        <v>#REF!</v>
      </c>
      <c r="X24" s="205" t="str">
        <f t="shared" ca="1" si="14"/>
        <v>#REF!</v>
      </c>
      <c r="Y24" s="205" t="str">
        <f t="shared" ca="1" si="14"/>
        <v>#REF!</v>
      </c>
      <c r="Z24" s="66"/>
      <c r="AA24" s="204"/>
      <c r="AB24" s="204"/>
      <c r="AC24" s="204"/>
      <c r="AD24" s="204"/>
      <c r="AE24" s="206" t="str">
        <f t="shared" ref="AE24:AE25" ca="1" si="15">IFERROR((Y24/D24)^(1/21)-1,"")</f>
        <v/>
      </c>
      <c r="AF24" s="185"/>
      <c r="AG24" s="185"/>
      <c r="AH24" s="185"/>
      <c r="AJ24" s="1">
        <f t="shared" si="6"/>
        <v>2042</v>
      </c>
      <c r="AK24" s="120" t="str">
        <f t="shared" ca="1" si="0"/>
        <v>#REF!</v>
      </c>
      <c r="AL24" s="121" t="str">
        <f t="shared" ca="1" si="1"/>
        <v>#REF!</v>
      </c>
      <c r="AM24" s="121" t="str">
        <f t="shared" ca="1" si="2"/>
        <v>#REF!</v>
      </c>
      <c r="AN24" s="121" t="str">
        <f t="shared" ca="1" si="3"/>
        <v>#REF!</v>
      </c>
      <c r="AO24" s="121" t="str">
        <f t="shared" ca="1" si="4"/>
        <v>#REF!</v>
      </c>
      <c r="AP24" s="122" t="str">
        <f t="shared" ca="1" si="5"/>
        <v>#REF!</v>
      </c>
    </row>
    <row r="25" spans="2:42" ht="15.75" customHeight="1">
      <c r="B25" s="8" t="s">
        <v>154</v>
      </c>
      <c r="C25" s="188"/>
      <c r="D25" s="79" t="str">
        <f t="shared" ref="D25:Y25" ca="1" si="16">D28-D27</f>
        <v>#REF!</v>
      </c>
      <c r="E25" s="79" t="str">
        <f t="shared" ca="1" si="16"/>
        <v>#REF!</v>
      </c>
      <c r="F25" s="79" t="str">
        <f t="shared" ca="1" si="16"/>
        <v>#REF!</v>
      </c>
      <c r="G25" s="79" t="str">
        <f t="shared" ca="1" si="16"/>
        <v>#REF!</v>
      </c>
      <c r="H25" s="79" t="str">
        <f t="shared" ca="1" si="16"/>
        <v>#REF!</v>
      </c>
      <c r="I25" s="79" t="str">
        <f t="shared" ca="1" si="16"/>
        <v>#REF!</v>
      </c>
      <c r="J25" s="79" t="str">
        <f t="shared" ca="1" si="16"/>
        <v>#REF!</v>
      </c>
      <c r="K25" s="79" t="str">
        <f t="shared" ca="1" si="16"/>
        <v>#REF!</v>
      </c>
      <c r="L25" s="79" t="str">
        <f t="shared" ca="1" si="16"/>
        <v>#REF!</v>
      </c>
      <c r="M25" s="79" t="str">
        <f t="shared" ca="1" si="16"/>
        <v>#REF!</v>
      </c>
      <c r="N25" s="79" t="str">
        <f t="shared" ca="1" si="16"/>
        <v>#REF!</v>
      </c>
      <c r="O25" s="79" t="str">
        <f t="shared" ca="1" si="16"/>
        <v>#REF!</v>
      </c>
      <c r="P25" s="79" t="str">
        <f t="shared" ca="1" si="16"/>
        <v>#REF!</v>
      </c>
      <c r="Q25" s="79" t="str">
        <f t="shared" ca="1" si="16"/>
        <v>#REF!</v>
      </c>
      <c r="R25" s="79" t="str">
        <f t="shared" ca="1" si="16"/>
        <v>#REF!</v>
      </c>
      <c r="S25" s="79" t="str">
        <f t="shared" ca="1" si="16"/>
        <v>#REF!</v>
      </c>
      <c r="T25" s="79" t="str">
        <f t="shared" ca="1" si="16"/>
        <v>#REF!</v>
      </c>
      <c r="U25" s="79" t="str">
        <f t="shared" ca="1" si="16"/>
        <v>#REF!</v>
      </c>
      <c r="V25" s="79" t="str">
        <f t="shared" ca="1" si="16"/>
        <v>#REF!</v>
      </c>
      <c r="W25" s="79" t="str">
        <f t="shared" ca="1" si="16"/>
        <v>#REF!</v>
      </c>
      <c r="X25" s="79" t="str">
        <f t="shared" ca="1" si="16"/>
        <v>#REF!</v>
      </c>
      <c r="Y25" s="79" t="str">
        <f t="shared" ca="1" si="16"/>
        <v>#REF!</v>
      </c>
      <c r="AE25" s="57" t="str">
        <f t="shared" ca="1" si="15"/>
        <v/>
      </c>
      <c r="AF25" s="245"/>
      <c r="AG25" s="245"/>
      <c r="AH25" s="245"/>
      <c r="AJ25" s="1">
        <f t="shared" si="6"/>
        <v>2043</v>
      </c>
      <c r="AK25" s="120" t="str">
        <f t="shared" ca="1" si="0"/>
        <v>#REF!</v>
      </c>
      <c r="AL25" s="121" t="str">
        <f t="shared" ca="1" si="1"/>
        <v>#REF!</v>
      </c>
      <c r="AM25" s="121" t="str">
        <f t="shared" ca="1" si="2"/>
        <v>#REF!</v>
      </c>
      <c r="AN25" s="121" t="str">
        <f t="shared" ca="1" si="3"/>
        <v>#REF!</v>
      </c>
      <c r="AO25" s="121" t="str">
        <f t="shared" ca="1" si="4"/>
        <v>#REF!</v>
      </c>
      <c r="AP25" s="122" t="str">
        <f t="shared" ca="1" si="5"/>
        <v>#REF!</v>
      </c>
    </row>
    <row r="26" spans="2:42" ht="15.75" customHeight="1">
      <c r="B26" s="74" t="s">
        <v>155</v>
      </c>
      <c r="C26" s="188"/>
      <c r="D26" s="132" t="str">
        <f t="shared" ref="D26:Y26" ca="1" si="17">IFERROR(D25/D24,"NA")</f>
        <v>NA</v>
      </c>
      <c r="E26" s="132" t="str">
        <f t="shared" ca="1" si="17"/>
        <v>NA</v>
      </c>
      <c r="F26" s="132" t="str">
        <f t="shared" ca="1" si="17"/>
        <v>NA</v>
      </c>
      <c r="G26" s="132" t="str">
        <f t="shared" ca="1" si="17"/>
        <v>NA</v>
      </c>
      <c r="H26" s="132" t="str">
        <f t="shared" ca="1" si="17"/>
        <v>NA</v>
      </c>
      <c r="I26" s="132" t="str">
        <f t="shared" ca="1" si="17"/>
        <v>NA</v>
      </c>
      <c r="J26" s="132" t="str">
        <f t="shared" ca="1" si="17"/>
        <v>NA</v>
      </c>
      <c r="K26" s="132" t="str">
        <f t="shared" ca="1" si="17"/>
        <v>NA</v>
      </c>
      <c r="L26" s="132" t="str">
        <f t="shared" ca="1" si="17"/>
        <v>NA</v>
      </c>
      <c r="M26" s="132" t="str">
        <f t="shared" ca="1" si="17"/>
        <v>NA</v>
      </c>
      <c r="N26" s="132" t="str">
        <f t="shared" ca="1" si="17"/>
        <v>NA</v>
      </c>
      <c r="O26" s="132" t="str">
        <f t="shared" ca="1" si="17"/>
        <v>NA</v>
      </c>
      <c r="P26" s="132" t="str">
        <f t="shared" ca="1" si="17"/>
        <v>NA</v>
      </c>
      <c r="Q26" s="132" t="str">
        <f t="shared" ca="1" si="17"/>
        <v>NA</v>
      </c>
      <c r="R26" s="132" t="str">
        <f t="shared" ca="1" si="17"/>
        <v>NA</v>
      </c>
      <c r="S26" s="132" t="str">
        <f t="shared" ca="1" si="17"/>
        <v>NA</v>
      </c>
      <c r="T26" s="132" t="str">
        <f t="shared" ca="1" si="17"/>
        <v>NA</v>
      </c>
      <c r="U26" s="132" t="str">
        <f t="shared" ca="1" si="17"/>
        <v>NA</v>
      </c>
      <c r="V26" s="132" t="str">
        <f t="shared" ca="1" si="17"/>
        <v>NA</v>
      </c>
      <c r="W26" s="132" t="str">
        <f t="shared" ca="1" si="17"/>
        <v>NA</v>
      </c>
      <c r="X26" s="132" t="str">
        <f t="shared" ca="1" si="17"/>
        <v>NA</v>
      </c>
      <c r="Y26" s="132" t="str">
        <f t="shared" ca="1" si="17"/>
        <v>NA</v>
      </c>
      <c r="AE26" s="57"/>
      <c r="AF26" s="245"/>
      <c r="AG26" s="245"/>
      <c r="AH26" s="245"/>
      <c r="AJ26" s="1">
        <f t="shared" si="6"/>
        <v>2044</v>
      </c>
      <c r="AK26" s="120" t="str">
        <f t="shared" ca="1" si="0"/>
        <v>#REF!</v>
      </c>
      <c r="AL26" s="121" t="str">
        <f t="shared" ca="1" si="1"/>
        <v>#REF!</v>
      </c>
      <c r="AM26" s="121" t="str">
        <f t="shared" ca="1" si="2"/>
        <v>#REF!</v>
      </c>
      <c r="AN26" s="121" t="str">
        <f t="shared" ca="1" si="3"/>
        <v>#REF!</v>
      </c>
      <c r="AO26" s="121" t="str">
        <f t="shared" ca="1" si="4"/>
        <v>#REF!</v>
      </c>
      <c r="AP26" s="122" t="str">
        <f t="shared" ca="1" si="5"/>
        <v>#REF!</v>
      </c>
    </row>
    <row r="27" spans="2:42" ht="15.75" customHeight="1">
      <c r="B27" s="133" t="s">
        <v>156</v>
      </c>
      <c r="C27" s="188"/>
      <c r="D27" s="79" t="str">
        <f t="shared" ref="D27:Y27" ca="1" si="18">D115</f>
        <v>#REF!</v>
      </c>
      <c r="E27" s="79" t="str">
        <f t="shared" ca="1" si="18"/>
        <v>#REF!</v>
      </c>
      <c r="F27" s="79" t="str">
        <f t="shared" ca="1" si="18"/>
        <v>#REF!</v>
      </c>
      <c r="G27" s="79" t="str">
        <f t="shared" ca="1" si="18"/>
        <v>#REF!</v>
      </c>
      <c r="H27" s="79" t="str">
        <f t="shared" ca="1" si="18"/>
        <v>#REF!</v>
      </c>
      <c r="I27" s="79" t="str">
        <f t="shared" ca="1" si="18"/>
        <v>#REF!</v>
      </c>
      <c r="J27" s="79" t="str">
        <f t="shared" ca="1" si="18"/>
        <v>#REF!</v>
      </c>
      <c r="K27" s="79" t="str">
        <f t="shared" ca="1" si="18"/>
        <v>#REF!</v>
      </c>
      <c r="L27" s="79" t="str">
        <f t="shared" ca="1" si="18"/>
        <v>#REF!</v>
      </c>
      <c r="M27" s="79" t="str">
        <f t="shared" ca="1" si="18"/>
        <v>#REF!</v>
      </c>
      <c r="N27" s="79" t="str">
        <f t="shared" ca="1" si="18"/>
        <v>#REF!</v>
      </c>
      <c r="O27" s="79" t="str">
        <f t="shared" ca="1" si="18"/>
        <v>#REF!</v>
      </c>
      <c r="P27" s="79" t="str">
        <f t="shared" ca="1" si="18"/>
        <v>#REF!</v>
      </c>
      <c r="Q27" s="79" t="str">
        <f t="shared" ca="1" si="18"/>
        <v>#REF!</v>
      </c>
      <c r="R27" s="79" t="str">
        <f t="shared" ca="1" si="18"/>
        <v>#REF!</v>
      </c>
      <c r="S27" s="79" t="str">
        <f t="shared" ca="1" si="18"/>
        <v>#REF!</v>
      </c>
      <c r="T27" s="79" t="str">
        <f t="shared" ca="1" si="18"/>
        <v>#REF!</v>
      </c>
      <c r="U27" s="79" t="str">
        <f t="shared" ca="1" si="18"/>
        <v>#REF!</v>
      </c>
      <c r="V27" s="79" t="str">
        <f t="shared" ca="1" si="18"/>
        <v>#REF!</v>
      </c>
      <c r="W27" s="79" t="str">
        <f t="shared" ca="1" si="18"/>
        <v>#REF!</v>
      </c>
      <c r="X27" s="79" t="str">
        <f t="shared" ca="1" si="18"/>
        <v>#REF!</v>
      </c>
      <c r="Y27" s="79" t="str">
        <f t="shared" ca="1" si="18"/>
        <v>#REF!</v>
      </c>
      <c r="AE27" s="57" t="str">
        <f t="shared" ref="AE27:AE28" ca="1" si="19">IFERROR((Y27/D27)^(1/21)-1,"")</f>
        <v/>
      </c>
      <c r="AF27" s="245"/>
      <c r="AG27" s="245"/>
      <c r="AH27" s="245"/>
      <c r="AJ27" s="54">
        <f t="shared" si="6"/>
        <v>2045</v>
      </c>
      <c r="AK27" s="126" t="str">
        <f t="shared" ca="1" si="0"/>
        <v>#REF!</v>
      </c>
      <c r="AL27" s="127" t="str">
        <f t="shared" ca="1" si="1"/>
        <v>#REF!</v>
      </c>
      <c r="AM27" s="127" t="str">
        <f t="shared" ca="1" si="2"/>
        <v>#REF!</v>
      </c>
      <c r="AN27" s="127" t="str">
        <f t="shared" ca="1" si="3"/>
        <v>#REF!</v>
      </c>
      <c r="AO27" s="127" t="str">
        <f t="shared" ca="1" si="4"/>
        <v>#REF!</v>
      </c>
      <c r="AP27" s="128" t="str">
        <f t="shared" ca="1" si="5"/>
        <v>#REF!</v>
      </c>
    </row>
    <row r="28" spans="2:42" ht="15" customHeight="1">
      <c r="B28" s="133" t="s">
        <v>157</v>
      </c>
      <c r="C28" s="188"/>
      <c r="D28" s="79">
        <f t="shared" ref="D28:Y28" ca="1" si="20">D120</f>
        <v>200</v>
      </c>
      <c r="E28" s="79">
        <f t="shared" ca="1" si="20"/>
        <v>200</v>
      </c>
      <c r="F28" s="79">
        <f t="shared" ca="1" si="20"/>
        <v>200</v>
      </c>
      <c r="G28" s="79">
        <f t="shared" ca="1" si="20"/>
        <v>200</v>
      </c>
      <c r="H28" s="79">
        <f t="shared" ca="1" si="20"/>
        <v>200</v>
      </c>
      <c r="I28" s="79">
        <f t="shared" ca="1" si="20"/>
        <v>200</v>
      </c>
      <c r="J28" s="79">
        <f t="shared" ca="1" si="20"/>
        <v>200</v>
      </c>
      <c r="K28" s="79">
        <f t="shared" ca="1" si="20"/>
        <v>200</v>
      </c>
      <c r="L28" s="79">
        <f t="shared" ca="1" si="20"/>
        <v>200</v>
      </c>
      <c r="M28" s="79">
        <f t="shared" ca="1" si="20"/>
        <v>200</v>
      </c>
      <c r="N28" s="79">
        <f t="shared" ca="1" si="20"/>
        <v>200</v>
      </c>
      <c r="O28" s="79">
        <f t="shared" ca="1" si="20"/>
        <v>200</v>
      </c>
      <c r="P28" s="79">
        <f t="shared" ca="1" si="20"/>
        <v>200</v>
      </c>
      <c r="Q28" s="79">
        <f t="shared" ca="1" si="20"/>
        <v>200</v>
      </c>
      <c r="R28" s="79">
        <f t="shared" ca="1" si="20"/>
        <v>200</v>
      </c>
      <c r="S28" s="79">
        <f t="shared" ca="1" si="20"/>
        <v>200</v>
      </c>
      <c r="T28" s="79">
        <f t="shared" ca="1" si="20"/>
        <v>200</v>
      </c>
      <c r="U28" s="79">
        <f t="shared" ca="1" si="20"/>
        <v>200</v>
      </c>
      <c r="V28" s="79">
        <f t="shared" ca="1" si="20"/>
        <v>200</v>
      </c>
      <c r="W28" s="79">
        <f t="shared" ca="1" si="20"/>
        <v>200</v>
      </c>
      <c r="X28" s="79">
        <f t="shared" ca="1" si="20"/>
        <v>200</v>
      </c>
      <c r="Y28" s="79">
        <f t="shared" ca="1" si="20"/>
        <v>200</v>
      </c>
      <c r="AE28" s="57">
        <f t="shared" ca="1" si="19"/>
        <v>0</v>
      </c>
      <c r="AF28" s="245"/>
      <c r="AG28" s="245"/>
      <c r="AH28" s="245"/>
    </row>
    <row r="29" spans="2:42" ht="3.75" customHeight="1">
      <c r="B29" s="188"/>
      <c r="C29" s="188"/>
      <c r="AE29" s="57"/>
      <c r="AF29" s="245"/>
      <c r="AG29" s="245"/>
      <c r="AH29" s="245"/>
    </row>
    <row r="30" spans="2:42" ht="15.75" hidden="1" customHeight="1" outlineLevel="1">
      <c r="B30" s="197" t="s">
        <v>158</v>
      </c>
      <c r="C30" s="197"/>
      <c r="D30" s="198"/>
      <c r="E30" s="198"/>
      <c r="F30" s="198"/>
      <c r="G30" s="198"/>
      <c r="H30" s="198"/>
      <c r="I30" s="198"/>
      <c r="J30" s="198"/>
      <c r="K30" s="198"/>
      <c r="L30" s="198"/>
      <c r="M30" s="198"/>
      <c r="N30" s="198"/>
      <c r="O30" s="198"/>
      <c r="P30" s="198"/>
      <c r="Q30" s="198"/>
      <c r="R30" s="198"/>
      <c r="S30" s="198"/>
      <c r="T30" s="198"/>
      <c r="U30" s="198"/>
      <c r="V30" s="198"/>
      <c r="W30" s="198"/>
      <c r="X30" s="198"/>
      <c r="Y30" s="198"/>
      <c r="AA30" s="198"/>
      <c r="AB30" s="198"/>
      <c r="AC30" s="198"/>
      <c r="AD30" s="198"/>
      <c r="AE30" s="200"/>
      <c r="AF30" s="238"/>
      <c r="AG30" s="238"/>
      <c r="AH30" s="238"/>
    </row>
    <row r="31" spans="2:42" ht="15.75" hidden="1" customHeight="1" outlineLevel="1">
      <c r="B31" s="98" t="s">
        <v>159</v>
      </c>
      <c r="C31" s="188"/>
      <c r="D31" s="79">
        <f t="shared" ref="D31:Y31" si="21">D102</f>
        <v>100</v>
      </c>
      <c r="E31" s="79">
        <f t="shared" si="21"/>
        <v>105</v>
      </c>
      <c r="F31" s="79">
        <f t="shared" si="21"/>
        <v>110.25</v>
      </c>
      <c r="G31" s="79">
        <f t="shared" si="21"/>
        <v>115.7625</v>
      </c>
      <c r="H31" s="79">
        <f t="shared" si="21"/>
        <v>121.55062500000001</v>
      </c>
      <c r="I31" s="79">
        <f t="shared" si="21"/>
        <v>127.62815625000002</v>
      </c>
      <c r="J31" s="79">
        <f t="shared" si="21"/>
        <v>134.00956406250003</v>
      </c>
      <c r="K31" s="79">
        <f t="shared" si="21"/>
        <v>140.71004226562505</v>
      </c>
      <c r="L31" s="79">
        <f t="shared" si="21"/>
        <v>147.74554437890632</v>
      </c>
      <c r="M31" s="79">
        <f t="shared" si="21"/>
        <v>155.13282159785163</v>
      </c>
      <c r="N31" s="79">
        <f t="shared" si="21"/>
        <v>162.88946267774421</v>
      </c>
      <c r="O31" s="79">
        <f t="shared" si="21"/>
        <v>171.03393581163144</v>
      </c>
      <c r="P31" s="79">
        <f t="shared" si="21"/>
        <v>179.58563260221302</v>
      </c>
      <c r="Q31" s="79">
        <f t="shared" si="21"/>
        <v>188.56491423232367</v>
      </c>
      <c r="R31" s="79">
        <f t="shared" si="21"/>
        <v>197.99315994393987</v>
      </c>
      <c r="S31" s="79">
        <f t="shared" si="21"/>
        <v>207.89281794113688</v>
      </c>
      <c r="T31" s="79">
        <f t="shared" si="21"/>
        <v>218.28745883819374</v>
      </c>
      <c r="U31" s="79">
        <f t="shared" si="21"/>
        <v>229.20183178010345</v>
      </c>
      <c r="V31" s="79">
        <f t="shared" si="21"/>
        <v>240.66192336910862</v>
      </c>
      <c r="W31" s="79">
        <f t="shared" si="21"/>
        <v>252.69501953756406</v>
      </c>
      <c r="X31" s="79">
        <f t="shared" si="21"/>
        <v>265.32977051444226</v>
      </c>
      <c r="Y31" s="79">
        <f t="shared" si="21"/>
        <v>278.5962590401644</v>
      </c>
      <c r="AE31" s="57">
        <f t="shared" ref="AE31:AE37" si="22">IFERROR((Y31/D31)^(1/21)-1,"")</f>
        <v>5.0000000000000044E-2</v>
      </c>
      <c r="AF31" s="245"/>
      <c r="AG31" s="245"/>
      <c r="AH31" s="245"/>
    </row>
    <row r="32" spans="2:42" ht="15.75" hidden="1" customHeight="1" outlineLevel="1">
      <c r="B32" s="98" t="s">
        <v>160</v>
      </c>
      <c r="C32" s="188"/>
      <c r="D32" s="79" t="str">
        <f t="shared" ref="D32:Y32" ca="1" si="23">D103+D105</f>
        <v>#REF!</v>
      </c>
      <c r="E32" s="79" t="str">
        <f t="shared" ca="1" si="23"/>
        <v>#REF!</v>
      </c>
      <c r="F32" s="79" t="str">
        <f t="shared" ca="1" si="23"/>
        <v>#REF!</v>
      </c>
      <c r="G32" s="79" t="str">
        <f t="shared" ca="1" si="23"/>
        <v>#REF!</v>
      </c>
      <c r="H32" s="79" t="str">
        <f t="shared" ca="1" si="23"/>
        <v>#REF!</v>
      </c>
      <c r="I32" s="79" t="str">
        <f t="shared" ca="1" si="23"/>
        <v>#REF!</v>
      </c>
      <c r="J32" s="79" t="str">
        <f t="shared" ca="1" si="23"/>
        <v>#REF!</v>
      </c>
      <c r="K32" s="79" t="str">
        <f t="shared" ca="1" si="23"/>
        <v>#REF!</v>
      </c>
      <c r="L32" s="79" t="str">
        <f t="shared" ca="1" si="23"/>
        <v>#REF!</v>
      </c>
      <c r="M32" s="79" t="str">
        <f t="shared" ca="1" si="23"/>
        <v>#REF!</v>
      </c>
      <c r="N32" s="79" t="str">
        <f t="shared" ca="1" si="23"/>
        <v>#REF!</v>
      </c>
      <c r="O32" s="79" t="str">
        <f t="shared" ca="1" si="23"/>
        <v>#REF!</v>
      </c>
      <c r="P32" s="79" t="str">
        <f t="shared" ca="1" si="23"/>
        <v>#REF!</v>
      </c>
      <c r="Q32" s="79" t="str">
        <f t="shared" ca="1" si="23"/>
        <v>#REF!</v>
      </c>
      <c r="R32" s="79" t="str">
        <f t="shared" ca="1" si="23"/>
        <v>#REF!</v>
      </c>
      <c r="S32" s="79" t="str">
        <f t="shared" ca="1" si="23"/>
        <v>#REF!</v>
      </c>
      <c r="T32" s="79" t="str">
        <f t="shared" ca="1" si="23"/>
        <v>#REF!</v>
      </c>
      <c r="U32" s="79" t="str">
        <f t="shared" ca="1" si="23"/>
        <v>#REF!</v>
      </c>
      <c r="V32" s="79" t="str">
        <f t="shared" ca="1" si="23"/>
        <v>#REF!</v>
      </c>
      <c r="W32" s="79" t="str">
        <f t="shared" ca="1" si="23"/>
        <v>#REF!</v>
      </c>
      <c r="X32" s="79" t="str">
        <f t="shared" ca="1" si="23"/>
        <v>#REF!</v>
      </c>
      <c r="Y32" s="79" t="str">
        <f t="shared" ca="1" si="23"/>
        <v>#REF!</v>
      </c>
      <c r="AE32" s="57" t="str">
        <f t="shared" ca="1" si="22"/>
        <v/>
      </c>
      <c r="AF32" s="245"/>
      <c r="AG32" s="245"/>
      <c r="AH32" s="245"/>
    </row>
    <row r="33" spans="2:34" ht="15.75" hidden="1" customHeight="1" outlineLevel="1">
      <c r="B33" s="98" t="s">
        <v>161</v>
      </c>
      <c r="C33" s="188"/>
      <c r="D33" s="79">
        <f t="shared" ref="D33:Y33" ca="1" si="24">D104</f>
        <v>0</v>
      </c>
      <c r="E33" s="79">
        <f t="shared" ca="1" si="24"/>
        <v>0</v>
      </c>
      <c r="F33" s="79">
        <f t="shared" ca="1" si="24"/>
        <v>0</v>
      </c>
      <c r="G33" s="79">
        <f t="shared" ca="1" si="24"/>
        <v>0</v>
      </c>
      <c r="H33" s="79">
        <f t="shared" ca="1" si="24"/>
        <v>0</v>
      </c>
      <c r="I33" s="79">
        <f t="shared" ca="1" si="24"/>
        <v>0</v>
      </c>
      <c r="J33" s="79">
        <f t="shared" ca="1" si="24"/>
        <v>0</v>
      </c>
      <c r="K33" s="79">
        <f t="shared" ca="1" si="24"/>
        <v>0</v>
      </c>
      <c r="L33" s="79">
        <f t="shared" ca="1" si="24"/>
        <v>0</v>
      </c>
      <c r="M33" s="79">
        <f t="shared" ca="1" si="24"/>
        <v>0</v>
      </c>
      <c r="N33" s="79">
        <f t="shared" ca="1" si="24"/>
        <v>0</v>
      </c>
      <c r="O33" s="79">
        <f t="shared" ca="1" si="24"/>
        <v>0</v>
      </c>
      <c r="P33" s="79">
        <f t="shared" ca="1" si="24"/>
        <v>0</v>
      </c>
      <c r="Q33" s="79">
        <f t="shared" ca="1" si="24"/>
        <v>0</v>
      </c>
      <c r="R33" s="79">
        <f t="shared" ca="1" si="24"/>
        <v>0</v>
      </c>
      <c r="S33" s="79">
        <f t="shared" ca="1" si="24"/>
        <v>0</v>
      </c>
      <c r="T33" s="79">
        <f t="shared" ca="1" si="24"/>
        <v>0</v>
      </c>
      <c r="U33" s="79">
        <f t="shared" ca="1" si="24"/>
        <v>0</v>
      </c>
      <c r="V33" s="79">
        <f t="shared" ca="1" si="24"/>
        <v>0</v>
      </c>
      <c r="W33" s="79">
        <f t="shared" ca="1" si="24"/>
        <v>0</v>
      </c>
      <c r="X33" s="79">
        <f t="shared" ca="1" si="24"/>
        <v>0</v>
      </c>
      <c r="Y33" s="79">
        <f t="shared" ca="1" si="24"/>
        <v>0</v>
      </c>
      <c r="AE33" s="57" t="str">
        <f t="shared" ca="1" si="22"/>
        <v/>
      </c>
      <c r="AF33" s="245"/>
      <c r="AG33" s="245"/>
      <c r="AH33" s="245"/>
    </row>
    <row r="34" spans="2:34" ht="15.75" hidden="1" customHeight="1" outlineLevel="1">
      <c r="B34" s="98" t="s">
        <v>162</v>
      </c>
      <c r="C34" s="98"/>
      <c r="D34" s="79">
        <f t="shared" ref="D34:Y34" ca="1" si="25">D107</f>
        <v>0</v>
      </c>
      <c r="E34" s="79">
        <f t="shared" ca="1" si="25"/>
        <v>0</v>
      </c>
      <c r="F34" s="79">
        <f t="shared" ca="1" si="25"/>
        <v>0</v>
      </c>
      <c r="G34" s="79">
        <f t="shared" ca="1" si="25"/>
        <v>0</v>
      </c>
      <c r="H34" s="79">
        <f t="shared" ca="1" si="25"/>
        <v>0</v>
      </c>
      <c r="I34" s="79">
        <f t="shared" ca="1" si="25"/>
        <v>0</v>
      </c>
      <c r="J34" s="79">
        <f t="shared" ca="1" si="25"/>
        <v>0</v>
      </c>
      <c r="K34" s="79">
        <f t="shared" ca="1" si="25"/>
        <v>0</v>
      </c>
      <c r="L34" s="79">
        <f t="shared" ca="1" si="25"/>
        <v>0</v>
      </c>
      <c r="M34" s="79">
        <f t="shared" ca="1" si="25"/>
        <v>0</v>
      </c>
      <c r="N34" s="79">
        <f t="shared" ca="1" si="25"/>
        <v>0</v>
      </c>
      <c r="O34" s="79">
        <f t="shared" ca="1" si="25"/>
        <v>0</v>
      </c>
      <c r="P34" s="79">
        <f t="shared" ca="1" si="25"/>
        <v>0</v>
      </c>
      <c r="Q34" s="79">
        <f t="shared" ca="1" si="25"/>
        <v>0</v>
      </c>
      <c r="R34" s="79">
        <f t="shared" ca="1" si="25"/>
        <v>0</v>
      </c>
      <c r="S34" s="79">
        <f t="shared" ca="1" si="25"/>
        <v>0</v>
      </c>
      <c r="T34" s="79">
        <f t="shared" ca="1" si="25"/>
        <v>0</v>
      </c>
      <c r="U34" s="79">
        <f t="shared" ca="1" si="25"/>
        <v>0</v>
      </c>
      <c r="V34" s="79">
        <f t="shared" ca="1" si="25"/>
        <v>0</v>
      </c>
      <c r="W34" s="79">
        <f t="shared" ca="1" si="25"/>
        <v>0</v>
      </c>
      <c r="X34" s="79">
        <f t="shared" ca="1" si="25"/>
        <v>0</v>
      </c>
      <c r="Y34" s="79">
        <f t="shared" ca="1" si="25"/>
        <v>0</v>
      </c>
      <c r="AE34" s="57" t="str">
        <f t="shared" ca="1" si="22"/>
        <v/>
      </c>
      <c r="AF34" s="245"/>
      <c r="AG34" s="245"/>
      <c r="AH34" s="245"/>
    </row>
    <row r="35" spans="2:34" ht="15.75" hidden="1" customHeight="1" outlineLevel="1">
      <c r="B35" s="98" t="s">
        <v>163</v>
      </c>
      <c r="C35" s="188"/>
      <c r="D35" s="79" t="str">
        <f t="shared" ref="D35:Y35" ca="1" si="26">D109</f>
        <v>#REF!</v>
      </c>
      <c r="E35" s="79" t="str">
        <f t="shared" ca="1" si="26"/>
        <v>#REF!</v>
      </c>
      <c r="F35" s="79" t="str">
        <f t="shared" ca="1" si="26"/>
        <v>#REF!</v>
      </c>
      <c r="G35" s="79" t="str">
        <f t="shared" ca="1" si="26"/>
        <v>#REF!</v>
      </c>
      <c r="H35" s="79" t="str">
        <f t="shared" ca="1" si="26"/>
        <v>#REF!</v>
      </c>
      <c r="I35" s="79" t="str">
        <f t="shared" ca="1" si="26"/>
        <v>#REF!</v>
      </c>
      <c r="J35" s="79" t="str">
        <f t="shared" ca="1" si="26"/>
        <v>#REF!</v>
      </c>
      <c r="K35" s="79" t="str">
        <f t="shared" ca="1" si="26"/>
        <v>#REF!</v>
      </c>
      <c r="L35" s="79" t="str">
        <f t="shared" ca="1" si="26"/>
        <v>#REF!</v>
      </c>
      <c r="M35" s="79" t="str">
        <f t="shared" ca="1" si="26"/>
        <v>#REF!</v>
      </c>
      <c r="N35" s="79" t="str">
        <f t="shared" ca="1" si="26"/>
        <v>#REF!</v>
      </c>
      <c r="O35" s="79" t="str">
        <f t="shared" ca="1" si="26"/>
        <v>#REF!</v>
      </c>
      <c r="P35" s="79" t="str">
        <f t="shared" ca="1" si="26"/>
        <v>#REF!</v>
      </c>
      <c r="Q35" s="79" t="str">
        <f t="shared" ca="1" si="26"/>
        <v>#REF!</v>
      </c>
      <c r="R35" s="79" t="str">
        <f t="shared" ca="1" si="26"/>
        <v>#REF!</v>
      </c>
      <c r="S35" s="79" t="str">
        <f t="shared" ca="1" si="26"/>
        <v>#REF!</v>
      </c>
      <c r="T35" s="79" t="str">
        <f t="shared" ca="1" si="26"/>
        <v>#REF!</v>
      </c>
      <c r="U35" s="79" t="str">
        <f t="shared" ca="1" si="26"/>
        <v>#REF!</v>
      </c>
      <c r="V35" s="79" t="str">
        <f t="shared" ca="1" si="26"/>
        <v>#REF!</v>
      </c>
      <c r="W35" s="79" t="str">
        <f t="shared" ca="1" si="26"/>
        <v>#REF!</v>
      </c>
      <c r="X35" s="79" t="str">
        <f t="shared" ca="1" si="26"/>
        <v>#REF!</v>
      </c>
      <c r="Y35" s="79" t="str">
        <f t="shared" ca="1" si="26"/>
        <v>#REF!</v>
      </c>
      <c r="AE35" s="57" t="str">
        <f t="shared" ca="1" si="22"/>
        <v/>
      </c>
      <c r="AF35" s="245"/>
      <c r="AG35" s="245"/>
      <c r="AH35" s="245"/>
    </row>
    <row r="36" spans="2:34" ht="15.75" hidden="1" customHeight="1" outlineLevel="1">
      <c r="B36" s="98" t="s">
        <v>164</v>
      </c>
      <c r="C36" s="188"/>
      <c r="D36" s="79" t="str">
        <f t="shared" ref="D36:Y36" ca="1" si="27">D111</f>
        <v>#REF!</v>
      </c>
      <c r="E36" s="79" t="str">
        <f t="shared" ca="1" si="27"/>
        <v>#REF!</v>
      </c>
      <c r="F36" s="79" t="str">
        <f t="shared" ca="1" si="27"/>
        <v>#REF!</v>
      </c>
      <c r="G36" s="79" t="str">
        <f t="shared" ca="1" si="27"/>
        <v>#REF!</v>
      </c>
      <c r="H36" s="79" t="str">
        <f t="shared" ca="1" si="27"/>
        <v>#REF!</v>
      </c>
      <c r="I36" s="79" t="str">
        <f t="shared" ca="1" si="27"/>
        <v>#REF!</v>
      </c>
      <c r="J36" s="79" t="str">
        <f t="shared" ca="1" si="27"/>
        <v>#REF!</v>
      </c>
      <c r="K36" s="79" t="str">
        <f t="shared" ca="1" si="27"/>
        <v>#REF!</v>
      </c>
      <c r="L36" s="79" t="str">
        <f t="shared" ca="1" si="27"/>
        <v>#REF!</v>
      </c>
      <c r="M36" s="79" t="str">
        <f t="shared" ca="1" si="27"/>
        <v>#REF!</v>
      </c>
      <c r="N36" s="79" t="str">
        <f t="shared" ca="1" si="27"/>
        <v>#REF!</v>
      </c>
      <c r="O36" s="79" t="str">
        <f t="shared" ca="1" si="27"/>
        <v>#REF!</v>
      </c>
      <c r="P36" s="79" t="str">
        <f t="shared" ca="1" si="27"/>
        <v>#REF!</v>
      </c>
      <c r="Q36" s="79" t="str">
        <f t="shared" ca="1" si="27"/>
        <v>#REF!</v>
      </c>
      <c r="R36" s="79" t="str">
        <f t="shared" ca="1" si="27"/>
        <v>#REF!</v>
      </c>
      <c r="S36" s="79" t="str">
        <f t="shared" ca="1" si="27"/>
        <v>#REF!</v>
      </c>
      <c r="T36" s="79" t="str">
        <f t="shared" ca="1" si="27"/>
        <v>#REF!</v>
      </c>
      <c r="U36" s="79" t="str">
        <f t="shared" ca="1" si="27"/>
        <v>#REF!</v>
      </c>
      <c r="V36" s="79" t="str">
        <f t="shared" ca="1" si="27"/>
        <v>#REF!</v>
      </c>
      <c r="W36" s="79" t="str">
        <f t="shared" ca="1" si="27"/>
        <v>#REF!</v>
      </c>
      <c r="X36" s="79" t="str">
        <f t="shared" ca="1" si="27"/>
        <v>#REF!</v>
      </c>
      <c r="Y36" s="79" t="str">
        <f t="shared" ca="1" si="27"/>
        <v>#REF!</v>
      </c>
      <c r="AE36" s="57" t="str">
        <f t="shared" ca="1" si="22"/>
        <v/>
      </c>
      <c r="AF36" s="245"/>
      <c r="AG36" s="245"/>
      <c r="AH36" s="245"/>
    </row>
    <row r="37" spans="2:34" ht="15.75" hidden="1" customHeight="1" outlineLevel="1">
      <c r="B37" s="201" t="s">
        <v>165</v>
      </c>
      <c r="C37" s="239"/>
      <c r="D37" s="202" t="str">
        <f t="shared" ref="D37:Y37" ca="1" si="28">SUM(D31:D36)</f>
        <v>#REF!</v>
      </c>
      <c r="E37" s="202" t="str">
        <f t="shared" ca="1" si="28"/>
        <v>#REF!</v>
      </c>
      <c r="F37" s="202" t="str">
        <f t="shared" ca="1" si="28"/>
        <v>#REF!</v>
      </c>
      <c r="G37" s="202" t="str">
        <f t="shared" ca="1" si="28"/>
        <v>#REF!</v>
      </c>
      <c r="H37" s="202" t="str">
        <f t="shared" ca="1" si="28"/>
        <v>#REF!</v>
      </c>
      <c r="I37" s="202" t="str">
        <f t="shared" ca="1" si="28"/>
        <v>#REF!</v>
      </c>
      <c r="J37" s="202" t="str">
        <f t="shared" ca="1" si="28"/>
        <v>#REF!</v>
      </c>
      <c r="K37" s="202" t="str">
        <f t="shared" ca="1" si="28"/>
        <v>#REF!</v>
      </c>
      <c r="L37" s="202" t="str">
        <f t="shared" ca="1" si="28"/>
        <v>#REF!</v>
      </c>
      <c r="M37" s="202" t="str">
        <f t="shared" ca="1" si="28"/>
        <v>#REF!</v>
      </c>
      <c r="N37" s="202" t="str">
        <f t="shared" ca="1" si="28"/>
        <v>#REF!</v>
      </c>
      <c r="O37" s="202" t="str">
        <f t="shared" ca="1" si="28"/>
        <v>#REF!</v>
      </c>
      <c r="P37" s="202" t="str">
        <f t="shared" ca="1" si="28"/>
        <v>#REF!</v>
      </c>
      <c r="Q37" s="202" t="str">
        <f t="shared" ca="1" si="28"/>
        <v>#REF!</v>
      </c>
      <c r="R37" s="202" t="str">
        <f t="shared" ca="1" si="28"/>
        <v>#REF!</v>
      </c>
      <c r="S37" s="202" t="str">
        <f t="shared" ca="1" si="28"/>
        <v>#REF!</v>
      </c>
      <c r="T37" s="202" t="str">
        <f t="shared" ca="1" si="28"/>
        <v>#REF!</v>
      </c>
      <c r="U37" s="202" t="str">
        <f t="shared" ca="1" si="28"/>
        <v>#REF!</v>
      </c>
      <c r="V37" s="202" t="str">
        <f t="shared" ca="1" si="28"/>
        <v>#REF!</v>
      </c>
      <c r="W37" s="202" t="str">
        <f t="shared" ca="1" si="28"/>
        <v>#REF!</v>
      </c>
      <c r="X37" s="202" t="str">
        <f t="shared" ca="1" si="28"/>
        <v>#REF!</v>
      </c>
      <c r="Y37" s="202" t="str">
        <f t="shared" ca="1" si="28"/>
        <v>#REF!</v>
      </c>
      <c r="Z37" s="201"/>
      <c r="AA37" s="201"/>
      <c r="AB37" s="201"/>
      <c r="AC37" s="201"/>
      <c r="AD37" s="201"/>
      <c r="AE37" s="203" t="str">
        <f t="shared" ca="1" si="22"/>
        <v/>
      </c>
      <c r="AF37" s="240"/>
      <c r="AG37" s="240"/>
      <c r="AH37" s="240"/>
    </row>
    <row r="38" spans="2:34" ht="3.75" hidden="1" customHeight="1" outlineLevel="1">
      <c r="C38" s="188"/>
      <c r="AE38" s="57"/>
      <c r="AF38" s="245"/>
      <c r="AG38" s="245"/>
      <c r="AH38" s="245"/>
    </row>
    <row r="39" spans="2:34" ht="15.75" customHeight="1" collapsed="1">
      <c r="B39" s="197" t="s">
        <v>166</v>
      </c>
      <c r="C39" s="197"/>
      <c r="D39" s="198"/>
      <c r="E39" s="198"/>
      <c r="F39" s="198"/>
      <c r="G39" s="198"/>
      <c r="H39" s="198"/>
      <c r="I39" s="198"/>
      <c r="J39" s="198"/>
      <c r="K39" s="198"/>
      <c r="L39" s="198"/>
      <c r="M39" s="198"/>
      <c r="N39" s="198"/>
      <c r="O39" s="198"/>
      <c r="P39" s="198"/>
      <c r="Q39" s="198"/>
      <c r="R39" s="198"/>
      <c r="S39" s="198"/>
      <c r="T39" s="198"/>
      <c r="U39" s="198"/>
      <c r="V39" s="198"/>
      <c r="W39" s="198"/>
      <c r="X39" s="198"/>
      <c r="Y39" s="198"/>
      <c r="AA39" s="198"/>
      <c r="AB39" s="198"/>
      <c r="AC39" s="198"/>
      <c r="AD39" s="198"/>
      <c r="AE39" s="200"/>
      <c r="AF39" s="238"/>
      <c r="AG39" s="238"/>
      <c r="AH39" s="238"/>
    </row>
    <row r="40" spans="2:34" ht="15.75" customHeight="1">
      <c r="B40" s="204" t="s">
        <v>167</v>
      </c>
      <c r="C40" s="204"/>
      <c r="D40" s="205">
        <f t="shared" ref="D40:Y40" si="29">D125</f>
        <v>1000</v>
      </c>
      <c r="E40" s="205">
        <f t="shared" si="29"/>
        <v>1050</v>
      </c>
      <c r="F40" s="205">
        <f t="shared" si="29"/>
        <v>1102.5</v>
      </c>
      <c r="G40" s="205">
        <f t="shared" si="29"/>
        <v>1157.625</v>
      </c>
      <c r="H40" s="205">
        <f t="shared" si="29"/>
        <v>1215.5062500000001</v>
      </c>
      <c r="I40" s="205">
        <f t="shared" si="29"/>
        <v>1276.2815625000003</v>
      </c>
      <c r="J40" s="205">
        <f t="shared" si="29"/>
        <v>1340.0956406250002</v>
      </c>
      <c r="K40" s="205">
        <f t="shared" si="29"/>
        <v>1407.1004226562504</v>
      </c>
      <c r="L40" s="205">
        <f t="shared" si="29"/>
        <v>1477.4554437890631</v>
      </c>
      <c r="M40" s="205">
        <f t="shared" si="29"/>
        <v>1551.3282159785163</v>
      </c>
      <c r="N40" s="205">
        <f t="shared" si="29"/>
        <v>1628.894626777442</v>
      </c>
      <c r="O40" s="205">
        <f t="shared" si="29"/>
        <v>1710.3393581163143</v>
      </c>
      <c r="P40" s="205">
        <f t="shared" si="29"/>
        <v>1795.8563260221304</v>
      </c>
      <c r="Q40" s="205">
        <f t="shared" si="29"/>
        <v>1885.6491423232367</v>
      </c>
      <c r="R40" s="205">
        <f t="shared" si="29"/>
        <v>1979.9315994393987</v>
      </c>
      <c r="S40" s="205">
        <f t="shared" si="29"/>
        <v>2078.928179411369</v>
      </c>
      <c r="T40" s="205">
        <f t="shared" si="29"/>
        <v>2182.8745883819374</v>
      </c>
      <c r="U40" s="205">
        <f t="shared" si="29"/>
        <v>2292.0183178010343</v>
      </c>
      <c r="V40" s="205">
        <f t="shared" si="29"/>
        <v>2406.6192336910863</v>
      </c>
      <c r="W40" s="205">
        <f t="shared" si="29"/>
        <v>2526.9501953756408</v>
      </c>
      <c r="X40" s="205">
        <f t="shared" si="29"/>
        <v>2653.2977051444227</v>
      </c>
      <c r="Y40" s="205">
        <f t="shared" si="29"/>
        <v>2785.9625904016439</v>
      </c>
      <c r="AA40" s="230"/>
      <c r="AB40" s="230"/>
      <c r="AC40" s="230"/>
      <c r="AD40" s="230"/>
      <c r="AE40" s="206">
        <f t="shared" ref="AE40:AE48" si="30">IFERROR((Y40/D40)^(1/21)-1,"")</f>
        <v>5.0000000000000044E-2</v>
      </c>
      <c r="AF40" s="245"/>
      <c r="AG40" s="245"/>
      <c r="AH40" s="245"/>
    </row>
    <row r="41" spans="2:34" ht="15.75" customHeight="1">
      <c r="B41" s="98" t="s">
        <v>168</v>
      </c>
      <c r="C41" s="188"/>
      <c r="D41" s="79" t="str">
        <f t="shared" ref="D41:Y41" ca="1" si="31">-D25</f>
        <v>#REF!</v>
      </c>
      <c r="E41" s="79" t="str">
        <f t="shared" ca="1" si="31"/>
        <v>#REF!</v>
      </c>
      <c r="F41" s="79" t="str">
        <f t="shared" ca="1" si="31"/>
        <v>#REF!</v>
      </c>
      <c r="G41" s="79" t="str">
        <f t="shared" ca="1" si="31"/>
        <v>#REF!</v>
      </c>
      <c r="H41" s="79" t="str">
        <f t="shared" ca="1" si="31"/>
        <v>#REF!</v>
      </c>
      <c r="I41" s="79" t="str">
        <f t="shared" ca="1" si="31"/>
        <v>#REF!</v>
      </c>
      <c r="J41" s="79" t="str">
        <f t="shared" ca="1" si="31"/>
        <v>#REF!</v>
      </c>
      <c r="K41" s="79" t="str">
        <f t="shared" ca="1" si="31"/>
        <v>#REF!</v>
      </c>
      <c r="L41" s="79" t="str">
        <f t="shared" ca="1" si="31"/>
        <v>#REF!</v>
      </c>
      <c r="M41" s="79" t="str">
        <f t="shared" ca="1" si="31"/>
        <v>#REF!</v>
      </c>
      <c r="N41" s="79" t="str">
        <f t="shared" ca="1" si="31"/>
        <v>#REF!</v>
      </c>
      <c r="O41" s="79" t="str">
        <f t="shared" ca="1" si="31"/>
        <v>#REF!</v>
      </c>
      <c r="P41" s="79" t="str">
        <f t="shared" ca="1" si="31"/>
        <v>#REF!</v>
      </c>
      <c r="Q41" s="79" t="str">
        <f t="shared" ca="1" si="31"/>
        <v>#REF!</v>
      </c>
      <c r="R41" s="79" t="str">
        <f t="shared" ca="1" si="31"/>
        <v>#REF!</v>
      </c>
      <c r="S41" s="79" t="str">
        <f t="shared" ca="1" si="31"/>
        <v>#REF!</v>
      </c>
      <c r="T41" s="79" t="str">
        <f t="shared" ca="1" si="31"/>
        <v>#REF!</v>
      </c>
      <c r="U41" s="79" t="str">
        <f t="shared" ca="1" si="31"/>
        <v>#REF!</v>
      </c>
      <c r="V41" s="79" t="str">
        <f t="shared" ca="1" si="31"/>
        <v>#REF!</v>
      </c>
      <c r="W41" s="79" t="str">
        <f t="shared" ca="1" si="31"/>
        <v>#REF!</v>
      </c>
      <c r="X41" s="79" t="str">
        <f t="shared" ca="1" si="31"/>
        <v>#REF!</v>
      </c>
      <c r="Y41" s="79" t="str">
        <f t="shared" ca="1" si="31"/>
        <v>#REF!</v>
      </c>
      <c r="AE41" s="57" t="str">
        <f t="shared" ca="1" si="30"/>
        <v/>
      </c>
      <c r="AF41" s="245"/>
      <c r="AG41" s="245"/>
      <c r="AH41" s="245"/>
    </row>
    <row r="42" spans="2:34" ht="15.75" customHeight="1">
      <c r="B42" s="98" t="s">
        <v>169</v>
      </c>
      <c r="C42" s="188"/>
      <c r="D42" s="79" t="str">
        <f t="shared" ref="D42:Y42" ca="1" si="32">D24</f>
        <v>#REF!</v>
      </c>
      <c r="E42" s="79" t="str">
        <f t="shared" ca="1" si="32"/>
        <v>#REF!</v>
      </c>
      <c r="F42" s="79" t="str">
        <f t="shared" ca="1" si="32"/>
        <v>#REF!</v>
      </c>
      <c r="G42" s="79" t="str">
        <f t="shared" ca="1" si="32"/>
        <v>#REF!</v>
      </c>
      <c r="H42" s="79" t="str">
        <f t="shared" ca="1" si="32"/>
        <v>#REF!</v>
      </c>
      <c r="I42" s="79" t="str">
        <f t="shared" ca="1" si="32"/>
        <v>#REF!</v>
      </c>
      <c r="J42" s="79" t="str">
        <f t="shared" ca="1" si="32"/>
        <v>#REF!</v>
      </c>
      <c r="K42" s="79" t="str">
        <f t="shared" ca="1" si="32"/>
        <v>#REF!</v>
      </c>
      <c r="L42" s="79" t="str">
        <f t="shared" ca="1" si="32"/>
        <v>#REF!</v>
      </c>
      <c r="M42" s="79" t="str">
        <f t="shared" ca="1" si="32"/>
        <v>#REF!</v>
      </c>
      <c r="N42" s="79" t="str">
        <f t="shared" ca="1" si="32"/>
        <v>#REF!</v>
      </c>
      <c r="O42" s="79" t="str">
        <f t="shared" ca="1" si="32"/>
        <v>#REF!</v>
      </c>
      <c r="P42" s="79" t="str">
        <f t="shared" ca="1" si="32"/>
        <v>#REF!</v>
      </c>
      <c r="Q42" s="79" t="str">
        <f t="shared" ca="1" si="32"/>
        <v>#REF!</v>
      </c>
      <c r="R42" s="79" t="str">
        <f t="shared" ca="1" si="32"/>
        <v>#REF!</v>
      </c>
      <c r="S42" s="79" t="str">
        <f t="shared" ca="1" si="32"/>
        <v>#REF!</v>
      </c>
      <c r="T42" s="79" t="str">
        <f t="shared" ca="1" si="32"/>
        <v>#REF!</v>
      </c>
      <c r="U42" s="79" t="str">
        <f t="shared" ca="1" si="32"/>
        <v>#REF!</v>
      </c>
      <c r="V42" s="79" t="str">
        <f t="shared" ca="1" si="32"/>
        <v>#REF!</v>
      </c>
      <c r="W42" s="79" t="str">
        <f t="shared" ca="1" si="32"/>
        <v>#REF!</v>
      </c>
      <c r="X42" s="79" t="str">
        <f t="shared" ca="1" si="32"/>
        <v>#REF!</v>
      </c>
      <c r="Y42" s="79" t="str">
        <f t="shared" ca="1" si="32"/>
        <v>#REF!</v>
      </c>
      <c r="AE42" s="57" t="str">
        <f t="shared" ca="1" si="30"/>
        <v/>
      </c>
      <c r="AF42" s="245"/>
      <c r="AG42" s="245"/>
      <c r="AH42" s="245"/>
    </row>
    <row r="43" spans="2:34" ht="15.75" customHeight="1">
      <c r="B43" s="98" t="s">
        <v>170</v>
      </c>
      <c r="C43" s="188"/>
      <c r="D43" s="79" t="str">
        <f t="shared" ref="D43:Y43" ca="1" si="33">D129</f>
        <v>#REF!</v>
      </c>
      <c r="E43" s="79" t="str">
        <f t="shared" ca="1" si="33"/>
        <v>#REF!</v>
      </c>
      <c r="F43" s="79" t="str">
        <f t="shared" ca="1" si="33"/>
        <v>#REF!</v>
      </c>
      <c r="G43" s="79" t="str">
        <f t="shared" ca="1" si="33"/>
        <v>#REF!</v>
      </c>
      <c r="H43" s="79" t="str">
        <f t="shared" ca="1" si="33"/>
        <v>#REF!</v>
      </c>
      <c r="I43" s="79" t="str">
        <f t="shared" ca="1" si="33"/>
        <v>#REF!</v>
      </c>
      <c r="J43" s="79" t="str">
        <f t="shared" ca="1" si="33"/>
        <v>#REF!</v>
      </c>
      <c r="K43" s="79" t="str">
        <f t="shared" ca="1" si="33"/>
        <v>#REF!</v>
      </c>
      <c r="L43" s="79" t="str">
        <f t="shared" ca="1" si="33"/>
        <v>#REF!</v>
      </c>
      <c r="M43" s="79" t="str">
        <f t="shared" ca="1" si="33"/>
        <v>#REF!</v>
      </c>
      <c r="N43" s="79" t="str">
        <f t="shared" ca="1" si="33"/>
        <v>#REF!</v>
      </c>
      <c r="O43" s="79" t="str">
        <f t="shared" ca="1" si="33"/>
        <v>#REF!</v>
      </c>
      <c r="P43" s="79" t="str">
        <f t="shared" ca="1" si="33"/>
        <v>#REF!</v>
      </c>
      <c r="Q43" s="79" t="str">
        <f t="shared" ca="1" si="33"/>
        <v>#REF!</v>
      </c>
      <c r="R43" s="79" t="str">
        <f t="shared" ca="1" si="33"/>
        <v>#REF!</v>
      </c>
      <c r="S43" s="79" t="str">
        <f t="shared" ca="1" si="33"/>
        <v>#REF!</v>
      </c>
      <c r="T43" s="79" t="str">
        <f t="shared" ca="1" si="33"/>
        <v>#REF!</v>
      </c>
      <c r="U43" s="79" t="str">
        <f t="shared" ca="1" si="33"/>
        <v>#REF!</v>
      </c>
      <c r="V43" s="79" t="str">
        <f t="shared" ca="1" si="33"/>
        <v>#REF!</v>
      </c>
      <c r="W43" s="79" t="str">
        <f t="shared" ca="1" si="33"/>
        <v>#REF!</v>
      </c>
      <c r="X43" s="79" t="str">
        <f t="shared" ca="1" si="33"/>
        <v>#REF!</v>
      </c>
      <c r="Y43" s="79" t="str">
        <f t="shared" ca="1" si="33"/>
        <v>#REF!</v>
      </c>
      <c r="AE43" s="57" t="str">
        <f t="shared" ca="1" si="30"/>
        <v/>
      </c>
      <c r="AF43" s="245"/>
      <c r="AG43" s="245"/>
      <c r="AH43" s="245"/>
    </row>
    <row r="44" spans="2:34" ht="15.75" customHeight="1">
      <c r="B44" s="204" t="s">
        <v>171</v>
      </c>
      <c r="C44" s="236"/>
      <c r="D44" s="205" t="str">
        <f t="shared" ref="D44:Y44" ca="1" si="34">SUM(D40:D43)</f>
        <v>#REF!</v>
      </c>
      <c r="E44" s="205" t="str">
        <f t="shared" ca="1" si="34"/>
        <v>#REF!</v>
      </c>
      <c r="F44" s="205" t="str">
        <f t="shared" ca="1" si="34"/>
        <v>#REF!</v>
      </c>
      <c r="G44" s="205" t="str">
        <f t="shared" ca="1" si="34"/>
        <v>#REF!</v>
      </c>
      <c r="H44" s="205" t="str">
        <f t="shared" ca="1" si="34"/>
        <v>#REF!</v>
      </c>
      <c r="I44" s="205" t="str">
        <f t="shared" ca="1" si="34"/>
        <v>#REF!</v>
      </c>
      <c r="J44" s="205" t="str">
        <f t="shared" ca="1" si="34"/>
        <v>#REF!</v>
      </c>
      <c r="K44" s="205" t="str">
        <f t="shared" ca="1" si="34"/>
        <v>#REF!</v>
      </c>
      <c r="L44" s="205" t="str">
        <f t="shared" ca="1" si="34"/>
        <v>#REF!</v>
      </c>
      <c r="M44" s="205" t="str">
        <f t="shared" ca="1" si="34"/>
        <v>#REF!</v>
      </c>
      <c r="N44" s="205" t="str">
        <f t="shared" ca="1" si="34"/>
        <v>#REF!</v>
      </c>
      <c r="O44" s="205" t="str">
        <f t="shared" ca="1" si="34"/>
        <v>#REF!</v>
      </c>
      <c r="P44" s="205" t="str">
        <f t="shared" ca="1" si="34"/>
        <v>#REF!</v>
      </c>
      <c r="Q44" s="205" t="str">
        <f t="shared" ca="1" si="34"/>
        <v>#REF!</v>
      </c>
      <c r="R44" s="205" t="str">
        <f t="shared" ca="1" si="34"/>
        <v>#REF!</v>
      </c>
      <c r="S44" s="205" t="str">
        <f t="shared" ca="1" si="34"/>
        <v>#REF!</v>
      </c>
      <c r="T44" s="205" t="str">
        <f t="shared" ca="1" si="34"/>
        <v>#REF!</v>
      </c>
      <c r="U44" s="205" t="str">
        <f t="shared" ca="1" si="34"/>
        <v>#REF!</v>
      </c>
      <c r="V44" s="205" t="str">
        <f t="shared" ca="1" si="34"/>
        <v>#REF!</v>
      </c>
      <c r="W44" s="205" t="str">
        <f t="shared" ca="1" si="34"/>
        <v>#REF!</v>
      </c>
      <c r="X44" s="205" t="str">
        <f t="shared" ca="1" si="34"/>
        <v>#REF!</v>
      </c>
      <c r="Y44" s="205" t="str">
        <f t="shared" ca="1" si="34"/>
        <v>#REF!</v>
      </c>
      <c r="AA44" s="230"/>
      <c r="AB44" s="230"/>
      <c r="AC44" s="230"/>
      <c r="AD44" s="230"/>
      <c r="AE44" s="206" t="str">
        <f t="shared" ca="1" si="30"/>
        <v/>
      </c>
      <c r="AF44" s="185"/>
      <c r="AG44" s="185"/>
      <c r="AH44" s="185"/>
    </row>
    <row r="45" spans="2:34" ht="15.75" customHeight="1">
      <c r="B45" s="74" t="s">
        <v>172</v>
      </c>
      <c r="C45" s="74"/>
      <c r="D45" s="134">
        <f t="shared" ref="D45:Y45" si="35">D133/10^6</f>
        <v>8.5</v>
      </c>
      <c r="E45" s="134">
        <f t="shared" si="35"/>
        <v>8.5</v>
      </c>
      <c r="F45" s="134">
        <f t="shared" si="35"/>
        <v>8.5</v>
      </c>
      <c r="G45" s="134">
        <f t="shared" si="35"/>
        <v>8.5</v>
      </c>
      <c r="H45" s="134">
        <f t="shared" si="35"/>
        <v>8.5</v>
      </c>
      <c r="I45" s="134">
        <f t="shared" si="35"/>
        <v>8.5</v>
      </c>
      <c r="J45" s="134">
        <f t="shared" si="35"/>
        <v>8.5</v>
      </c>
      <c r="K45" s="134">
        <f t="shared" si="35"/>
        <v>8.5</v>
      </c>
      <c r="L45" s="134">
        <f t="shared" si="35"/>
        <v>8.5</v>
      </c>
      <c r="M45" s="134">
        <f t="shared" si="35"/>
        <v>8.5</v>
      </c>
      <c r="N45" s="134">
        <f t="shared" si="35"/>
        <v>8.5</v>
      </c>
      <c r="O45" s="134">
        <f t="shared" si="35"/>
        <v>8.5</v>
      </c>
      <c r="P45" s="134">
        <f t="shared" si="35"/>
        <v>8.5</v>
      </c>
      <c r="Q45" s="134">
        <f t="shared" si="35"/>
        <v>8.5</v>
      </c>
      <c r="R45" s="134">
        <f t="shared" si="35"/>
        <v>8.5</v>
      </c>
      <c r="S45" s="134">
        <f t="shared" si="35"/>
        <v>8.5</v>
      </c>
      <c r="T45" s="134">
        <f t="shared" si="35"/>
        <v>8.5</v>
      </c>
      <c r="U45" s="134">
        <f t="shared" si="35"/>
        <v>8.5</v>
      </c>
      <c r="V45" s="134">
        <f t="shared" si="35"/>
        <v>8.5</v>
      </c>
      <c r="W45" s="134">
        <f t="shared" si="35"/>
        <v>8.5</v>
      </c>
      <c r="X45" s="134">
        <f t="shared" si="35"/>
        <v>8.5</v>
      </c>
      <c r="Y45" s="134">
        <f t="shared" si="35"/>
        <v>8.5</v>
      </c>
      <c r="AE45" s="57">
        <f t="shared" si="30"/>
        <v>0</v>
      </c>
      <c r="AF45" s="245"/>
      <c r="AG45" s="245"/>
      <c r="AH45" s="245"/>
    </row>
    <row r="46" spans="2:34" ht="15.75" customHeight="1">
      <c r="B46" s="98" t="s">
        <v>173</v>
      </c>
      <c r="C46" s="188"/>
      <c r="D46" s="79" t="str">
        <f t="shared" ref="D46:Y46" ca="1" si="36">D44/D45</f>
        <v>#REF!</v>
      </c>
      <c r="E46" s="79" t="str">
        <f t="shared" ca="1" si="36"/>
        <v>#REF!</v>
      </c>
      <c r="F46" s="79" t="str">
        <f t="shared" ca="1" si="36"/>
        <v>#REF!</v>
      </c>
      <c r="G46" s="79" t="str">
        <f t="shared" ca="1" si="36"/>
        <v>#REF!</v>
      </c>
      <c r="H46" s="79" t="str">
        <f t="shared" ca="1" si="36"/>
        <v>#REF!</v>
      </c>
      <c r="I46" s="79" t="str">
        <f t="shared" ca="1" si="36"/>
        <v>#REF!</v>
      </c>
      <c r="J46" s="79" t="str">
        <f t="shared" ca="1" si="36"/>
        <v>#REF!</v>
      </c>
      <c r="K46" s="79" t="str">
        <f t="shared" ca="1" si="36"/>
        <v>#REF!</v>
      </c>
      <c r="L46" s="79" t="str">
        <f t="shared" ca="1" si="36"/>
        <v>#REF!</v>
      </c>
      <c r="M46" s="79" t="str">
        <f t="shared" ca="1" si="36"/>
        <v>#REF!</v>
      </c>
      <c r="N46" s="79" t="str">
        <f t="shared" ca="1" si="36"/>
        <v>#REF!</v>
      </c>
      <c r="O46" s="79" t="str">
        <f t="shared" ca="1" si="36"/>
        <v>#REF!</v>
      </c>
      <c r="P46" s="79" t="str">
        <f t="shared" ca="1" si="36"/>
        <v>#REF!</v>
      </c>
      <c r="Q46" s="79" t="str">
        <f t="shared" ca="1" si="36"/>
        <v>#REF!</v>
      </c>
      <c r="R46" s="79" t="str">
        <f t="shared" ca="1" si="36"/>
        <v>#REF!</v>
      </c>
      <c r="S46" s="79" t="str">
        <f t="shared" ca="1" si="36"/>
        <v>#REF!</v>
      </c>
      <c r="T46" s="79" t="str">
        <f t="shared" ca="1" si="36"/>
        <v>#REF!</v>
      </c>
      <c r="U46" s="79" t="str">
        <f t="shared" ca="1" si="36"/>
        <v>#REF!</v>
      </c>
      <c r="V46" s="79" t="str">
        <f t="shared" ca="1" si="36"/>
        <v>#REF!</v>
      </c>
      <c r="W46" s="79" t="str">
        <f t="shared" ca="1" si="36"/>
        <v>#REF!</v>
      </c>
      <c r="X46" s="79" t="str">
        <f t="shared" ca="1" si="36"/>
        <v>#REF!</v>
      </c>
      <c r="Y46" s="79" t="str">
        <f t="shared" ca="1" si="36"/>
        <v>#REF!</v>
      </c>
      <c r="AE46" s="57" t="str">
        <f t="shared" ca="1" si="30"/>
        <v/>
      </c>
      <c r="AF46" s="245"/>
      <c r="AG46" s="245"/>
      <c r="AH46" s="245"/>
    </row>
    <row r="47" spans="2:34" ht="15.75" customHeight="1">
      <c r="B47" s="98" t="s">
        <v>174</v>
      </c>
      <c r="C47" s="188"/>
      <c r="D47" s="79" t="str">
        <f t="shared" ref="D47:Y47" ca="1" si="37">D137</f>
        <v>#REF!</v>
      </c>
      <c r="E47" s="79" t="str">
        <f t="shared" ca="1" si="37"/>
        <v>#REF!</v>
      </c>
      <c r="F47" s="79" t="str">
        <f t="shared" ca="1" si="37"/>
        <v>#REF!</v>
      </c>
      <c r="G47" s="79" t="str">
        <f t="shared" ca="1" si="37"/>
        <v>#REF!</v>
      </c>
      <c r="H47" s="79" t="str">
        <f t="shared" ca="1" si="37"/>
        <v>#REF!</v>
      </c>
      <c r="I47" s="79" t="str">
        <f t="shared" ca="1" si="37"/>
        <v>#REF!</v>
      </c>
      <c r="J47" s="79" t="str">
        <f t="shared" ca="1" si="37"/>
        <v>#REF!</v>
      </c>
      <c r="K47" s="79" t="str">
        <f t="shared" ca="1" si="37"/>
        <v>#REF!</v>
      </c>
      <c r="L47" s="79" t="str">
        <f t="shared" ca="1" si="37"/>
        <v>#REF!</v>
      </c>
      <c r="M47" s="79" t="str">
        <f t="shared" ca="1" si="37"/>
        <v>#REF!</v>
      </c>
      <c r="N47" s="79" t="str">
        <f t="shared" ca="1" si="37"/>
        <v>#REF!</v>
      </c>
      <c r="O47" s="79" t="str">
        <f t="shared" ca="1" si="37"/>
        <v>#REF!</v>
      </c>
      <c r="P47" s="79" t="str">
        <f t="shared" ca="1" si="37"/>
        <v>#REF!</v>
      </c>
      <c r="Q47" s="79" t="str">
        <f t="shared" ca="1" si="37"/>
        <v>#REF!</v>
      </c>
      <c r="R47" s="79" t="str">
        <f t="shared" ca="1" si="37"/>
        <v>#REF!</v>
      </c>
      <c r="S47" s="79" t="str">
        <f t="shared" ca="1" si="37"/>
        <v>#REF!</v>
      </c>
      <c r="T47" s="79" t="str">
        <f t="shared" ca="1" si="37"/>
        <v>#REF!</v>
      </c>
      <c r="U47" s="79" t="str">
        <f t="shared" ca="1" si="37"/>
        <v>#REF!</v>
      </c>
      <c r="V47" s="79" t="str">
        <f t="shared" ca="1" si="37"/>
        <v>#REF!</v>
      </c>
      <c r="W47" s="79" t="str">
        <f t="shared" ca="1" si="37"/>
        <v>#REF!</v>
      </c>
      <c r="X47" s="79" t="str">
        <f t="shared" ca="1" si="37"/>
        <v>#REF!</v>
      </c>
      <c r="Y47" s="79" t="str">
        <f t="shared" ca="1" si="37"/>
        <v>#REF!</v>
      </c>
      <c r="AE47" s="57" t="str">
        <f t="shared" ca="1" si="30"/>
        <v/>
      </c>
      <c r="AF47" s="245"/>
      <c r="AG47" s="245"/>
      <c r="AH47" s="245"/>
    </row>
    <row r="48" spans="2:34" ht="15.75" customHeight="1">
      <c r="B48" s="231" t="s">
        <v>133</v>
      </c>
      <c r="C48" s="231"/>
      <c r="D48" s="205" t="str">
        <f t="shared" ref="D48:Y48" ca="1" si="38">D143</f>
        <v>#REF!</v>
      </c>
      <c r="E48" s="205" t="str">
        <f t="shared" ca="1" si="38"/>
        <v>#REF!</v>
      </c>
      <c r="F48" s="205" t="str">
        <f t="shared" ca="1" si="38"/>
        <v>#REF!</v>
      </c>
      <c r="G48" s="205" t="str">
        <f t="shared" ca="1" si="38"/>
        <v>#REF!</v>
      </c>
      <c r="H48" s="205" t="str">
        <f t="shared" ca="1" si="38"/>
        <v>#REF!</v>
      </c>
      <c r="I48" s="205" t="str">
        <f t="shared" ca="1" si="38"/>
        <v>#REF!</v>
      </c>
      <c r="J48" s="205" t="str">
        <f t="shared" ca="1" si="38"/>
        <v>#REF!</v>
      </c>
      <c r="K48" s="205" t="str">
        <f t="shared" ca="1" si="38"/>
        <v>#REF!</v>
      </c>
      <c r="L48" s="205" t="str">
        <f t="shared" ca="1" si="38"/>
        <v>#REF!</v>
      </c>
      <c r="M48" s="205" t="str">
        <f t="shared" ca="1" si="38"/>
        <v>#REF!</v>
      </c>
      <c r="N48" s="205" t="str">
        <f t="shared" ca="1" si="38"/>
        <v>#REF!</v>
      </c>
      <c r="O48" s="205" t="str">
        <f t="shared" ca="1" si="38"/>
        <v>#REF!</v>
      </c>
      <c r="P48" s="205" t="str">
        <f t="shared" ca="1" si="38"/>
        <v>#REF!</v>
      </c>
      <c r="Q48" s="205" t="str">
        <f t="shared" ca="1" si="38"/>
        <v>#REF!</v>
      </c>
      <c r="R48" s="205" t="str">
        <f t="shared" ca="1" si="38"/>
        <v>#REF!</v>
      </c>
      <c r="S48" s="205" t="str">
        <f t="shared" ca="1" si="38"/>
        <v>#REF!</v>
      </c>
      <c r="T48" s="205" t="str">
        <f t="shared" ca="1" si="38"/>
        <v>#REF!</v>
      </c>
      <c r="U48" s="205" t="str">
        <f t="shared" ca="1" si="38"/>
        <v>#REF!</v>
      </c>
      <c r="V48" s="205" t="str">
        <f t="shared" ca="1" si="38"/>
        <v>#REF!</v>
      </c>
      <c r="W48" s="205" t="str">
        <f t="shared" ca="1" si="38"/>
        <v>#REF!</v>
      </c>
      <c r="X48" s="205" t="str">
        <f t="shared" ca="1" si="38"/>
        <v>#REF!</v>
      </c>
      <c r="Y48" s="205" t="str">
        <f t="shared" ca="1" si="38"/>
        <v>#REF!</v>
      </c>
      <c r="Z48" s="66"/>
      <c r="AA48" s="204"/>
      <c r="AB48" s="204"/>
      <c r="AC48" s="204"/>
      <c r="AD48" s="204"/>
      <c r="AE48" s="206" t="str">
        <f t="shared" ca="1" si="30"/>
        <v/>
      </c>
      <c r="AF48" s="185"/>
      <c r="AG48" s="185"/>
      <c r="AH48" s="185"/>
    </row>
    <row r="49" spans="2:40" ht="15.75" customHeight="1">
      <c r="C49" s="188"/>
      <c r="AF49" s="245"/>
      <c r="AG49" s="245"/>
      <c r="AH49" s="245"/>
    </row>
    <row r="50" spans="2:40" ht="15.75" customHeight="1">
      <c r="B50" s="272" t="s">
        <v>128</v>
      </c>
      <c r="C50" s="268"/>
      <c r="D50" s="268"/>
      <c r="E50" s="268"/>
      <c r="F50" s="268"/>
      <c r="G50" s="268"/>
      <c r="H50" s="268"/>
      <c r="I50" s="268"/>
      <c r="J50" s="268"/>
      <c r="K50" s="268"/>
      <c r="L50" s="268"/>
      <c r="M50" s="268"/>
      <c r="N50" s="268"/>
      <c r="O50" s="268"/>
      <c r="P50" s="268"/>
      <c r="Q50" s="268"/>
      <c r="R50" s="268"/>
      <c r="S50" s="268"/>
      <c r="T50" s="268"/>
      <c r="U50" s="268"/>
      <c r="V50" s="268"/>
      <c r="W50" s="268"/>
      <c r="X50" s="268"/>
      <c r="Y50" s="268"/>
      <c r="Z50" s="268"/>
      <c r="AA50" s="268"/>
      <c r="AB50" s="268"/>
      <c r="AC50" s="268"/>
      <c r="AD50" s="268"/>
      <c r="AE50" s="268"/>
      <c r="AF50" s="268"/>
      <c r="AG50" s="268"/>
      <c r="AH50" s="268"/>
      <c r="AI50" s="268"/>
      <c r="AJ50" s="268"/>
      <c r="AK50" s="268"/>
      <c r="AL50" s="268"/>
      <c r="AM50" s="268"/>
      <c r="AN50" s="268"/>
    </row>
    <row r="51" spans="2:40" ht="15.75" customHeight="1">
      <c r="F51" s="79"/>
      <c r="G51" s="79"/>
      <c r="H51" s="79"/>
      <c r="I51" s="79"/>
      <c r="J51" s="79"/>
      <c r="K51" s="79"/>
      <c r="L51" s="79"/>
      <c r="M51" s="79"/>
      <c r="N51" s="79"/>
      <c r="O51" s="79"/>
      <c r="P51" s="79"/>
      <c r="Q51" s="79"/>
      <c r="R51" s="79"/>
      <c r="S51" s="79"/>
      <c r="T51" s="79"/>
      <c r="U51" s="79"/>
      <c r="V51" s="79"/>
      <c r="W51" s="79"/>
      <c r="X51" s="79"/>
      <c r="Y51" s="79"/>
      <c r="AA51" s="57"/>
      <c r="AB51" s="57"/>
      <c r="AC51" s="57"/>
      <c r="AD51" s="57"/>
      <c r="AE51" s="57"/>
    </row>
    <row r="52" spans="2:40" ht="15.75" customHeight="1">
      <c r="F52" s="79"/>
      <c r="G52" s="79"/>
      <c r="H52" s="79"/>
      <c r="I52" s="79"/>
      <c r="J52" s="79"/>
      <c r="K52" s="79"/>
      <c r="L52" s="79"/>
      <c r="M52" s="79"/>
      <c r="N52" s="79"/>
      <c r="O52" s="79"/>
      <c r="P52" s="79"/>
      <c r="Q52" s="79"/>
      <c r="R52" s="79"/>
      <c r="S52" s="79"/>
      <c r="T52" s="79"/>
      <c r="U52" s="79"/>
      <c r="V52" s="79"/>
      <c r="W52" s="79"/>
      <c r="X52" s="79"/>
      <c r="Y52" s="79"/>
      <c r="AA52" s="57"/>
      <c r="AB52" s="57"/>
      <c r="AC52" s="57"/>
      <c r="AD52" s="57"/>
      <c r="AE52" s="57"/>
    </row>
    <row r="53" spans="2:40" ht="15.75" customHeight="1">
      <c r="F53" s="79"/>
      <c r="G53" s="79"/>
      <c r="H53" s="79"/>
      <c r="I53" s="79"/>
      <c r="J53" s="79"/>
      <c r="K53" s="79"/>
      <c r="L53" s="79"/>
      <c r="M53" s="79"/>
      <c r="N53" s="79"/>
      <c r="O53" s="79"/>
      <c r="P53" s="79"/>
      <c r="Q53" s="79"/>
      <c r="R53" s="79"/>
      <c r="S53" s="79"/>
      <c r="T53" s="79"/>
      <c r="U53" s="79"/>
      <c r="V53" s="79"/>
      <c r="W53" s="79"/>
      <c r="X53" s="79"/>
      <c r="Y53" s="79"/>
      <c r="AA53" s="57"/>
      <c r="AB53" s="57"/>
      <c r="AC53" s="57"/>
      <c r="AD53" s="57"/>
      <c r="AE53" s="57"/>
    </row>
    <row r="54" spans="2:40" ht="15.75" customHeight="1">
      <c r="F54" s="79"/>
      <c r="G54" s="79"/>
      <c r="H54" s="79"/>
      <c r="I54" s="79"/>
      <c r="J54" s="79"/>
      <c r="K54" s="79"/>
      <c r="L54" s="79"/>
      <c r="M54" s="79"/>
      <c r="N54" s="79"/>
      <c r="O54" s="79"/>
      <c r="P54" s="79"/>
      <c r="Q54" s="79"/>
      <c r="R54" s="79"/>
      <c r="S54" s="79"/>
      <c r="T54" s="79"/>
      <c r="U54" s="79"/>
      <c r="V54" s="79"/>
      <c r="W54" s="79"/>
      <c r="X54" s="79"/>
      <c r="Y54" s="79"/>
      <c r="AA54" s="57"/>
      <c r="AB54" s="57"/>
      <c r="AC54" s="57"/>
      <c r="AD54" s="57"/>
      <c r="AE54" s="57"/>
    </row>
    <row r="55" spans="2:40" ht="15.75" customHeight="1">
      <c r="F55" s="79"/>
      <c r="G55" s="79"/>
      <c r="H55" s="79"/>
      <c r="I55" s="79"/>
      <c r="J55" s="79"/>
      <c r="K55" s="79"/>
      <c r="L55" s="79"/>
      <c r="M55" s="79"/>
      <c r="N55" s="79"/>
      <c r="O55" s="79"/>
      <c r="P55" s="79"/>
      <c r="Q55" s="79"/>
      <c r="R55" s="79"/>
      <c r="S55" s="79"/>
      <c r="T55" s="79"/>
      <c r="U55" s="79"/>
      <c r="V55" s="79"/>
      <c r="W55" s="79"/>
      <c r="X55" s="79"/>
      <c r="Y55" s="79"/>
      <c r="AA55" s="57"/>
      <c r="AB55" s="57"/>
      <c r="AC55" s="57"/>
      <c r="AD55" s="57"/>
      <c r="AE55" s="57"/>
    </row>
    <row r="56" spans="2:40" ht="15.75" customHeight="1">
      <c r="F56" s="79"/>
      <c r="G56" s="79"/>
      <c r="H56" s="79"/>
      <c r="I56" s="79"/>
      <c r="J56" s="79"/>
      <c r="K56" s="79"/>
      <c r="L56" s="79"/>
      <c r="M56" s="79"/>
      <c r="N56" s="79"/>
      <c r="O56" s="79"/>
      <c r="P56" s="79"/>
      <c r="Q56" s="79"/>
      <c r="R56" s="79"/>
      <c r="S56" s="79"/>
      <c r="T56" s="79"/>
      <c r="U56" s="79"/>
      <c r="V56" s="79"/>
      <c r="W56" s="79"/>
      <c r="X56" s="79"/>
      <c r="Y56" s="79"/>
      <c r="AA56" s="57"/>
      <c r="AB56" s="57"/>
      <c r="AC56" s="57"/>
      <c r="AD56" s="57"/>
      <c r="AE56" s="57"/>
    </row>
    <row r="57" spans="2:40" ht="15.75" customHeight="1">
      <c r="F57" s="79"/>
      <c r="G57" s="79"/>
      <c r="H57" s="79"/>
      <c r="I57" s="79"/>
      <c r="J57" s="79"/>
      <c r="K57" s="79"/>
      <c r="L57" s="79"/>
      <c r="M57" s="79"/>
      <c r="N57" s="79"/>
      <c r="O57" s="79"/>
      <c r="P57" s="79"/>
      <c r="Q57" s="79"/>
      <c r="R57" s="79"/>
      <c r="S57" s="79"/>
      <c r="T57" s="79"/>
      <c r="U57" s="79"/>
      <c r="V57" s="79"/>
      <c r="W57" s="79"/>
      <c r="X57" s="79"/>
      <c r="Y57" s="79"/>
      <c r="AA57" s="57"/>
      <c r="AB57" s="57"/>
      <c r="AC57" s="57"/>
      <c r="AD57" s="57"/>
      <c r="AE57" s="57"/>
    </row>
    <row r="58" spans="2:40" ht="15.75" customHeight="1">
      <c r="F58" s="79"/>
      <c r="G58" s="79"/>
      <c r="H58" s="79"/>
      <c r="I58" s="79"/>
      <c r="J58" s="79"/>
      <c r="K58" s="79"/>
      <c r="L58" s="79"/>
      <c r="M58" s="79"/>
      <c r="N58" s="79"/>
      <c r="O58" s="79"/>
      <c r="P58" s="79"/>
      <c r="Q58" s="79"/>
      <c r="R58" s="79"/>
      <c r="S58" s="79"/>
      <c r="T58" s="79"/>
      <c r="U58" s="79"/>
      <c r="V58" s="79"/>
      <c r="W58" s="79"/>
      <c r="X58" s="79"/>
      <c r="Y58" s="79"/>
      <c r="AA58" s="57"/>
      <c r="AB58" s="57"/>
      <c r="AC58" s="57"/>
      <c r="AD58" s="57"/>
      <c r="AE58" s="57"/>
    </row>
    <row r="59" spans="2:40" ht="15.75" customHeight="1">
      <c r="F59" s="79"/>
      <c r="G59" s="79"/>
      <c r="H59" s="79"/>
      <c r="I59" s="79"/>
      <c r="J59" s="79"/>
      <c r="K59" s="79"/>
      <c r="L59" s="79"/>
      <c r="M59" s="79"/>
      <c r="N59" s="79"/>
      <c r="O59" s="79"/>
      <c r="P59" s="79"/>
      <c r="Q59" s="79"/>
      <c r="R59" s="79"/>
      <c r="S59" s="79"/>
      <c r="T59" s="79"/>
      <c r="U59" s="79"/>
      <c r="V59" s="79"/>
      <c r="W59" s="79"/>
      <c r="X59" s="79"/>
      <c r="Y59" s="79"/>
      <c r="AA59" s="57"/>
      <c r="AB59" s="57"/>
      <c r="AC59" s="57"/>
      <c r="AD59" s="57"/>
      <c r="AE59" s="57"/>
    </row>
    <row r="60" spans="2:40" ht="15.75" customHeight="1">
      <c r="F60" s="79"/>
      <c r="G60" s="79"/>
      <c r="H60" s="79"/>
      <c r="I60" s="79"/>
      <c r="J60" s="79"/>
      <c r="K60" s="79"/>
      <c r="L60" s="79"/>
      <c r="M60" s="79"/>
      <c r="N60" s="79"/>
      <c r="O60" s="79"/>
      <c r="P60" s="79"/>
      <c r="Q60" s="79"/>
      <c r="R60" s="79"/>
      <c r="S60" s="79"/>
      <c r="T60" s="79"/>
      <c r="U60" s="79"/>
      <c r="V60" s="79"/>
      <c r="W60" s="79"/>
      <c r="X60" s="79"/>
      <c r="Y60" s="79"/>
      <c r="AA60" s="57"/>
      <c r="AB60" s="57"/>
      <c r="AC60" s="57"/>
      <c r="AD60" s="57"/>
      <c r="AE60" s="57"/>
    </row>
    <row r="61" spans="2:40" ht="15.75" customHeight="1">
      <c r="F61" s="79"/>
      <c r="G61" s="79"/>
      <c r="H61" s="79"/>
      <c r="I61" s="79"/>
      <c r="J61" s="79"/>
      <c r="K61" s="79"/>
      <c r="L61" s="79"/>
      <c r="M61" s="79"/>
      <c r="N61" s="79"/>
      <c r="O61" s="79"/>
      <c r="P61" s="79"/>
      <c r="Q61" s="79"/>
      <c r="R61" s="79"/>
      <c r="S61" s="79"/>
      <c r="T61" s="79"/>
      <c r="U61" s="79"/>
      <c r="V61" s="79"/>
      <c r="W61" s="79"/>
      <c r="X61" s="79"/>
      <c r="Y61" s="79"/>
      <c r="AA61" s="57"/>
      <c r="AB61" s="57"/>
      <c r="AC61" s="57"/>
      <c r="AD61" s="57"/>
      <c r="AE61" s="57"/>
    </row>
    <row r="62" spans="2:40" ht="15.75" customHeight="1">
      <c r="F62" s="79"/>
      <c r="G62" s="79"/>
      <c r="H62" s="79"/>
      <c r="I62" s="79"/>
      <c r="J62" s="79"/>
      <c r="K62" s="79"/>
      <c r="L62" s="79"/>
      <c r="M62" s="79"/>
      <c r="N62" s="79"/>
      <c r="O62" s="79"/>
      <c r="P62" s="79"/>
      <c r="Q62" s="79"/>
      <c r="R62" s="79"/>
      <c r="S62" s="79"/>
      <c r="T62" s="79"/>
      <c r="U62" s="79"/>
      <c r="V62" s="79"/>
      <c r="W62" s="79"/>
      <c r="X62" s="79"/>
      <c r="Y62" s="79"/>
      <c r="AA62" s="57"/>
      <c r="AB62" s="57"/>
      <c r="AC62" s="57"/>
      <c r="AD62" s="57"/>
      <c r="AE62" s="57"/>
    </row>
    <row r="63" spans="2:40" ht="15.75" customHeight="1">
      <c r="F63" s="79"/>
      <c r="G63" s="79"/>
      <c r="H63" s="79"/>
      <c r="I63" s="79"/>
      <c r="J63" s="79"/>
      <c r="K63" s="79"/>
      <c r="L63" s="79"/>
      <c r="M63" s="79"/>
      <c r="N63" s="79"/>
      <c r="O63" s="79"/>
      <c r="P63" s="79"/>
      <c r="Q63" s="79"/>
      <c r="R63" s="79"/>
      <c r="S63" s="79"/>
      <c r="T63" s="79"/>
      <c r="U63" s="79"/>
      <c r="V63" s="79"/>
      <c r="W63" s="79"/>
      <c r="X63" s="79"/>
      <c r="Y63" s="79"/>
      <c r="AA63" s="57"/>
      <c r="AB63" s="57"/>
      <c r="AC63" s="57"/>
      <c r="AD63" s="57"/>
      <c r="AE63" s="57"/>
    </row>
    <row r="64" spans="2:40" ht="15.75" customHeight="1">
      <c r="F64" s="79"/>
      <c r="G64" s="79"/>
      <c r="H64" s="79"/>
      <c r="I64" s="79"/>
      <c r="J64" s="79"/>
      <c r="K64" s="79"/>
      <c r="L64" s="79"/>
      <c r="M64" s="79"/>
      <c r="N64" s="79"/>
      <c r="O64" s="79"/>
      <c r="P64" s="79"/>
      <c r="Q64" s="79"/>
      <c r="R64" s="79"/>
      <c r="S64" s="79"/>
      <c r="T64" s="79"/>
      <c r="U64" s="79"/>
      <c r="V64" s="79"/>
      <c r="W64" s="79"/>
      <c r="X64" s="79"/>
      <c r="Y64" s="79"/>
      <c r="AA64" s="57"/>
      <c r="AB64" s="57"/>
      <c r="AC64" s="57"/>
      <c r="AD64" s="57"/>
      <c r="AE64" s="57"/>
    </row>
    <row r="65" spans="2:40" ht="15.75" customHeight="1">
      <c r="F65" s="79"/>
      <c r="G65" s="79"/>
      <c r="H65" s="79"/>
      <c r="I65" s="79"/>
      <c r="J65" s="79"/>
      <c r="K65" s="79"/>
      <c r="L65" s="79"/>
      <c r="M65" s="79"/>
      <c r="N65" s="79"/>
      <c r="O65" s="79"/>
      <c r="P65" s="79"/>
      <c r="Q65" s="79"/>
      <c r="R65" s="79"/>
      <c r="S65" s="79"/>
      <c r="T65" s="79"/>
      <c r="U65" s="79"/>
      <c r="V65" s="79"/>
      <c r="W65" s="79"/>
      <c r="X65" s="79"/>
      <c r="Y65" s="79"/>
      <c r="AA65" s="57"/>
      <c r="AB65" s="57"/>
      <c r="AC65" s="57"/>
      <c r="AD65" s="57"/>
      <c r="AE65" s="57"/>
    </row>
    <row r="66" spans="2:40" ht="15.75" customHeight="1">
      <c r="F66" s="79"/>
      <c r="G66" s="79"/>
      <c r="H66" s="79"/>
      <c r="I66" s="79"/>
      <c r="J66" s="79"/>
      <c r="K66" s="79"/>
      <c r="L66" s="79"/>
      <c r="M66" s="79"/>
      <c r="N66" s="79"/>
      <c r="O66" s="79"/>
      <c r="P66" s="79"/>
      <c r="Q66" s="79"/>
      <c r="R66" s="79"/>
      <c r="S66" s="79"/>
      <c r="T66" s="79"/>
      <c r="U66" s="79"/>
      <c r="V66" s="79"/>
      <c r="W66" s="79"/>
      <c r="X66" s="79"/>
      <c r="Y66" s="79"/>
      <c r="AA66" s="57"/>
      <c r="AB66" s="57"/>
      <c r="AC66" s="57"/>
      <c r="AD66" s="57"/>
      <c r="AE66" s="57"/>
    </row>
    <row r="67" spans="2:40" ht="15.75" customHeight="1">
      <c r="F67" s="79"/>
      <c r="G67" s="79"/>
      <c r="H67" s="79"/>
      <c r="I67" s="79"/>
      <c r="J67" s="79"/>
      <c r="K67" s="79"/>
      <c r="L67" s="79"/>
      <c r="M67" s="79"/>
      <c r="N67" s="79"/>
      <c r="O67" s="79"/>
      <c r="P67" s="79"/>
      <c r="Q67" s="79"/>
      <c r="R67" s="79"/>
      <c r="S67" s="79"/>
      <c r="T67" s="79"/>
      <c r="U67" s="79"/>
      <c r="V67" s="79"/>
      <c r="W67" s="79"/>
      <c r="X67" s="79"/>
      <c r="Y67" s="79"/>
      <c r="AA67" s="57"/>
      <c r="AB67" s="57"/>
      <c r="AC67" s="57"/>
      <c r="AD67" s="57"/>
      <c r="AE67" s="57"/>
    </row>
    <row r="68" spans="2:40" ht="15.75" customHeight="1">
      <c r="F68" s="79"/>
      <c r="G68" s="79"/>
      <c r="H68" s="79"/>
      <c r="I68" s="79"/>
      <c r="J68" s="79"/>
      <c r="K68" s="79"/>
      <c r="L68" s="79"/>
      <c r="M68" s="79"/>
      <c r="N68" s="79"/>
      <c r="O68" s="79"/>
      <c r="P68" s="79"/>
      <c r="Q68" s="79"/>
      <c r="R68" s="79"/>
      <c r="S68" s="79"/>
      <c r="T68" s="79"/>
      <c r="U68" s="79"/>
      <c r="V68" s="79"/>
      <c r="W68" s="79"/>
      <c r="X68" s="79"/>
      <c r="Y68" s="79"/>
      <c r="AA68" s="57"/>
      <c r="AB68" s="57"/>
      <c r="AC68" s="57"/>
      <c r="AD68" s="57"/>
      <c r="AE68" s="57"/>
    </row>
    <row r="69" spans="2:40" ht="15.75" customHeight="1">
      <c r="F69" s="79"/>
      <c r="G69" s="79"/>
      <c r="H69" s="79"/>
      <c r="I69" s="79"/>
      <c r="J69" s="79"/>
      <c r="K69" s="79"/>
      <c r="L69" s="79"/>
      <c r="M69" s="79"/>
      <c r="N69" s="79"/>
      <c r="O69" s="79"/>
      <c r="P69" s="79"/>
      <c r="Q69" s="79"/>
      <c r="R69" s="79"/>
      <c r="S69" s="79"/>
      <c r="T69" s="79"/>
      <c r="U69" s="79"/>
      <c r="V69" s="79"/>
      <c r="W69" s="79"/>
      <c r="X69" s="79"/>
      <c r="Y69" s="79"/>
      <c r="AA69" s="57"/>
      <c r="AB69" s="57"/>
      <c r="AC69" s="57"/>
      <c r="AD69" s="57"/>
      <c r="AE69" s="57"/>
    </row>
    <row r="70" spans="2:40" ht="15.75" customHeight="1">
      <c r="F70" s="79"/>
      <c r="G70" s="79"/>
      <c r="H70" s="79"/>
      <c r="I70" s="79"/>
      <c r="J70" s="79"/>
      <c r="K70" s="79"/>
      <c r="L70" s="79"/>
      <c r="M70" s="79"/>
      <c r="N70" s="79"/>
      <c r="O70" s="79"/>
      <c r="P70" s="79"/>
      <c r="Q70" s="79"/>
      <c r="R70" s="79"/>
      <c r="S70" s="79"/>
      <c r="T70" s="79"/>
      <c r="U70" s="79"/>
      <c r="V70" s="79"/>
      <c r="W70" s="79"/>
      <c r="X70" s="79"/>
      <c r="Y70" s="79"/>
      <c r="AA70" s="57"/>
      <c r="AB70" s="57"/>
      <c r="AC70" s="57"/>
      <c r="AD70" s="57"/>
      <c r="AE70" s="57"/>
    </row>
    <row r="71" spans="2:40" ht="15.75" customHeight="1">
      <c r="F71" s="79"/>
      <c r="G71" s="79"/>
      <c r="H71" s="79"/>
      <c r="I71" s="79"/>
      <c r="J71" s="79"/>
      <c r="K71" s="79"/>
      <c r="L71" s="79"/>
      <c r="M71" s="79"/>
      <c r="N71" s="79"/>
      <c r="O71" s="79"/>
      <c r="P71" s="79"/>
      <c r="Q71" s="79"/>
      <c r="R71" s="79"/>
      <c r="S71" s="79"/>
      <c r="T71" s="79"/>
      <c r="U71" s="79"/>
      <c r="V71" s="79"/>
      <c r="W71" s="79"/>
      <c r="X71" s="79"/>
      <c r="Y71" s="79"/>
      <c r="AA71" s="57"/>
      <c r="AB71" s="57"/>
      <c r="AC71" s="57"/>
      <c r="AD71" s="57"/>
      <c r="AE71" s="57"/>
    </row>
    <row r="72" spans="2:40" ht="15.75" customHeight="1">
      <c r="F72" s="79"/>
      <c r="G72" s="79"/>
      <c r="H72" s="79"/>
      <c r="I72" s="79"/>
      <c r="J72" s="79"/>
      <c r="K72" s="79"/>
      <c r="L72" s="79"/>
      <c r="M72" s="79"/>
      <c r="N72" s="79"/>
      <c r="O72" s="79"/>
      <c r="P72" s="79"/>
      <c r="Q72" s="79"/>
      <c r="R72" s="79"/>
      <c r="S72" s="79"/>
      <c r="T72" s="79"/>
      <c r="U72" s="79"/>
      <c r="V72" s="79"/>
      <c r="W72" s="79"/>
      <c r="X72" s="79"/>
      <c r="Y72" s="79"/>
      <c r="AA72" s="57"/>
      <c r="AB72" s="57"/>
      <c r="AC72" s="57"/>
      <c r="AD72" s="57"/>
      <c r="AE72" s="57"/>
    </row>
    <row r="73" spans="2:40" ht="15.75" customHeight="1">
      <c r="F73" s="79"/>
      <c r="G73" s="79"/>
      <c r="H73" s="79"/>
      <c r="I73" s="79"/>
      <c r="J73" s="79"/>
      <c r="K73" s="79"/>
      <c r="L73" s="79"/>
      <c r="M73" s="79"/>
      <c r="N73" s="79"/>
      <c r="O73" s="79"/>
      <c r="P73" s="79"/>
      <c r="Q73" s="79"/>
      <c r="R73" s="79"/>
      <c r="S73" s="79"/>
      <c r="T73" s="79"/>
      <c r="U73" s="79"/>
      <c r="V73" s="79"/>
      <c r="W73" s="79"/>
      <c r="X73" s="79"/>
      <c r="Y73" s="79"/>
      <c r="AA73" s="57"/>
      <c r="AB73" s="57"/>
      <c r="AC73" s="57"/>
      <c r="AD73" s="57"/>
      <c r="AE73" s="57"/>
    </row>
    <row r="74" spans="2:40" ht="15.75" customHeight="1">
      <c r="F74" s="79"/>
      <c r="G74" s="79"/>
      <c r="H74" s="79"/>
      <c r="I74" s="79"/>
      <c r="J74" s="79"/>
      <c r="K74" s="79"/>
      <c r="L74" s="79"/>
      <c r="M74" s="79"/>
      <c r="N74" s="79"/>
      <c r="O74" s="79"/>
      <c r="P74" s="79"/>
      <c r="Q74" s="79"/>
      <c r="R74" s="79"/>
      <c r="S74" s="79"/>
      <c r="T74" s="79"/>
      <c r="U74" s="79"/>
      <c r="V74" s="79"/>
      <c r="W74" s="79"/>
      <c r="X74" s="79"/>
      <c r="Y74" s="79"/>
      <c r="AA74" s="57"/>
      <c r="AB74" s="57"/>
      <c r="AC74" s="57"/>
      <c r="AD74" s="57"/>
      <c r="AE74" s="57"/>
    </row>
    <row r="75" spans="2:40" ht="15.75" customHeight="1">
      <c r="F75" s="79"/>
      <c r="G75" s="79"/>
      <c r="H75" s="79"/>
      <c r="I75" s="79"/>
      <c r="J75" s="79"/>
      <c r="K75" s="79"/>
      <c r="L75" s="79"/>
      <c r="M75" s="79"/>
      <c r="N75" s="79"/>
      <c r="O75" s="79"/>
      <c r="P75" s="79"/>
      <c r="Q75" s="79"/>
      <c r="R75" s="79"/>
      <c r="S75" s="79"/>
      <c r="T75" s="79"/>
      <c r="U75" s="79"/>
      <c r="V75" s="79"/>
      <c r="W75" s="79"/>
      <c r="X75" s="79"/>
      <c r="Y75" s="79"/>
      <c r="AA75" s="57"/>
      <c r="AB75" s="57"/>
      <c r="AC75" s="57"/>
      <c r="AD75" s="57"/>
      <c r="AE75" s="57"/>
    </row>
    <row r="76" spans="2:40" ht="15.75" customHeight="1">
      <c r="F76" s="79"/>
      <c r="G76" s="79"/>
      <c r="H76" s="79"/>
      <c r="I76" s="79"/>
      <c r="J76" s="79"/>
      <c r="K76" s="79"/>
      <c r="L76" s="79"/>
      <c r="M76" s="79"/>
      <c r="N76" s="79"/>
      <c r="O76" s="79"/>
      <c r="P76" s="79"/>
      <c r="Q76" s="79"/>
      <c r="R76" s="79"/>
      <c r="S76" s="79"/>
      <c r="T76" s="79"/>
      <c r="U76" s="79"/>
      <c r="V76" s="79"/>
      <c r="W76" s="79"/>
      <c r="X76" s="79"/>
      <c r="Y76" s="79"/>
      <c r="AA76" s="57"/>
      <c r="AB76" s="57"/>
      <c r="AC76" s="57"/>
      <c r="AD76" s="57"/>
      <c r="AE76" s="57"/>
    </row>
    <row r="77" spans="2:40" ht="15.75" customHeight="1">
      <c r="F77" s="79"/>
      <c r="G77" s="79"/>
      <c r="H77" s="79"/>
      <c r="I77" s="79"/>
      <c r="J77" s="79"/>
      <c r="K77" s="79"/>
      <c r="L77" s="79"/>
      <c r="M77" s="79"/>
      <c r="N77" s="79"/>
      <c r="O77" s="79"/>
      <c r="P77" s="79"/>
      <c r="Q77" s="79"/>
      <c r="R77" s="79"/>
      <c r="S77" s="79"/>
      <c r="T77" s="79"/>
      <c r="U77" s="79"/>
      <c r="V77" s="79"/>
      <c r="W77" s="79"/>
      <c r="X77" s="79"/>
      <c r="Y77" s="79"/>
      <c r="AA77" s="57"/>
      <c r="AB77" s="57"/>
      <c r="AC77" s="57"/>
      <c r="AD77" s="57"/>
      <c r="AE77" s="57"/>
    </row>
    <row r="78" spans="2:40" ht="15.75" customHeight="1">
      <c r="D78" s="79"/>
      <c r="E78" s="79"/>
      <c r="F78" s="79"/>
      <c r="G78" s="79"/>
      <c r="H78" s="79"/>
      <c r="I78" s="79"/>
      <c r="J78" s="79"/>
      <c r="K78" s="79"/>
      <c r="L78" s="79"/>
      <c r="M78" s="79"/>
      <c r="N78" s="79"/>
      <c r="O78" s="79"/>
      <c r="P78" s="79"/>
      <c r="Q78" s="79"/>
      <c r="R78" s="79"/>
      <c r="S78" s="79"/>
      <c r="T78" s="79"/>
      <c r="U78" s="79"/>
      <c r="V78" s="79"/>
      <c r="W78" s="79"/>
      <c r="X78" s="79"/>
      <c r="Y78" s="79"/>
      <c r="AA78" s="57"/>
      <c r="AB78" s="57"/>
      <c r="AC78" s="57"/>
      <c r="AD78" s="57"/>
      <c r="AE78" s="57"/>
    </row>
    <row r="79" spans="2:40" ht="15.75" customHeight="1">
      <c r="B79" s="272" t="s">
        <v>129</v>
      </c>
      <c r="C79" s="268"/>
      <c r="D79" s="268"/>
      <c r="E79" s="268"/>
      <c r="F79" s="268"/>
      <c r="G79" s="268"/>
      <c r="H79" s="268"/>
      <c r="I79" s="268"/>
      <c r="J79" s="268"/>
      <c r="K79" s="268"/>
      <c r="L79" s="268"/>
      <c r="M79" s="268"/>
      <c r="N79" s="268"/>
      <c r="O79" s="268"/>
      <c r="P79" s="268"/>
      <c r="Q79" s="268"/>
      <c r="R79" s="268"/>
      <c r="S79" s="268"/>
      <c r="T79" s="268"/>
      <c r="U79" s="268"/>
      <c r="V79" s="268"/>
      <c r="W79" s="268"/>
      <c r="X79" s="268"/>
      <c r="Y79" s="268"/>
      <c r="Z79" s="268"/>
      <c r="AA79" s="268"/>
      <c r="AB79" s="268"/>
      <c r="AC79" s="268"/>
      <c r="AD79" s="268"/>
      <c r="AE79" s="268"/>
      <c r="AF79" s="268"/>
      <c r="AG79" s="268"/>
      <c r="AH79" s="268"/>
      <c r="AI79" s="268"/>
      <c r="AJ79" s="268"/>
      <c r="AK79" s="268"/>
      <c r="AL79" s="268"/>
      <c r="AM79" s="268"/>
      <c r="AN79" s="268"/>
    </row>
    <row r="80" spans="2:40" ht="15.75" customHeight="1">
      <c r="C80" s="79" t="str">
        <f ca="1">$Y$143</f>
        <v>#REF!</v>
      </c>
      <c r="D80" s="88" t="str">
        <f ca="1">$AE$143</f>
        <v/>
      </c>
      <c r="E80" s="129" t="str">
        <f ca="1">$Y$21</f>
        <v>#REF!</v>
      </c>
    </row>
    <row r="81" spans="2:5" ht="15.75" customHeight="1">
      <c r="B81" s="8" t="s">
        <v>3</v>
      </c>
      <c r="C81" s="79">
        <v>1142.2574001555054</v>
      </c>
      <c r="D81" s="88">
        <v>0.11987556407034994</v>
      </c>
      <c r="E81" s="129">
        <v>0</v>
      </c>
    </row>
    <row r="82" spans="2:5" ht="15.75" customHeight="1">
      <c r="B82" s="8" t="s">
        <v>4</v>
      </c>
      <c r="C82" s="79">
        <v>2519.9582578507757</v>
      </c>
      <c r="D82" s="88">
        <v>0.16269331395918307</v>
      </c>
      <c r="E82" s="129">
        <v>569.35049227900379</v>
      </c>
    </row>
    <row r="83" spans="2:5" ht="15.75" customHeight="1">
      <c r="B83" s="8" t="s">
        <v>5</v>
      </c>
      <c r="C83" s="79">
        <v>8045.2834762260964</v>
      </c>
      <c r="D83" s="88">
        <v>0.22745189073419914</v>
      </c>
      <c r="E83" s="129">
        <v>4540.2760794479354</v>
      </c>
    </row>
    <row r="84" spans="2:5" ht="15.75" customHeight="1">
      <c r="B84" s="8" t="s">
        <v>6</v>
      </c>
      <c r="C84" s="79">
        <v>17375.945497891233</v>
      </c>
      <c r="D84" s="88">
        <v>0.27290897913129153</v>
      </c>
      <c r="E84" s="129">
        <v>25643.337124748647</v>
      </c>
    </row>
    <row r="85" spans="2:5" ht="15.75" customHeight="1">
      <c r="B85" s="8" t="s">
        <v>7</v>
      </c>
      <c r="C85" s="79">
        <v>27873.795282343151</v>
      </c>
      <c r="D85" s="88">
        <v>0.30188027844952803</v>
      </c>
      <c r="E85" s="129">
        <v>39475.63305839926</v>
      </c>
    </row>
    <row r="86" spans="2:5" ht="15.75" customHeight="1"/>
    <row r="87" spans="2:5" ht="15.75" customHeight="1"/>
    <row r="88" spans="2:5" ht="15.75" customHeight="1"/>
    <row r="89" spans="2:5" ht="15.75" customHeight="1"/>
    <row r="90" spans="2:5" ht="15.75" customHeight="1"/>
    <row r="91" spans="2:5" ht="15.75" customHeight="1"/>
    <row r="92" spans="2:5" ht="15.75" customHeight="1"/>
    <row r="93" spans="2:5" ht="15.75" customHeight="1"/>
    <row r="94" spans="2:5" ht="15.75" customHeight="1"/>
    <row r="95" spans="2:5" ht="15.75" customHeight="1"/>
    <row r="96" spans="2:5" ht="15.75" customHeight="1"/>
    <row r="97" spans="2:34" ht="15.75" customHeight="1"/>
    <row r="98" spans="2:34" ht="15.75" customHeight="1"/>
    <row r="99" spans="2:34" ht="15.75" customHeight="1"/>
    <row r="100" spans="2:34" ht="15.75" customHeight="1"/>
    <row r="101" spans="2:34" ht="15.75" hidden="1" customHeight="1" outlineLevel="1">
      <c r="B101" s="272" t="s">
        <v>84</v>
      </c>
      <c r="C101" s="268"/>
      <c r="D101" s="268"/>
      <c r="E101" s="268"/>
      <c r="F101" s="268"/>
      <c r="G101" s="268"/>
      <c r="H101" s="268"/>
      <c r="I101" s="268"/>
      <c r="J101" s="268"/>
      <c r="K101" s="268"/>
      <c r="L101" s="268"/>
      <c r="M101" s="268"/>
      <c r="N101" s="268"/>
      <c r="O101" s="268"/>
      <c r="P101" s="268"/>
      <c r="Q101" s="268"/>
      <c r="R101" s="268"/>
      <c r="S101" s="268"/>
      <c r="T101" s="268"/>
      <c r="U101" s="268"/>
      <c r="V101" s="268"/>
      <c r="W101" s="268"/>
      <c r="X101" s="268"/>
      <c r="Y101" s="268"/>
      <c r="Z101" s="268"/>
      <c r="AA101" s="268"/>
      <c r="AB101" s="268"/>
      <c r="AC101" s="268"/>
      <c r="AD101" s="268"/>
      <c r="AE101" s="268"/>
      <c r="AF101" s="268"/>
      <c r="AG101" s="268"/>
      <c r="AH101" s="268"/>
    </row>
    <row r="102" spans="2:34" ht="15.75" hidden="1" customHeight="1" outlineLevel="1">
      <c r="B102" s="8" t="s">
        <v>175</v>
      </c>
      <c r="D102" s="79">
        <f>D4</f>
        <v>100</v>
      </c>
      <c r="E102" s="79">
        <f t="shared" ref="E102:Y102" si="39">D102*(1+$D$5)</f>
        <v>105</v>
      </c>
      <c r="F102" s="79">
        <f t="shared" si="39"/>
        <v>110.25</v>
      </c>
      <c r="G102" s="79">
        <f t="shared" si="39"/>
        <v>115.7625</v>
      </c>
      <c r="H102" s="79">
        <f t="shared" si="39"/>
        <v>121.55062500000001</v>
      </c>
      <c r="I102" s="79">
        <f t="shared" si="39"/>
        <v>127.62815625000002</v>
      </c>
      <c r="J102" s="79">
        <f t="shared" si="39"/>
        <v>134.00956406250003</v>
      </c>
      <c r="K102" s="79">
        <f t="shared" si="39"/>
        <v>140.71004226562505</v>
      </c>
      <c r="L102" s="79">
        <f t="shared" si="39"/>
        <v>147.74554437890632</v>
      </c>
      <c r="M102" s="79">
        <f t="shared" si="39"/>
        <v>155.13282159785163</v>
      </c>
      <c r="N102" s="79">
        <f t="shared" si="39"/>
        <v>162.88946267774421</v>
      </c>
      <c r="O102" s="79">
        <f t="shared" si="39"/>
        <v>171.03393581163144</v>
      </c>
      <c r="P102" s="79">
        <f t="shared" si="39"/>
        <v>179.58563260221302</v>
      </c>
      <c r="Q102" s="79">
        <f t="shared" si="39"/>
        <v>188.56491423232367</v>
      </c>
      <c r="R102" s="79">
        <f t="shared" si="39"/>
        <v>197.99315994393987</v>
      </c>
      <c r="S102" s="79">
        <f t="shared" si="39"/>
        <v>207.89281794113688</v>
      </c>
      <c r="T102" s="79">
        <f t="shared" si="39"/>
        <v>218.28745883819374</v>
      </c>
      <c r="U102" s="79">
        <f t="shared" si="39"/>
        <v>229.20183178010345</v>
      </c>
      <c r="V102" s="79">
        <f t="shared" si="39"/>
        <v>240.66192336910862</v>
      </c>
      <c r="W102" s="79">
        <f t="shared" si="39"/>
        <v>252.69501953756406</v>
      </c>
      <c r="X102" s="79">
        <f t="shared" si="39"/>
        <v>265.32977051444226</v>
      </c>
      <c r="Y102" s="79">
        <f t="shared" si="39"/>
        <v>278.5962590401644</v>
      </c>
      <c r="Z102" s="1"/>
      <c r="AA102" s="57">
        <f t="shared" ref="AA102:AA107" si="40">IFERROR((E102/D102)-1,"")</f>
        <v>5.0000000000000044E-2</v>
      </c>
      <c r="AB102" s="57">
        <f t="shared" ref="AB102:AB107" si="41">IFERROR((J102/D102)^(1/6)-1,"")</f>
        <v>5.0000000000000044E-2</v>
      </c>
      <c r="AC102" s="57">
        <f t="shared" ref="AC102:AC107" si="42">IFERROR((O102/D102)^(1/11)-1,"")</f>
        <v>5.0000000000000044E-2</v>
      </c>
      <c r="AD102" s="57">
        <f t="shared" ref="AD102:AD107" si="43">IFERROR((T102/D102)^(1/16)-1,"")</f>
        <v>5.0000000000000044E-2</v>
      </c>
      <c r="AE102" s="57">
        <f t="shared" ref="AE102:AE107" si="44">IFERROR((Y102/D102)^(1/21)-1,"")</f>
        <v>5.0000000000000044E-2</v>
      </c>
      <c r="AF102" s="245"/>
      <c r="AG102" s="245"/>
      <c r="AH102" s="245"/>
    </row>
    <row r="103" spans="2:34" ht="15.75" hidden="1" customHeight="1" outlineLevel="1">
      <c r="B103" s="98" t="s">
        <v>176</v>
      </c>
      <c r="C103" s="98"/>
      <c r="D103" s="79" t="str">
        <f t="shared" ref="D103:Y103" ca="1" si="45">IFERROR(AVERAGE(D114,D115)*$AE$5,0)</f>
        <v>#REF!</v>
      </c>
      <c r="E103" s="79" t="str">
        <f t="shared" ca="1" si="45"/>
        <v>#REF!</v>
      </c>
      <c r="F103" s="79" t="str">
        <f t="shared" ca="1" si="45"/>
        <v>#REF!</v>
      </c>
      <c r="G103" s="79" t="str">
        <f t="shared" ca="1" si="45"/>
        <v>#REF!</v>
      </c>
      <c r="H103" s="79" t="str">
        <f t="shared" ca="1" si="45"/>
        <v>#REF!</v>
      </c>
      <c r="I103" s="79" t="str">
        <f t="shared" ca="1" si="45"/>
        <v>#REF!</v>
      </c>
      <c r="J103" s="79" t="str">
        <f t="shared" ca="1" si="45"/>
        <v>#REF!</v>
      </c>
      <c r="K103" s="79" t="str">
        <f t="shared" ca="1" si="45"/>
        <v>#REF!</v>
      </c>
      <c r="L103" s="79" t="str">
        <f t="shared" ca="1" si="45"/>
        <v>#REF!</v>
      </c>
      <c r="M103" s="79" t="str">
        <f t="shared" ca="1" si="45"/>
        <v>#REF!</v>
      </c>
      <c r="N103" s="79" t="str">
        <f t="shared" ca="1" si="45"/>
        <v>#REF!</v>
      </c>
      <c r="O103" s="79" t="str">
        <f t="shared" ca="1" si="45"/>
        <v>#REF!</v>
      </c>
      <c r="P103" s="79" t="str">
        <f t="shared" ca="1" si="45"/>
        <v>#REF!</v>
      </c>
      <c r="Q103" s="79" t="str">
        <f t="shared" ca="1" si="45"/>
        <v>#REF!</v>
      </c>
      <c r="R103" s="79" t="str">
        <f t="shared" ca="1" si="45"/>
        <v>#REF!</v>
      </c>
      <c r="S103" s="79" t="str">
        <f t="shared" ca="1" si="45"/>
        <v>#REF!</v>
      </c>
      <c r="T103" s="79" t="str">
        <f t="shared" ca="1" si="45"/>
        <v>#REF!</v>
      </c>
      <c r="U103" s="79" t="str">
        <f t="shared" ca="1" si="45"/>
        <v>#REF!</v>
      </c>
      <c r="V103" s="79" t="str">
        <f t="shared" ca="1" si="45"/>
        <v>#REF!</v>
      </c>
      <c r="W103" s="79" t="str">
        <f t="shared" ca="1" si="45"/>
        <v>#REF!</v>
      </c>
      <c r="X103" s="79" t="str">
        <f t="shared" ca="1" si="45"/>
        <v>#REF!</v>
      </c>
      <c r="Y103" s="79" t="str">
        <f t="shared" ca="1" si="45"/>
        <v>#REF!</v>
      </c>
      <c r="AA103" s="57" t="str">
        <f t="shared" ca="1" si="40"/>
        <v/>
      </c>
      <c r="AB103" s="57" t="str">
        <f t="shared" ca="1" si="41"/>
        <v/>
      </c>
      <c r="AC103" s="57" t="str">
        <f t="shared" ca="1" si="42"/>
        <v/>
      </c>
      <c r="AD103" s="57" t="str">
        <f t="shared" ca="1" si="43"/>
        <v/>
      </c>
      <c r="AE103" s="57" t="str">
        <f t="shared" ca="1" si="44"/>
        <v/>
      </c>
      <c r="AF103" s="245"/>
      <c r="AG103" s="245"/>
      <c r="AH103" s="245"/>
    </row>
    <row r="104" spans="2:34" ht="15.75" hidden="1" customHeight="1" outlineLevel="1">
      <c r="B104" s="98" t="s">
        <v>177</v>
      </c>
      <c r="C104" s="98"/>
      <c r="D104" s="79">
        <f t="shared" ref="D104:Y104" ca="1" si="46">IFERROR(MAX($V$15*D117-D119,0),0)</f>
        <v>0</v>
      </c>
      <c r="E104" s="79">
        <f t="shared" ca="1" si="46"/>
        <v>0</v>
      </c>
      <c r="F104" s="79">
        <f t="shared" ca="1" si="46"/>
        <v>0</v>
      </c>
      <c r="G104" s="79">
        <f t="shared" ca="1" si="46"/>
        <v>0</v>
      </c>
      <c r="H104" s="79">
        <f t="shared" ca="1" si="46"/>
        <v>0</v>
      </c>
      <c r="I104" s="79">
        <f t="shared" ca="1" si="46"/>
        <v>0</v>
      </c>
      <c r="J104" s="79">
        <f t="shared" ca="1" si="46"/>
        <v>0</v>
      </c>
      <c r="K104" s="79">
        <f t="shared" ca="1" si="46"/>
        <v>0</v>
      </c>
      <c r="L104" s="79">
        <f t="shared" ca="1" si="46"/>
        <v>0</v>
      </c>
      <c r="M104" s="79">
        <f t="shared" ca="1" si="46"/>
        <v>0</v>
      </c>
      <c r="N104" s="79">
        <f t="shared" ca="1" si="46"/>
        <v>0</v>
      </c>
      <c r="O104" s="79">
        <f t="shared" ca="1" si="46"/>
        <v>0</v>
      </c>
      <c r="P104" s="79">
        <f t="shared" ca="1" si="46"/>
        <v>0</v>
      </c>
      <c r="Q104" s="79">
        <f t="shared" ca="1" si="46"/>
        <v>0</v>
      </c>
      <c r="R104" s="79">
        <f t="shared" ca="1" si="46"/>
        <v>0</v>
      </c>
      <c r="S104" s="79">
        <f t="shared" ca="1" si="46"/>
        <v>0</v>
      </c>
      <c r="T104" s="79">
        <f t="shared" ca="1" si="46"/>
        <v>0</v>
      </c>
      <c r="U104" s="79">
        <f t="shared" ca="1" si="46"/>
        <v>0</v>
      </c>
      <c r="V104" s="79">
        <f t="shared" ca="1" si="46"/>
        <v>0</v>
      </c>
      <c r="W104" s="79">
        <f t="shared" ca="1" si="46"/>
        <v>0</v>
      </c>
      <c r="X104" s="79">
        <f t="shared" ca="1" si="46"/>
        <v>0</v>
      </c>
      <c r="Y104" s="79">
        <f t="shared" ca="1" si="46"/>
        <v>0</v>
      </c>
      <c r="AA104" s="57" t="str">
        <f t="shared" ca="1" si="40"/>
        <v/>
      </c>
      <c r="AB104" s="57" t="str">
        <f t="shared" ca="1" si="41"/>
        <v/>
      </c>
      <c r="AC104" s="57" t="str">
        <f t="shared" ca="1" si="42"/>
        <v/>
      </c>
      <c r="AD104" s="57" t="str">
        <f t="shared" ca="1" si="43"/>
        <v/>
      </c>
      <c r="AE104" s="57" t="str">
        <f t="shared" ca="1" si="44"/>
        <v/>
      </c>
      <c r="AG104" s="57"/>
      <c r="AH104" s="57"/>
    </row>
    <row r="105" spans="2:34" ht="15.75" hidden="1" customHeight="1" outlineLevel="1">
      <c r="B105" s="98" t="s">
        <v>178</v>
      </c>
      <c r="C105" s="98"/>
      <c r="D105" s="79">
        <f t="shared" ref="D105:Y105" ca="1" si="47">-IFERROR(AVERAGE(D119,D120)*$O$6,0)</f>
        <v>-20</v>
      </c>
      <c r="E105" s="79">
        <f t="shared" ca="1" si="47"/>
        <v>-20</v>
      </c>
      <c r="F105" s="79">
        <f t="shared" ca="1" si="47"/>
        <v>-20</v>
      </c>
      <c r="G105" s="79">
        <f t="shared" ca="1" si="47"/>
        <v>-20</v>
      </c>
      <c r="H105" s="79">
        <f t="shared" ca="1" si="47"/>
        <v>-20</v>
      </c>
      <c r="I105" s="79">
        <f t="shared" ca="1" si="47"/>
        <v>-20</v>
      </c>
      <c r="J105" s="79">
        <f t="shared" ca="1" si="47"/>
        <v>-20</v>
      </c>
      <c r="K105" s="79">
        <f t="shared" ca="1" si="47"/>
        <v>-20</v>
      </c>
      <c r="L105" s="79">
        <f t="shared" ca="1" si="47"/>
        <v>-20</v>
      </c>
      <c r="M105" s="79">
        <f t="shared" ca="1" si="47"/>
        <v>-20</v>
      </c>
      <c r="N105" s="79">
        <f t="shared" ca="1" si="47"/>
        <v>-20</v>
      </c>
      <c r="O105" s="79">
        <f t="shared" ca="1" si="47"/>
        <v>-20</v>
      </c>
      <c r="P105" s="79">
        <f t="shared" ca="1" si="47"/>
        <v>-20</v>
      </c>
      <c r="Q105" s="79">
        <f t="shared" ca="1" si="47"/>
        <v>-20</v>
      </c>
      <c r="R105" s="79">
        <f t="shared" ca="1" si="47"/>
        <v>-20</v>
      </c>
      <c r="S105" s="79">
        <f t="shared" ca="1" si="47"/>
        <v>-20</v>
      </c>
      <c r="T105" s="79">
        <f t="shared" ca="1" si="47"/>
        <v>-20</v>
      </c>
      <c r="U105" s="79">
        <f t="shared" ca="1" si="47"/>
        <v>-20</v>
      </c>
      <c r="V105" s="79">
        <f t="shared" ca="1" si="47"/>
        <v>-20</v>
      </c>
      <c r="W105" s="79">
        <f t="shared" ca="1" si="47"/>
        <v>-20</v>
      </c>
      <c r="X105" s="79">
        <f t="shared" ca="1" si="47"/>
        <v>-20</v>
      </c>
      <c r="Y105" s="79">
        <f t="shared" ca="1" si="47"/>
        <v>-20</v>
      </c>
      <c r="AA105" s="57">
        <f t="shared" ca="1" si="40"/>
        <v>0</v>
      </c>
      <c r="AB105" s="57">
        <f t="shared" ca="1" si="41"/>
        <v>0</v>
      </c>
      <c r="AC105" s="57">
        <f t="shared" ca="1" si="42"/>
        <v>0</v>
      </c>
      <c r="AD105" s="57">
        <f t="shared" ca="1" si="43"/>
        <v>0</v>
      </c>
      <c r="AE105" s="57">
        <f t="shared" ca="1" si="44"/>
        <v>0</v>
      </c>
      <c r="AG105" s="57"/>
      <c r="AH105" s="57"/>
    </row>
    <row r="106" spans="2:34" ht="15.75" hidden="1" customHeight="1" outlineLevel="1">
      <c r="B106" s="241" t="s">
        <v>179</v>
      </c>
      <c r="C106" s="241"/>
      <c r="D106" s="202" t="str">
        <f t="shared" ref="D106:Y106" ca="1" si="48">SUM(D102:D105)</f>
        <v>#REF!</v>
      </c>
      <c r="E106" s="202" t="str">
        <f t="shared" ca="1" si="48"/>
        <v>#REF!</v>
      </c>
      <c r="F106" s="202" t="str">
        <f t="shared" ca="1" si="48"/>
        <v>#REF!</v>
      </c>
      <c r="G106" s="202" t="str">
        <f t="shared" ca="1" si="48"/>
        <v>#REF!</v>
      </c>
      <c r="H106" s="202" t="str">
        <f t="shared" ca="1" si="48"/>
        <v>#REF!</v>
      </c>
      <c r="I106" s="202" t="str">
        <f t="shared" ca="1" si="48"/>
        <v>#REF!</v>
      </c>
      <c r="J106" s="202" t="str">
        <f t="shared" ca="1" si="48"/>
        <v>#REF!</v>
      </c>
      <c r="K106" s="202" t="str">
        <f t="shared" ca="1" si="48"/>
        <v>#REF!</v>
      </c>
      <c r="L106" s="202" t="str">
        <f t="shared" ca="1" si="48"/>
        <v>#REF!</v>
      </c>
      <c r="M106" s="202" t="str">
        <f t="shared" ca="1" si="48"/>
        <v>#REF!</v>
      </c>
      <c r="N106" s="202" t="str">
        <f t="shared" ca="1" si="48"/>
        <v>#REF!</v>
      </c>
      <c r="O106" s="202" t="str">
        <f t="shared" ca="1" si="48"/>
        <v>#REF!</v>
      </c>
      <c r="P106" s="202" t="str">
        <f t="shared" ca="1" si="48"/>
        <v>#REF!</v>
      </c>
      <c r="Q106" s="202" t="str">
        <f t="shared" ca="1" si="48"/>
        <v>#REF!</v>
      </c>
      <c r="R106" s="202" t="str">
        <f t="shared" ca="1" si="48"/>
        <v>#REF!</v>
      </c>
      <c r="S106" s="202" t="str">
        <f t="shared" ca="1" si="48"/>
        <v>#REF!</v>
      </c>
      <c r="T106" s="202" t="str">
        <f t="shared" ca="1" si="48"/>
        <v>#REF!</v>
      </c>
      <c r="U106" s="202" t="str">
        <f t="shared" ca="1" si="48"/>
        <v>#REF!</v>
      </c>
      <c r="V106" s="202" t="str">
        <f t="shared" ca="1" si="48"/>
        <v>#REF!</v>
      </c>
      <c r="W106" s="202" t="str">
        <f t="shared" ca="1" si="48"/>
        <v>#REF!</v>
      </c>
      <c r="X106" s="202" t="str">
        <f t="shared" ca="1" si="48"/>
        <v>#REF!</v>
      </c>
      <c r="Y106" s="202" t="str">
        <f t="shared" ca="1" si="48"/>
        <v>#REF!</v>
      </c>
      <c r="Z106" s="66"/>
      <c r="AA106" s="203" t="str">
        <f t="shared" ca="1" si="40"/>
        <v/>
      </c>
      <c r="AB106" s="203" t="str">
        <f t="shared" ca="1" si="41"/>
        <v/>
      </c>
      <c r="AC106" s="203" t="str">
        <f t="shared" ca="1" si="42"/>
        <v/>
      </c>
      <c r="AD106" s="203" t="str">
        <f t="shared" ca="1" si="43"/>
        <v/>
      </c>
      <c r="AE106" s="203" t="str">
        <f t="shared" ca="1" si="44"/>
        <v/>
      </c>
      <c r="AG106" s="57"/>
      <c r="AH106" s="57"/>
    </row>
    <row r="107" spans="2:34" ht="15.75" hidden="1" customHeight="1" outlineLevel="1">
      <c r="B107" s="98" t="s">
        <v>180</v>
      </c>
      <c r="C107" s="98"/>
      <c r="D107" s="79">
        <f t="shared" ref="D107:Y107" ca="1" si="49">IFERROR(D108*D134/10^6,0)</f>
        <v>0</v>
      </c>
      <c r="E107" s="79">
        <f t="shared" ca="1" si="49"/>
        <v>0</v>
      </c>
      <c r="F107" s="79">
        <f t="shared" ca="1" si="49"/>
        <v>0</v>
      </c>
      <c r="G107" s="79">
        <f t="shared" ca="1" si="49"/>
        <v>0</v>
      </c>
      <c r="H107" s="79">
        <f t="shared" ca="1" si="49"/>
        <v>0</v>
      </c>
      <c r="I107" s="79">
        <f t="shared" ca="1" si="49"/>
        <v>0</v>
      </c>
      <c r="J107" s="79">
        <f t="shared" ca="1" si="49"/>
        <v>0</v>
      </c>
      <c r="K107" s="79">
        <f t="shared" ca="1" si="49"/>
        <v>0</v>
      </c>
      <c r="L107" s="79">
        <f t="shared" ca="1" si="49"/>
        <v>0</v>
      </c>
      <c r="M107" s="79">
        <f t="shared" ca="1" si="49"/>
        <v>0</v>
      </c>
      <c r="N107" s="79">
        <f t="shared" ca="1" si="49"/>
        <v>0</v>
      </c>
      <c r="O107" s="79">
        <f t="shared" ca="1" si="49"/>
        <v>0</v>
      </c>
      <c r="P107" s="79">
        <f t="shared" ca="1" si="49"/>
        <v>0</v>
      </c>
      <c r="Q107" s="79">
        <f t="shared" ca="1" si="49"/>
        <v>0</v>
      </c>
      <c r="R107" s="79">
        <f t="shared" ca="1" si="49"/>
        <v>0</v>
      </c>
      <c r="S107" s="79">
        <f t="shared" ca="1" si="49"/>
        <v>0</v>
      </c>
      <c r="T107" s="79">
        <f t="shared" ca="1" si="49"/>
        <v>0</v>
      </c>
      <c r="U107" s="79">
        <f t="shared" ca="1" si="49"/>
        <v>0</v>
      </c>
      <c r="V107" s="79">
        <f t="shared" ca="1" si="49"/>
        <v>0</v>
      </c>
      <c r="W107" s="79">
        <f t="shared" ca="1" si="49"/>
        <v>0</v>
      </c>
      <c r="X107" s="79">
        <f t="shared" ca="1" si="49"/>
        <v>0</v>
      </c>
      <c r="Y107" s="79">
        <f t="shared" ca="1" si="49"/>
        <v>0</v>
      </c>
      <c r="AA107" s="57" t="str">
        <f t="shared" ca="1" si="40"/>
        <v/>
      </c>
      <c r="AB107" s="57" t="str">
        <f t="shared" ca="1" si="41"/>
        <v/>
      </c>
      <c r="AC107" s="57" t="str">
        <f t="shared" ca="1" si="42"/>
        <v/>
      </c>
      <c r="AD107" s="57" t="str">
        <f t="shared" ca="1" si="43"/>
        <v/>
      </c>
      <c r="AE107" s="57" t="str">
        <f t="shared" ca="1" si="44"/>
        <v/>
      </c>
      <c r="AG107" s="57"/>
      <c r="AH107" s="57"/>
    </row>
    <row r="108" spans="2:34" ht="15.75" hidden="1" customHeight="1" outlineLevel="1">
      <c r="B108" s="74" t="s">
        <v>181</v>
      </c>
      <c r="C108" s="74"/>
      <c r="D108" s="135">
        <f t="shared" ref="D108:Y108" si="50">D132*$V$13</f>
        <v>0</v>
      </c>
      <c r="E108" s="135">
        <f t="shared" si="50"/>
        <v>0</v>
      </c>
      <c r="F108" s="135">
        <f t="shared" si="50"/>
        <v>0</v>
      </c>
      <c r="G108" s="135">
        <f t="shared" si="50"/>
        <v>0</v>
      </c>
      <c r="H108" s="135">
        <f t="shared" si="50"/>
        <v>0</v>
      </c>
      <c r="I108" s="135">
        <f t="shared" si="50"/>
        <v>0</v>
      </c>
      <c r="J108" s="135">
        <f t="shared" si="50"/>
        <v>0</v>
      </c>
      <c r="K108" s="135">
        <f t="shared" si="50"/>
        <v>0</v>
      </c>
      <c r="L108" s="135">
        <f t="shared" si="50"/>
        <v>0</v>
      </c>
      <c r="M108" s="135">
        <f t="shared" si="50"/>
        <v>0</v>
      </c>
      <c r="N108" s="135">
        <f t="shared" si="50"/>
        <v>0</v>
      </c>
      <c r="O108" s="135">
        <f t="shared" si="50"/>
        <v>0</v>
      </c>
      <c r="P108" s="135">
        <f t="shared" si="50"/>
        <v>0</v>
      </c>
      <c r="Q108" s="135">
        <f t="shared" si="50"/>
        <v>0</v>
      </c>
      <c r="R108" s="135">
        <f t="shared" si="50"/>
        <v>0</v>
      </c>
      <c r="S108" s="135">
        <f t="shared" si="50"/>
        <v>0</v>
      </c>
      <c r="T108" s="135">
        <f t="shared" si="50"/>
        <v>0</v>
      </c>
      <c r="U108" s="135">
        <f t="shared" si="50"/>
        <v>0</v>
      </c>
      <c r="V108" s="135">
        <f t="shared" si="50"/>
        <v>0</v>
      </c>
      <c r="W108" s="135">
        <f t="shared" si="50"/>
        <v>0</v>
      </c>
      <c r="X108" s="135">
        <f t="shared" si="50"/>
        <v>0</v>
      </c>
      <c r="Y108" s="135">
        <f t="shared" si="50"/>
        <v>0</v>
      </c>
      <c r="AA108" s="57"/>
      <c r="AB108" s="57"/>
      <c r="AC108" s="57"/>
      <c r="AD108" s="57"/>
      <c r="AE108" s="57"/>
      <c r="AG108" s="57"/>
      <c r="AH108" s="57"/>
    </row>
    <row r="109" spans="2:34" ht="15.75" hidden="1" customHeight="1" outlineLevel="1">
      <c r="B109" s="98" t="s">
        <v>163</v>
      </c>
      <c r="C109" s="98"/>
      <c r="D109" s="79" t="str">
        <f t="shared" ref="D109:Y109" ca="1" si="51">-D106*(1-$V$12)</f>
        <v>#REF!</v>
      </c>
      <c r="E109" s="79" t="str">
        <f t="shared" ca="1" si="51"/>
        <v>#REF!</v>
      </c>
      <c r="F109" s="79" t="str">
        <f t="shared" ca="1" si="51"/>
        <v>#REF!</v>
      </c>
      <c r="G109" s="79" t="str">
        <f t="shared" ca="1" si="51"/>
        <v>#REF!</v>
      </c>
      <c r="H109" s="79" t="str">
        <f t="shared" ca="1" si="51"/>
        <v>#REF!</v>
      </c>
      <c r="I109" s="79" t="str">
        <f t="shared" ca="1" si="51"/>
        <v>#REF!</v>
      </c>
      <c r="J109" s="79" t="str">
        <f t="shared" ca="1" si="51"/>
        <v>#REF!</v>
      </c>
      <c r="K109" s="79" t="str">
        <f t="shared" ca="1" si="51"/>
        <v>#REF!</v>
      </c>
      <c r="L109" s="79" t="str">
        <f t="shared" ca="1" si="51"/>
        <v>#REF!</v>
      </c>
      <c r="M109" s="79" t="str">
        <f t="shared" ca="1" si="51"/>
        <v>#REF!</v>
      </c>
      <c r="N109" s="79" t="str">
        <f t="shared" ca="1" si="51"/>
        <v>#REF!</v>
      </c>
      <c r="O109" s="79" t="str">
        <f t="shared" ca="1" si="51"/>
        <v>#REF!</v>
      </c>
      <c r="P109" s="79" t="str">
        <f t="shared" ca="1" si="51"/>
        <v>#REF!</v>
      </c>
      <c r="Q109" s="79" t="str">
        <f t="shared" ca="1" si="51"/>
        <v>#REF!</v>
      </c>
      <c r="R109" s="79" t="str">
        <f t="shared" ca="1" si="51"/>
        <v>#REF!</v>
      </c>
      <c r="S109" s="79" t="str">
        <f t="shared" ca="1" si="51"/>
        <v>#REF!</v>
      </c>
      <c r="T109" s="79" t="str">
        <f t="shared" ca="1" si="51"/>
        <v>#REF!</v>
      </c>
      <c r="U109" s="79" t="str">
        <f t="shared" ca="1" si="51"/>
        <v>#REF!</v>
      </c>
      <c r="V109" s="79" t="str">
        <f t="shared" ca="1" si="51"/>
        <v>#REF!</v>
      </c>
      <c r="W109" s="79" t="str">
        <f t="shared" ca="1" si="51"/>
        <v>#REF!</v>
      </c>
      <c r="X109" s="79" t="str">
        <f t="shared" ca="1" si="51"/>
        <v>#REF!</v>
      </c>
      <c r="Y109" s="79" t="str">
        <f t="shared" ca="1" si="51"/>
        <v>#REF!</v>
      </c>
      <c r="AA109" s="57" t="str">
        <f t="shared" ref="AA109:AA112" ca="1" si="52">IFERROR((E109/D109)-1,"")</f>
        <v/>
      </c>
      <c r="AB109" s="57" t="str">
        <f t="shared" ref="AB109:AB112" ca="1" si="53">IFERROR((J109/D109)^(1/6)-1,"")</f>
        <v/>
      </c>
      <c r="AC109" s="57" t="str">
        <f t="shared" ref="AC109:AC112" ca="1" si="54">IFERROR((O109/D109)^(1/11)-1,"")</f>
        <v/>
      </c>
      <c r="AD109" s="57" t="str">
        <f t="shared" ref="AD109:AD112" ca="1" si="55">IFERROR((T109/D109)^(1/16)-1,"")</f>
        <v/>
      </c>
      <c r="AE109" s="57" t="str">
        <f t="shared" ref="AE109:AE112" ca="1" si="56">IFERROR((Y109/D109)^(1/21)-1,"")</f>
        <v/>
      </c>
      <c r="AG109" s="57"/>
      <c r="AH109" s="57"/>
    </row>
    <row r="110" spans="2:34" ht="15.75" hidden="1" customHeight="1" outlineLevel="1">
      <c r="B110" s="241" t="s">
        <v>182</v>
      </c>
      <c r="C110" s="241"/>
      <c r="D110" s="202" t="str">
        <f t="shared" ref="D110:Y110" ca="1" si="57">D106+D107+D109</f>
        <v>#REF!</v>
      </c>
      <c r="E110" s="202" t="str">
        <f t="shared" ca="1" si="57"/>
        <v>#REF!</v>
      </c>
      <c r="F110" s="202" t="str">
        <f t="shared" ca="1" si="57"/>
        <v>#REF!</v>
      </c>
      <c r="G110" s="202" t="str">
        <f t="shared" ca="1" si="57"/>
        <v>#REF!</v>
      </c>
      <c r="H110" s="202" t="str">
        <f t="shared" ca="1" si="57"/>
        <v>#REF!</v>
      </c>
      <c r="I110" s="202" t="str">
        <f t="shared" ca="1" si="57"/>
        <v>#REF!</v>
      </c>
      <c r="J110" s="202" t="str">
        <f t="shared" ca="1" si="57"/>
        <v>#REF!</v>
      </c>
      <c r="K110" s="202" t="str">
        <f t="shared" ca="1" si="57"/>
        <v>#REF!</v>
      </c>
      <c r="L110" s="202" t="str">
        <f t="shared" ca="1" si="57"/>
        <v>#REF!</v>
      </c>
      <c r="M110" s="202" t="str">
        <f t="shared" ca="1" si="57"/>
        <v>#REF!</v>
      </c>
      <c r="N110" s="202" t="str">
        <f t="shared" ca="1" si="57"/>
        <v>#REF!</v>
      </c>
      <c r="O110" s="202" t="str">
        <f t="shared" ca="1" si="57"/>
        <v>#REF!</v>
      </c>
      <c r="P110" s="202" t="str">
        <f t="shared" ca="1" si="57"/>
        <v>#REF!</v>
      </c>
      <c r="Q110" s="202" t="str">
        <f t="shared" ca="1" si="57"/>
        <v>#REF!</v>
      </c>
      <c r="R110" s="202" t="str">
        <f t="shared" ca="1" si="57"/>
        <v>#REF!</v>
      </c>
      <c r="S110" s="202" t="str">
        <f t="shared" ca="1" si="57"/>
        <v>#REF!</v>
      </c>
      <c r="T110" s="202" t="str">
        <f t="shared" ca="1" si="57"/>
        <v>#REF!</v>
      </c>
      <c r="U110" s="202" t="str">
        <f t="shared" ca="1" si="57"/>
        <v>#REF!</v>
      </c>
      <c r="V110" s="202" t="str">
        <f t="shared" ca="1" si="57"/>
        <v>#REF!</v>
      </c>
      <c r="W110" s="202" t="str">
        <f t="shared" ca="1" si="57"/>
        <v>#REF!</v>
      </c>
      <c r="X110" s="202" t="str">
        <f t="shared" ca="1" si="57"/>
        <v>#REF!</v>
      </c>
      <c r="Y110" s="202" t="str">
        <f t="shared" ca="1" si="57"/>
        <v>#REF!</v>
      </c>
      <c r="Z110" s="66"/>
      <c r="AA110" s="203" t="str">
        <f t="shared" ca="1" si="52"/>
        <v/>
      </c>
      <c r="AB110" s="203" t="str">
        <f t="shared" ca="1" si="53"/>
        <v/>
      </c>
      <c r="AC110" s="203" t="str">
        <f t="shared" ca="1" si="54"/>
        <v/>
      </c>
      <c r="AD110" s="203" t="str">
        <f t="shared" ca="1" si="55"/>
        <v/>
      </c>
      <c r="AE110" s="203" t="str">
        <f t="shared" ca="1" si="56"/>
        <v/>
      </c>
      <c r="AG110" s="57"/>
      <c r="AH110" s="57"/>
    </row>
    <row r="111" spans="2:34" ht="15.75" hidden="1" customHeight="1" outlineLevel="1">
      <c r="B111" s="98" t="s">
        <v>183</v>
      </c>
      <c r="C111" s="98"/>
      <c r="D111" s="79" t="str">
        <f ca="1">IFERROR(-$V$11*D114-D110,0)</f>
        <v>#REF!</v>
      </c>
      <c r="E111" s="79" t="str">
        <f t="shared" ref="E111:Y111" ca="1" si="58">IFERROR(-E110,0)</f>
        <v>#REF!</v>
      </c>
      <c r="F111" s="79" t="str">
        <f t="shared" ca="1" si="58"/>
        <v>#REF!</v>
      </c>
      <c r="G111" s="79" t="str">
        <f t="shared" ca="1" si="58"/>
        <v>#REF!</v>
      </c>
      <c r="H111" s="79" t="str">
        <f t="shared" ca="1" si="58"/>
        <v>#REF!</v>
      </c>
      <c r="I111" s="79" t="str">
        <f t="shared" ca="1" si="58"/>
        <v>#REF!</v>
      </c>
      <c r="J111" s="79" t="str">
        <f t="shared" ca="1" si="58"/>
        <v>#REF!</v>
      </c>
      <c r="K111" s="79" t="str">
        <f t="shared" ca="1" si="58"/>
        <v>#REF!</v>
      </c>
      <c r="L111" s="79" t="str">
        <f t="shared" ca="1" si="58"/>
        <v>#REF!</v>
      </c>
      <c r="M111" s="79" t="str">
        <f t="shared" ca="1" si="58"/>
        <v>#REF!</v>
      </c>
      <c r="N111" s="79" t="str">
        <f t="shared" ca="1" si="58"/>
        <v>#REF!</v>
      </c>
      <c r="O111" s="79" t="str">
        <f t="shared" ca="1" si="58"/>
        <v>#REF!</v>
      </c>
      <c r="P111" s="79" t="str">
        <f t="shared" ca="1" si="58"/>
        <v>#REF!</v>
      </c>
      <c r="Q111" s="79" t="str">
        <f t="shared" ca="1" si="58"/>
        <v>#REF!</v>
      </c>
      <c r="R111" s="79" t="str">
        <f t="shared" ca="1" si="58"/>
        <v>#REF!</v>
      </c>
      <c r="S111" s="79" t="str">
        <f t="shared" ca="1" si="58"/>
        <v>#REF!</v>
      </c>
      <c r="T111" s="79" t="str">
        <f t="shared" ca="1" si="58"/>
        <v>#REF!</v>
      </c>
      <c r="U111" s="79" t="str">
        <f t="shared" ca="1" si="58"/>
        <v>#REF!</v>
      </c>
      <c r="V111" s="79" t="str">
        <f t="shared" ca="1" si="58"/>
        <v>#REF!</v>
      </c>
      <c r="W111" s="79" t="str">
        <f t="shared" ca="1" si="58"/>
        <v>#REF!</v>
      </c>
      <c r="X111" s="79" t="str">
        <f t="shared" ca="1" si="58"/>
        <v>#REF!</v>
      </c>
      <c r="Y111" s="79" t="str">
        <f t="shared" ca="1" si="58"/>
        <v>#REF!</v>
      </c>
      <c r="AA111" s="57" t="str">
        <f t="shared" ca="1" si="52"/>
        <v/>
      </c>
      <c r="AB111" s="57" t="str">
        <f t="shared" ca="1" si="53"/>
        <v/>
      </c>
      <c r="AC111" s="57" t="str">
        <f t="shared" ca="1" si="54"/>
        <v/>
      </c>
      <c r="AD111" s="57" t="str">
        <f t="shared" ca="1" si="55"/>
        <v/>
      </c>
      <c r="AE111" s="57" t="str">
        <f t="shared" ca="1" si="56"/>
        <v/>
      </c>
      <c r="AG111" s="57"/>
      <c r="AH111" s="57"/>
    </row>
    <row r="112" spans="2:34" ht="15.75" hidden="1" customHeight="1" outlineLevel="1">
      <c r="B112" s="201" t="s">
        <v>184</v>
      </c>
      <c r="C112" s="201"/>
      <c r="D112" s="202" t="str">
        <f t="shared" ref="D112:Y112" ca="1" si="59">D102+D103+D104+D105+D107+D109+D111</f>
        <v>#REF!</v>
      </c>
      <c r="E112" s="202" t="str">
        <f t="shared" ca="1" si="59"/>
        <v>#REF!</v>
      </c>
      <c r="F112" s="202" t="str">
        <f t="shared" ca="1" si="59"/>
        <v>#REF!</v>
      </c>
      <c r="G112" s="202" t="str">
        <f t="shared" ca="1" si="59"/>
        <v>#REF!</v>
      </c>
      <c r="H112" s="202" t="str">
        <f t="shared" ca="1" si="59"/>
        <v>#REF!</v>
      </c>
      <c r="I112" s="202" t="str">
        <f t="shared" ca="1" si="59"/>
        <v>#REF!</v>
      </c>
      <c r="J112" s="202" t="str">
        <f t="shared" ca="1" si="59"/>
        <v>#REF!</v>
      </c>
      <c r="K112" s="202" t="str">
        <f t="shared" ca="1" si="59"/>
        <v>#REF!</v>
      </c>
      <c r="L112" s="202" t="str">
        <f t="shared" ca="1" si="59"/>
        <v>#REF!</v>
      </c>
      <c r="M112" s="202" t="str">
        <f t="shared" ca="1" si="59"/>
        <v>#REF!</v>
      </c>
      <c r="N112" s="202" t="str">
        <f t="shared" ca="1" si="59"/>
        <v>#REF!</v>
      </c>
      <c r="O112" s="202" t="str">
        <f t="shared" ca="1" si="59"/>
        <v>#REF!</v>
      </c>
      <c r="P112" s="202" t="str">
        <f t="shared" ca="1" si="59"/>
        <v>#REF!</v>
      </c>
      <c r="Q112" s="202" t="str">
        <f t="shared" ca="1" si="59"/>
        <v>#REF!</v>
      </c>
      <c r="R112" s="202" t="str">
        <f t="shared" ca="1" si="59"/>
        <v>#REF!</v>
      </c>
      <c r="S112" s="202" t="str">
        <f t="shared" ca="1" si="59"/>
        <v>#REF!</v>
      </c>
      <c r="T112" s="202" t="str">
        <f t="shared" ca="1" si="59"/>
        <v>#REF!</v>
      </c>
      <c r="U112" s="202" t="str">
        <f t="shared" ca="1" si="59"/>
        <v>#REF!</v>
      </c>
      <c r="V112" s="202" t="str">
        <f t="shared" ca="1" si="59"/>
        <v>#REF!</v>
      </c>
      <c r="W112" s="202" t="str">
        <f t="shared" ca="1" si="59"/>
        <v>#REF!</v>
      </c>
      <c r="X112" s="202" t="str">
        <f t="shared" ca="1" si="59"/>
        <v>#REF!</v>
      </c>
      <c r="Y112" s="202" t="str">
        <f t="shared" ca="1" si="59"/>
        <v>#REF!</v>
      </c>
      <c r="Z112" s="57"/>
      <c r="AA112" s="225" t="str">
        <f t="shared" ca="1" si="52"/>
        <v/>
      </c>
      <c r="AB112" s="225" t="str">
        <f t="shared" ca="1" si="53"/>
        <v/>
      </c>
      <c r="AC112" s="225" t="str">
        <f t="shared" ca="1" si="54"/>
        <v/>
      </c>
      <c r="AD112" s="225" t="str">
        <f t="shared" ca="1" si="55"/>
        <v/>
      </c>
      <c r="AE112" s="225" t="str">
        <f t="shared" ca="1" si="56"/>
        <v/>
      </c>
      <c r="AG112" s="203"/>
      <c r="AH112" s="203"/>
    </row>
    <row r="113" spans="2:34" ht="15.75" hidden="1" customHeight="1" outlineLevel="1">
      <c r="AA113" s="86"/>
      <c r="AB113" s="86"/>
      <c r="AC113" s="86"/>
      <c r="AD113" s="86"/>
      <c r="AE113" s="86"/>
    </row>
    <row r="114" spans="2:34" ht="15.75" hidden="1" customHeight="1" outlineLevel="1">
      <c r="B114" s="8" t="s">
        <v>185</v>
      </c>
      <c r="D114" s="79">
        <f>O7</f>
        <v>50</v>
      </c>
      <c r="E114" s="79" t="str">
        <f t="shared" ref="E114:Y114" ca="1" si="60">D115</f>
        <v>#REF!</v>
      </c>
      <c r="F114" s="79" t="str">
        <f t="shared" ca="1" si="60"/>
        <v>#REF!</v>
      </c>
      <c r="G114" s="79" t="str">
        <f t="shared" ca="1" si="60"/>
        <v>#REF!</v>
      </c>
      <c r="H114" s="79" t="str">
        <f t="shared" ca="1" si="60"/>
        <v>#REF!</v>
      </c>
      <c r="I114" s="79" t="str">
        <f t="shared" ca="1" si="60"/>
        <v>#REF!</v>
      </c>
      <c r="J114" s="79" t="str">
        <f t="shared" ca="1" si="60"/>
        <v>#REF!</v>
      </c>
      <c r="K114" s="79" t="str">
        <f t="shared" ca="1" si="60"/>
        <v>#REF!</v>
      </c>
      <c r="L114" s="79" t="str">
        <f t="shared" ca="1" si="60"/>
        <v>#REF!</v>
      </c>
      <c r="M114" s="79" t="str">
        <f t="shared" ca="1" si="60"/>
        <v>#REF!</v>
      </c>
      <c r="N114" s="79" t="str">
        <f t="shared" ca="1" si="60"/>
        <v>#REF!</v>
      </c>
      <c r="O114" s="79" t="str">
        <f t="shared" ca="1" si="60"/>
        <v>#REF!</v>
      </c>
      <c r="P114" s="79" t="str">
        <f t="shared" ca="1" si="60"/>
        <v>#REF!</v>
      </c>
      <c r="Q114" s="79" t="str">
        <f t="shared" ca="1" si="60"/>
        <v>#REF!</v>
      </c>
      <c r="R114" s="79" t="str">
        <f t="shared" ca="1" si="60"/>
        <v>#REF!</v>
      </c>
      <c r="S114" s="79" t="str">
        <f t="shared" ca="1" si="60"/>
        <v>#REF!</v>
      </c>
      <c r="T114" s="79" t="str">
        <f t="shared" ca="1" si="60"/>
        <v>#REF!</v>
      </c>
      <c r="U114" s="79" t="str">
        <f t="shared" ca="1" si="60"/>
        <v>#REF!</v>
      </c>
      <c r="V114" s="79" t="str">
        <f t="shared" ca="1" si="60"/>
        <v>#REF!</v>
      </c>
      <c r="W114" s="79" t="str">
        <f t="shared" ca="1" si="60"/>
        <v>#REF!</v>
      </c>
      <c r="X114" s="79" t="str">
        <f t="shared" ca="1" si="60"/>
        <v>#REF!</v>
      </c>
      <c r="Y114" s="79" t="str">
        <f t="shared" ca="1" si="60"/>
        <v>#REF!</v>
      </c>
      <c r="AA114" s="57" t="str">
        <f t="shared" ref="AA114:AA117" ca="1" si="61">IFERROR((E114/D114)-1,"")</f>
        <v/>
      </c>
      <c r="AB114" s="57" t="str">
        <f t="shared" ref="AB114:AB117" ca="1" si="62">IFERROR((J114/D114)^(1/6)-1,"")</f>
        <v/>
      </c>
      <c r="AC114" s="57" t="str">
        <f t="shared" ref="AC114:AC117" ca="1" si="63">IFERROR((O114/D114)^(1/11)-1,"")</f>
        <v/>
      </c>
      <c r="AD114" s="57" t="str">
        <f t="shared" ref="AD114:AD117" ca="1" si="64">IFERROR((T114/D114)^(1/16)-1,"")</f>
        <v/>
      </c>
      <c r="AE114" s="57" t="str">
        <f t="shared" ref="AE114:AE117" ca="1" si="65">IFERROR((Y114/D114)^(1/21)-1,"")</f>
        <v/>
      </c>
      <c r="AG114" s="57"/>
      <c r="AH114" s="57"/>
    </row>
    <row r="115" spans="2:34" ht="15.75" hidden="1" customHeight="1" outlineLevel="1">
      <c r="B115" s="204" t="s">
        <v>186</v>
      </c>
      <c r="C115" s="204"/>
      <c r="D115" s="205" t="str">
        <f t="shared" ref="D115:Y115" ca="1" si="66">D114+D112</f>
        <v>#REF!</v>
      </c>
      <c r="E115" s="205" t="str">
        <f t="shared" ca="1" si="66"/>
        <v>#REF!</v>
      </c>
      <c r="F115" s="205" t="str">
        <f t="shared" ca="1" si="66"/>
        <v>#REF!</v>
      </c>
      <c r="G115" s="205" t="str">
        <f t="shared" ca="1" si="66"/>
        <v>#REF!</v>
      </c>
      <c r="H115" s="205" t="str">
        <f t="shared" ca="1" si="66"/>
        <v>#REF!</v>
      </c>
      <c r="I115" s="205" t="str">
        <f t="shared" ca="1" si="66"/>
        <v>#REF!</v>
      </c>
      <c r="J115" s="205" t="str">
        <f t="shared" ca="1" si="66"/>
        <v>#REF!</v>
      </c>
      <c r="K115" s="205" t="str">
        <f t="shared" ca="1" si="66"/>
        <v>#REF!</v>
      </c>
      <c r="L115" s="205" t="str">
        <f t="shared" ca="1" si="66"/>
        <v>#REF!</v>
      </c>
      <c r="M115" s="205" t="str">
        <f t="shared" ca="1" si="66"/>
        <v>#REF!</v>
      </c>
      <c r="N115" s="205" t="str">
        <f t="shared" ca="1" si="66"/>
        <v>#REF!</v>
      </c>
      <c r="O115" s="205" t="str">
        <f t="shared" ca="1" si="66"/>
        <v>#REF!</v>
      </c>
      <c r="P115" s="205" t="str">
        <f t="shared" ca="1" si="66"/>
        <v>#REF!</v>
      </c>
      <c r="Q115" s="205" t="str">
        <f t="shared" ca="1" si="66"/>
        <v>#REF!</v>
      </c>
      <c r="R115" s="205" t="str">
        <f t="shared" ca="1" si="66"/>
        <v>#REF!</v>
      </c>
      <c r="S115" s="205" t="str">
        <f t="shared" ca="1" si="66"/>
        <v>#REF!</v>
      </c>
      <c r="T115" s="205" t="str">
        <f t="shared" ca="1" si="66"/>
        <v>#REF!</v>
      </c>
      <c r="U115" s="205" t="str">
        <f t="shared" ca="1" si="66"/>
        <v>#REF!</v>
      </c>
      <c r="V115" s="205" t="str">
        <f t="shared" ca="1" si="66"/>
        <v>#REF!</v>
      </c>
      <c r="W115" s="205" t="str">
        <f t="shared" ca="1" si="66"/>
        <v>#REF!</v>
      </c>
      <c r="X115" s="205" t="str">
        <f t="shared" ca="1" si="66"/>
        <v>#REF!</v>
      </c>
      <c r="Y115" s="205" t="str">
        <f t="shared" ca="1" si="66"/>
        <v>#REF!</v>
      </c>
      <c r="Z115" s="66"/>
      <c r="AA115" s="206" t="str">
        <f t="shared" ca="1" si="61"/>
        <v/>
      </c>
      <c r="AB115" s="206" t="str">
        <f t="shared" ca="1" si="62"/>
        <v/>
      </c>
      <c r="AC115" s="206" t="str">
        <f t="shared" ca="1" si="63"/>
        <v/>
      </c>
      <c r="AD115" s="206" t="str">
        <f t="shared" ca="1" si="64"/>
        <v/>
      </c>
      <c r="AE115" s="206" t="str">
        <f t="shared" ca="1" si="65"/>
        <v/>
      </c>
    </row>
    <row r="116" spans="2:34" ht="15.75" hidden="1" customHeight="1" outlineLevel="1">
      <c r="B116" s="8" t="s">
        <v>187</v>
      </c>
      <c r="D116" s="136">
        <f>O4*D22/10^3</f>
        <v>0</v>
      </c>
      <c r="E116" s="79" t="str">
        <f t="shared" ref="E116:Y116" ca="1" si="67">D117</f>
        <v>#REF!</v>
      </c>
      <c r="F116" s="79" t="str">
        <f t="shared" ca="1" si="67"/>
        <v>#REF!</v>
      </c>
      <c r="G116" s="79" t="str">
        <f t="shared" ca="1" si="67"/>
        <v>#REF!</v>
      </c>
      <c r="H116" s="79" t="str">
        <f t="shared" ca="1" si="67"/>
        <v>#REF!</v>
      </c>
      <c r="I116" s="79" t="str">
        <f t="shared" ca="1" si="67"/>
        <v>#REF!</v>
      </c>
      <c r="J116" s="79" t="str">
        <f t="shared" ca="1" si="67"/>
        <v>#REF!</v>
      </c>
      <c r="K116" s="79" t="str">
        <f t="shared" ca="1" si="67"/>
        <v>#REF!</v>
      </c>
      <c r="L116" s="79" t="str">
        <f t="shared" ca="1" si="67"/>
        <v>#REF!</v>
      </c>
      <c r="M116" s="79" t="str">
        <f t="shared" ca="1" si="67"/>
        <v>#REF!</v>
      </c>
      <c r="N116" s="79" t="str">
        <f t="shared" ca="1" si="67"/>
        <v>#REF!</v>
      </c>
      <c r="O116" s="79" t="str">
        <f t="shared" ca="1" si="67"/>
        <v>#REF!</v>
      </c>
      <c r="P116" s="79" t="str">
        <f t="shared" ca="1" si="67"/>
        <v>#REF!</v>
      </c>
      <c r="Q116" s="79" t="str">
        <f t="shared" ca="1" si="67"/>
        <v>#REF!</v>
      </c>
      <c r="R116" s="79" t="str">
        <f t="shared" ca="1" si="67"/>
        <v>#REF!</v>
      </c>
      <c r="S116" s="79" t="str">
        <f t="shared" ca="1" si="67"/>
        <v>#REF!</v>
      </c>
      <c r="T116" s="79" t="str">
        <f t="shared" ca="1" si="67"/>
        <v>#REF!</v>
      </c>
      <c r="U116" s="79" t="str">
        <f t="shared" ca="1" si="67"/>
        <v>#REF!</v>
      </c>
      <c r="V116" s="79" t="str">
        <f t="shared" ca="1" si="67"/>
        <v>#REF!</v>
      </c>
      <c r="W116" s="79" t="str">
        <f t="shared" ca="1" si="67"/>
        <v>#REF!</v>
      </c>
      <c r="X116" s="79" t="str">
        <f t="shared" ca="1" si="67"/>
        <v>#REF!</v>
      </c>
      <c r="Y116" s="79" t="str">
        <f t="shared" ca="1" si="67"/>
        <v>#REF!</v>
      </c>
      <c r="AA116" s="57" t="str">
        <f t="shared" ca="1" si="61"/>
        <v/>
      </c>
      <c r="AB116" s="57" t="str">
        <f t="shared" ca="1" si="62"/>
        <v/>
      </c>
      <c r="AC116" s="57" t="str">
        <f t="shared" ca="1" si="63"/>
        <v/>
      </c>
      <c r="AD116" s="57" t="str">
        <f t="shared" ca="1" si="64"/>
        <v/>
      </c>
      <c r="AE116" s="57" t="str">
        <f t="shared" ca="1" si="65"/>
        <v/>
      </c>
      <c r="AF116" s="72"/>
    </row>
    <row r="117" spans="2:34" ht="15.75" hidden="1" customHeight="1" outlineLevel="1">
      <c r="B117" s="204" t="s">
        <v>188</v>
      </c>
      <c r="C117" s="204"/>
      <c r="D117" s="205" t="str">
        <f ca="1">D116-D111</f>
        <v>#REF!</v>
      </c>
      <c r="E117" s="205" t="str">
        <f ca="1">E116*(1+Macro!D52)-E111</f>
        <v>#REF!</v>
      </c>
      <c r="F117" s="205" t="str">
        <f ca="1">F116*(1+Macro!E52)-F111</f>
        <v>#REF!</v>
      </c>
      <c r="G117" s="205" t="str">
        <f ca="1">G116*(1+Macro!F52)-G111</f>
        <v>#REF!</v>
      </c>
      <c r="H117" s="205" t="str">
        <f ca="1">H116*(1+Macro!G52)-H111</f>
        <v>#REF!</v>
      </c>
      <c r="I117" s="205" t="str">
        <f ca="1">I116*(1+Macro!H52)-I111</f>
        <v>#REF!</v>
      </c>
      <c r="J117" s="205" t="str">
        <f ca="1">J116*(1+Macro!I52)-J111</f>
        <v>#REF!</v>
      </c>
      <c r="K117" s="205" t="str">
        <f ca="1">K116*(1+Macro!J52)-K111</f>
        <v>#REF!</v>
      </c>
      <c r="L117" s="205" t="str">
        <f ca="1">L116*(1+Macro!K52)-L111</f>
        <v>#REF!</v>
      </c>
      <c r="M117" s="205" t="str">
        <f ca="1">M116*(1+Macro!L52)-M111</f>
        <v>#REF!</v>
      </c>
      <c r="N117" s="205" t="str">
        <f ca="1">N116*(1+Macro!M52)-N111</f>
        <v>#REF!</v>
      </c>
      <c r="O117" s="205" t="str">
        <f ca="1">O116*(1+Macro!N52)-O111</f>
        <v>#REF!</v>
      </c>
      <c r="P117" s="205" t="str">
        <f ca="1">P116*(1+Macro!O52)-P111</f>
        <v>#REF!</v>
      </c>
      <c r="Q117" s="205" t="str">
        <f ca="1">Q116*(1+Macro!P52)-Q111</f>
        <v>#REF!</v>
      </c>
      <c r="R117" s="205" t="str">
        <f ca="1">R116*(1+Macro!Q52)-R111</f>
        <v>#REF!</v>
      </c>
      <c r="S117" s="205" t="str">
        <f ca="1">S116*(1+Macro!R52)-S111</f>
        <v>#REF!</v>
      </c>
      <c r="T117" s="205" t="str">
        <f ca="1">T116*(1+Macro!S52)-T111</f>
        <v>#REF!</v>
      </c>
      <c r="U117" s="205" t="str">
        <f ca="1">U116*(1+Macro!T52)-U111</f>
        <v>#REF!</v>
      </c>
      <c r="V117" s="205" t="str">
        <f ca="1">V116*(1+Macro!U52)-V111</f>
        <v>#REF!</v>
      </c>
      <c r="W117" s="205" t="str">
        <f ca="1">W116*(1+Macro!V52)-W111</f>
        <v>#REF!</v>
      </c>
      <c r="X117" s="205" t="str">
        <f ca="1">X116*(1+Macro!W52)-X111</f>
        <v>#REF!</v>
      </c>
      <c r="Y117" s="205" t="str">
        <f ca="1">Y116*(1+Macro!X52)-Y111</f>
        <v>#REF!</v>
      </c>
      <c r="Z117" s="66"/>
      <c r="AA117" s="206" t="str">
        <f t="shared" ca="1" si="61"/>
        <v/>
      </c>
      <c r="AB117" s="206" t="str">
        <f t="shared" ca="1" si="62"/>
        <v/>
      </c>
      <c r="AC117" s="206" t="str">
        <f t="shared" ca="1" si="63"/>
        <v/>
      </c>
      <c r="AD117" s="206" t="str">
        <f t="shared" ca="1" si="64"/>
        <v/>
      </c>
      <c r="AE117" s="206" t="str">
        <f t="shared" ca="1" si="65"/>
        <v/>
      </c>
    </row>
    <row r="118" spans="2:34" ht="15.75" hidden="1" customHeight="1" outlineLevel="1"/>
    <row r="119" spans="2:34" ht="15.75" hidden="1" customHeight="1" outlineLevel="1">
      <c r="B119" s="8" t="s">
        <v>189</v>
      </c>
      <c r="D119" s="79">
        <f>O5</f>
        <v>200</v>
      </c>
      <c r="E119" s="79">
        <f t="shared" ref="E119:Y119" ca="1" si="68">D120</f>
        <v>200</v>
      </c>
      <c r="F119" s="79">
        <f t="shared" ca="1" si="68"/>
        <v>200</v>
      </c>
      <c r="G119" s="79">
        <f t="shared" ca="1" si="68"/>
        <v>200</v>
      </c>
      <c r="H119" s="79">
        <f t="shared" ca="1" si="68"/>
        <v>200</v>
      </c>
      <c r="I119" s="79">
        <f t="shared" ca="1" si="68"/>
        <v>200</v>
      </c>
      <c r="J119" s="79">
        <f t="shared" ca="1" si="68"/>
        <v>200</v>
      </c>
      <c r="K119" s="79">
        <f t="shared" ca="1" si="68"/>
        <v>200</v>
      </c>
      <c r="L119" s="79">
        <f t="shared" ca="1" si="68"/>
        <v>200</v>
      </c>
      <c r="M119" s="79">
        <f t="shared" ca="1" si="68"/>
        <v>200</v>
      </c>
      <c r="N119" s="79">
        <f t="shared" ca="1" si="68"/>
        <v>200</v>
      </c>
      <c r="O119" s="79">
        <f t="shared" ca="1" si="68"/>
        <v>200</v>
      </c>
      <c r="P119" s="79">
        <f t="shared" ca="1" si="68"/>
        <v>200</v>
      </c>
      <c r="Q119" s="79">
        <f t="shared" ca="1" si="68"/>
        <v>200</v>
      </c>
      <c r="R119" s="79">
        <f t="shared" ca="1" si="68"/>
        <v>200</v>
      </c>
      <c r="S119" s="79">
        <f t="shared" ca="1" si="68"/>
        <v>200</v>
      </c>
      <c r="T119" s="79">
        <f t="shared" ca="1" si="68"/>
        <v>200</v>
      </c>
      <c r="U119" s="79">
        <f t="shared" ca="1" si="68"/>
        <v>200</v>
      </c>
      <c r="V119" s="79">
        <f t="shared" ca="1" si="68"/>
        <v>200</v>
      </c>
      <c r="W119" s="79">
        <f t="shared" ca="1" si="68"/>
        <v>200</v>
      </c>
      <c r="X119" s="79">
        <f t="shared" ca="1" si="68"/>
        <v>200</v>
      </c>
      <c r="Y119" s="79">
        <f t="shared" ca="1" si="68"/>
        <v>200</v>
      </c>
      <c r="AA119" s="57">
        <f t="shared" ref="AA119:AA120" ca="1" si="69">IFERROR((E119/D119)-1,"")</f>
        <v>0</v>
      </c>
      <c r="AB119" s="57">
        <f t="shared" ref="AB119:AB120" ca="1" si="70">IFERROR((J119/D119)^(1/6)-1,"")</f>
        <v>0</v>
      </c>
      <c r="AC119" s="57">
        <f t="shared" ref="AC119:AC120" ca="1" si="71">IFERROR((O119/D119)^(1/11)-1,"")</f>
        <v>0</v>
      </c>
      <c r="AD119" s="57">
        <f t="shared" ref="AD119:AD120" ca="1" si="72">IFERROR((T119/D119)^(1/16)-1,"")</f>
        <v>0</v>
      </c>
      <c r="AE119" s="57">
        <f t="shared" ref="AE119:AE120" ca="1" si="73">IFERROR((Y119/D119)^(1/21)-1,"")</f>
        <v>0</v>
      </c>
    </row>
    <row r="120" spans="2:34" ht="15.75" hidden="1" customHeight="1" outlineLevel="1">
      <c r="B120" s="204" t="s">
        <v>190</v>
      </c>
      <c r="C120" s="204"/>
      <c r="D120" s="205">
        <f t="shared" ref="D120:Y120" ca="1" si="74">D119+D104</f>
        <v>200</v>
      </c>
      <c r="E120" s="205">
        <f t="shared" ca="1" si="74"/>
        <v>200</v>
      </c>
      <c r="F120" s="205">
        <f t="shared" ca="1" si="74"/>
        <v>200</v>
      </c>
      <c r="G120" s="205">
        <f t="shared" ca="1" si="74"/>
        <v>200</v>
      </c>
      <c r="H120" s="205">
        <f t="shared" ca="1" si="74"/>
        <v>200</v>
      </c>
      <c r="I120" s="205">
        <f t="shared" ca="1" si="74"/>
        <v>200</v>
      </c>
      <c r="J120" s="205">
        <f t="shared" ca="1" si="74"/>
        <v>200</v>
      </c>
      <c r="K120" s="205">
        <f t="shared" ca="1" si="74"/>
        <v>200</v>
      </c>
      <c r="L120" s="205">
        <f t="shared" ca="1" si="74"/>
        <v>200</v>
      </c>
      <c r="M120" s="205">
        <f t="shared" ca="1" si="74"/>
        <v>200</v>
      </c>
      <c r="N120" s="205">
        <f t="shared" ca="1" si="74"/>
        <v>200</v>
      </c>
      <c r="O120" s="205">
        <f t="shared" ca="1" si="74"/>
        <v>200</v>
      </c>
      <c r="P120" s="205">
        <f t="shared" ca="1" si="74"/>
        <v>200</v>
      </c>
      <c r="Q120" s="205">
        <f t="shared" ca="1" si="74"/>
        <v>200</v>
      </c>
      <c r="R120" s="205">
        <f t="shared" ca="1" si="74"/>
        <v>200</v>
      </c>
      <c r="S120" s="205">
        <f t="shared" ca="1" si="74"/>
        <v>200</v>
      </c>
      <c r="T120" s="205">
        <f t="shared" ca="1" si="74"/>
        <v>200</v>
      </c>
      <c r="U120" s="205">
        <f t="shared" ca="1" si="74"/>
        <v>200</v>
      </c>
      <c r="V120" s="205">
        <f t="shared" ca="1" si="74"/>
        <v>200</v>
      </c>
      <c r="W120" s="205">
        <f t="shared" ca="1" si="74"/>
        <v>200</v>
      </c>
      <c r="X120" s="205">
        <f t="shared" ca="1" si="74"/>
        <v>200</v>
      </c>
      <c r="Y120" s="205">
        <f t="shared" ca="1" si="74"/>
        <v>200</v>
      </c>
      <c r="Z120" s="66"/>
      <c r="AA120" s="206">
        <f t="shared" ca="1" si="69"/>
        <v>0</v>
      </c>
      <c r="AB120" s="206">
        <f t="shared" ca="1" si="70"/>
        <v>0</v>
      </c>
      <c r="AC120" s="206">
        <f t="shared" ca="1" si="71"/>
        <v>0</v>
      </c>
      <c r="AD120" s="206">
        <f t="shared" ca="1" si="72"/>
        <v>0</v>
      </c>
      <c r="AE120" s="206">
        <f t="shared" ca="1" si="73"/>
        <v>0</v>
      </c>
    </row>
    <row r="121" spans="2:34" ht="15.75" hidden="1" customHeight="1" outlineLevel="1">
      <c r="B121" s="74" t="s">
        <v>191</v>
      </c>
      <c r="C121" s="74"/>
      <c r="D121" s="137" t="str">
        <f t="shared" ref="D121:Y121" ca="1" si="75">IFERROR((D120-D115)/(D117),"NM")</f>
        <v>NM</v>
      </c>
      <c r="E121" s="137" t="str">
        <f t="shared" ca="1" si="75"/>
        <v>NM</v>
      </c>
      <c r="F121" s="137" t="str">
        <f t="shared" ca="1" si="75"/>
        <v>NM</v>
      </c>
      <c r="G121" s="137" t="str">
        <f t="shared" ca="1" si="75"/>
        <v>NM</v>
      </c>
      <c r="H121" s="137" t="str">
        <f t="shared" ca="1" si="75"/>
        <v>NM</v>
      </c>
      <c r="I121" s="137" t="str">
        <f t="shared" ca="1" si="75"/>
        <v>NM</v>
      </c>
      <c r="J121" s="137" t="str">
        <f t="shared" ca="1" si="75"/>
        <v>NM</v>
      </c>
      <c r="K121" s="137" t="str">
        <f t="shared" ca="1" si="75"/>
        <v>NM</v>
      </c>
      <c r="L121" s="137" t="str">
        <f t="shared" ca="1" si="75"/>
        <v>NM</v>
      </c>
      <c r="M121" s="137" t="str">
        <f t="shared" ca="1" si="75"/>
        <v>NM</v>
      </c>
      <c r="N121" s="137" t="str">
        <f t="shared" ca="1" si="75"/>
        <v>NM</v>
      </c>
      <c r="O121" s="137" t="str">
        <f t="shared" ca="1" si="75"/>
        <v>NM</v>
      </c>
      <c r="P121" s="137" t="str">
        <f t="shared" ca="1" si="75"/>
        <v>NM</v>
      </c>
      <c r="Q121" s="137" t="str">
        <f t="shared" ca="1" si="75"/>
        <v>NM</v>
      </c>
      <c r="R121" s="137" t="str">
        <f t="shared" ca="1" si="75"/>
        <v>NM</v>
      </c>
      <c r="S121" s="137" t="str">
        <f t="shared" ca="1" si="75"/>
        <v>NM</v>
      </c>
      <c r="T121" s="137" t="str">
        <f t="shared" ca="1" si="75"/>
        <v>NM</v>
      </c>
      <c r="U121" s="137" t="str">
        <f t="shared" ca="1" si="75"/>
        <v>NM</v>
      </c>
      <c r="V121" s="137" t="str">
        <f t="shared" ca="1" si="75"/>
        <v>NM</v>
      </c>
      <c r="W121" s="137" t="str">
        <f t="shared" ca="1" si="75"/>
        <v>NM</v>
      </c>
      <c r="X121" s="137" t="str">
        <f t="shared" ca="1" si="75"/>
        <v>NM</v>
      </c>
      <c r="Y121" s="137" t="str">
        <f t="shared" ca="1" si="75"/>
        <v>NM</v>
      </c>
    </row>
    <row r="122" spans="2:34" ht="15.75" hidden="1" customHeight="1" outlineLevel="1"/>
    <row r="123" spans="2:34" ht="15.75" hidden="1" customHeight="1" outlineLevel="1">
      <c r="B123" s="8" t="s">
        <v>192</v>
      </c>
      <c r="D123" s="79">
        <f t="shared" ref="D123:Y123" si="76">D102</f>
        <v>100</v>
      </c>
      <c r="E123" s="79">
        <f t="shared" si="76"/>
        <v>105</v>
      </c>
      <c r="F123" s="79">
        <f t="shared" si="76"/>
        <v>110.25</v>
      </c>
      <c r="G123" s="79">
        <f t="shared" si="76"/>
        <v>115.7625</v>
      </c>
      <c r="H123" s="79">
        <f t="shared" si="76"/>
        <v>121.55062500000001</v>
      </c>
      <c r="I123" s="79">
        <f t="shared" si="76"/>
        <v>127.62815625000002</v>
      </c>
      <c r="J123" s="79">
        <f t="shared" si="76"/>
        <v>134.00956406250003</v>
      </c>
      <c r="K123" s="79">
        <f t="shared" si="76"/>
        <v>140.71004226562505</v>
      </c>
      <c r="L123" s="79">
        <f t="shared" si="76"/>
        <v>147.74554437890632</v>
      </c>
      <c r="M123" s="79">
        <f t="shared" si="76"/>
        <v>155.13282159785163</v>
      </c>
      <c r="N123" s="79">
        <f t="shared" si="76"/>
        <v>162.88946267774421</v>
      </c>
      <c r="O123" s="79">
        <f t="shared" si="76"/>
        <v>171.03393581163144</v>
      </c>
      <c r="P123" s="79">
        <f t="shared" si="76"/>
        <v>179.58563260221302</v>
      </c>
      <c r="Q123" s="79">
        <f t="shared" si="76"/>
        <v>188.56491423232367</v>
      </c>
      <c r="R123" s="79">
        <f t="shared" si="76"/>
        <v>197.99315994393987</v>
      </c>
      <c r="S123" s="79">
        <f t="shared" si="76"/>
        <v>207.89281794113688</v>
      </c>
      <c r="T123" s="79">
        <f t="shared" si="76"/>
        <v>218.28745883819374</v>
      </c>
      <c r="U123" s="79">
        <f t="shared" si="76"/>
        <v>229.20183178010345</v>
      </c>
      <c r="V123" s="79">
        <f t="shared" si="76"/>
        <v>240.66192336910862</v>
      </c>
      <c r="W123" s="79">
        <f t="shared" si="76"/>
        <v>252.69501953756406</v>
      </c>
      <c r="X123" s="79">
        <f t="shared" si="76"/>
        <v>265.32977051444226</v>
      </c>
      <c r="Y123" s="79">
        <f t="shared" si="76"/>
        <v>278.5962590401644</v>
      </c>
      <c r="AA123" s="57">
        <f>IFERROR((E123/D123)-1,"")</f>
        <v>5.0000000000000044E-2</v>
      </c>
      <c r="AB123" s="57">
        <f>IFERROR((J123/D123)^(1/6)-1,"")</f>
        <v>5.0000000000000044E-2</v>
      </c>
      <c r="AC123" s="57">
        <f>IFERROR((O123/D123)^(1/11)-1,"")</f>
        <v>5.0000000000000044E-2</v>
      </c>
      <c r="AD123" s="57">
        <f>IFERROR((T123/D123)^(1/16)-1,"")</f>
        <v>5.0000000000000044E-2</v>
      </c>
      <c r="AE123" s="57">
        <f>IFERROR((Y123/D123)^(1/21)-1,"")</f>
        <v>5.0000000000000044E-2</v>
      </c>
    </row>
    <row r="124" spans="2:34" ht="15.75" hidden="1" customHeight="1" outlineLevel="1">
      <c r="B124" s="74" t="s">
        <v>193</v>
      </c>
      <c r="C124" s="74"/>
      <c r="D124" s="125">
        <f t="shared" ref="D124:Y124" si="77">$D$7</f>
        <v>10</v>
      </c>
      <c r="E124" s="125">
        <f t="shared" si="77"/>
        <v>10</v>
      </c>
      <c r="F124" s="125">
        <f t="shared" si="77"/>
        <v>10</v>
      </c>
      <c r="G124" s="125">
        <f t="shared" si="77"/>
        <v>10</v>
      </c>
      <c r="H124" s="125">
        <f t="shared" si="77"/>
        <v>10</v>
      </c>
      <c r="I124" s="125">
        <f t="shared" si="77"/>
        <v>10</v>
      </c>
      <c r="J124" s="125">
        <f t="shared" si="77"/>
        <v>10</v>
      </c>
      <c r="K124" s="125">
        <f t="shared" si="77"/>
        <v>10</v>
      </c>
      <c r="L124" s="125">
        <f t="shared" si="77"/>
        <v>10</v>
      </c>
      <c r="M124" s="125">
        <f t="shared" si="77"/>
        <v>10</v>
      </c>
      <c r="N124" s="125">
        <f t="shared" si="77"/>
        <v>10</v>
      </c>
      <c r="O124" s="125">
        <f t="shared" si="77"/>
        <v>10</v>
      </c>
      <c r="P124" s="125">
        <f t="shared" si="77"/>
        <v>10</v>
      </c>
      <c r="Q124" s="125">
        <f t="shared" si="77"/>
        <v>10</v>
      </c>
      <c r="R124" s="125">
        <f t="shared" si="77"/>
        <v>10</v>
      </c>
      <c r="S124" s="125">
        <f t="shared" si="77"/>
        <v>10</v>
      </c>
      <c r="T124" s="125">
        <f t="shared" si="77"/>
        <v>10</v>
      </c>
      <c r="U124" s="125">
        <f t="shared" si="77"/>
        <v>10</v>
      </c>
      <c r="V124" s="125">
        <f t="shared" si="77"/>
        <v>10</v>
      </c>
      <c r="W124" s="125">
        <f t="shared" si="77"/>
        <v>10</v>
      </c>
      <c r="X124" s="125">
        <f t="shared" si="77"/>
        <v>10</v>
      </c>
      <c r="Y124" s="125">
        <f t="shared" si="77"/>
        <v>10</v>
      </c>
    </row>
    <row r="125" spans="2:34" ht="15.75" hidden="1" customHeight="1" outlineLevel="1">
      <c r="B125" s="204" t="s">
        <v>194</v>
      </c>
      <c r="C125" s="204"/>
      <c r="D125" s="205">
        <f t="shared" ref="D125:Y125" si="78">D123*D124</f>
        <v>1000</v>
      </c>
      <c r="E125" s="205">
        <f t="shared" si="78"/>
        <v>1050</v>
      </c>
      <c r="F125" s="205">
        <f t="shared" si="78"/>
        <v>1102.5</v>
      </c>
      <c r="G125" s="205">
        <f t="shared" si="78"/>
        <v>1157.625</v>
      </c>
      <c r="H125" s="205">
        <f t="shared" si="78"/>
        <v>1215.5062500000001</v>
      </c>
      <c r="I125" s="205">
        <f t="shared" si="78"/>
        <v>1276.2815625000003</v>
      </c>
      <c r="J125" s="205">
        <f t="shared" si="78"/>
        <v>1340.0956406250002</v>
      </c>
      <c r="K125" s="205">
        <f t="shared" si="78"/>
        <v>1407.1004226562504</v>
      </c>
      <c r="L125" s="205">
        <f t="shared" si="78"/>
        <v>1477.4554437890631</v>
      </c>
      <c r="M125" s="205">
        <f t="shared" si="78"/>
        <v>1551.3282159785163</v>
      </c>
      <c r="N125" s="205">
        <f t="shared" si="78"/>
        <v>1628.894626777442</v>
      </c>
      <c r="O125" s="205">
        <f t="shared" si="78"/>
        <v>1710.3393581163143</v>
      </c>
      <c r="P125" s="205">
        <f t="shared" si="78"/>
        <v>1795.8563260221304</v>
      </c>
      <c r="Q125" s="205">
        <f t="shared" si="78"/>
        <v>1885.6491423232367</v>
      </c>
      <c r="R125" s="205">
        <f t="shared" si="78"/>
        <v>1979.9315994393987</v>
      </c>
      <c r="S125" s="205">
        <f t="shared" si="78"/>
        <v>2078.928179411369</v>
      </c>
      <c r="T125" s="205">
        <f t="shared" si="78"/>
        <v>2182.8745883819374</v>
      </c>
      <c r="U125" s="205">
        <f t="shared" si="78"/>
        <v>2292.0183178010343</v>
      </c>
      <c r="V125" s="205">
        <f t="shared" si="78"/>
        <v>2406.6192336910863</v>
      </c>
      <c r="W125" s="205">
        <f t="shared" si="78"/>
        <v>2526.9501953756408</v>
      </c>
      <c r="X125" s="205">
        <f t="shared" si="78"/>
        <v>2653.2977051444227</v>
      </c>
      <c r="Y125" s="205">
        <f t="shared" si="78"/>
        <v>2785.9625904016439</v>
      </c>
      <c r="Z125" s="66"/>
      <c r="AA125" s="206">
        <f t="shared" ref="AA125:AA130" si="79">IFERROR((E125/D125)-1,"")</f>
        <v>5.0000000000000044E-2</v>
      </c>
      <c r="AB125" s="206">
        <f t="shared" ref="AB125:AB130" si="80">IFERROR((J125/D125)^(1/6)-1,"")</f>
        <v>5.0000000000000044E-2</v>
      </c>
      <c r="AC125" s="206">
        <f t="shared" ref="AC125:AC130" si="81">IFERROR((O125/D125)^(1/11)-1,"")</f>
        <v>5.0000000000000044E-2</v>
      </c>
      <c r="AD125" s="206">
        <f t="shared" ref="AD125:AD130" si="82">IFERROR((T125/D125)^(1/16)-1,"")</f>
        <v>5.0000000000000044E-2</v>
      </c>
      <c r="AE125" s="206">
        <f t="shared" ref="AE125:AE130" si="83">IFERROR((Y125/D125)^(1/21)-1,"")</f>
        <v>5.0000000000000044E-2</v>
      </c>
    </row>
    <row r="126" spans="2:34" ht="15.75" hidden="1" customHeight="1" outlineLevel="1">
      <c r="B126" s="98" t="s">
        <v>195</v>
      </c>
      <c r="C126" s="98"/>
      <c r="D126" s="79" t="str">
        <f t="shared" ref="D126:Y126" ca="1" si="84">D115</f>
        <v>#REF!</v>
      </c>
      <c r="E126" s="79" t="str">
        <f t="shared" ca="1" si="84"/>
        <v>#REF!</v>
      </c>
      <c r="F126" s="79" t="str">
        <f t="shared" ca="1" si="84"/>
        <v>#REF!</v>
      </c>
      <c r="G126" s="79" t="str">
        <f t="shared" ca="1" si="84"/>
        <v>#REF!</v>
      </c>
      <c r="H126" s="79" t="str">
        <f t="shared" ca="1" si="84"/>
        <v>#REF!</v>
      </c>
      <c r="I126" s="79" t="str">
        <f t="shared" ca="1" si="84"/>
        <v>#REF!</v>
      </c>
      <c r="J126" s="79" t="str">
        <f t="shared" ca="1" si="84"/>
        <v>#REF!</v>
      </c>
      <c r="K126" s="79" t="str">
        <f t="shared" ca="1" si="84"/>
        <v>#REF!</v>
      </c>
      <c r="L126" s="79" t="str">
        <f t="shared" ca="1" si="84"/>
        <v>#REF!</v>
      </c>
      <c r="M126" s="79" t="str">
        <f t="shared" ca="1" si="84"/>
        <v>#REF!</v>
      </c>
      <c r="N126" s="79" t="str">
        <f t="shared" ca="1" si="84"/>
        <v>#REF!</v>
      </c>
      <c r="O126" s="79" t="str">
        <f t="shared" ca="1" si="84"/>
        <v>#REF!</v>
      </c>
      <c r="P126" s="79" t="str">
        <f t="shared" ca="1" si="84"/>
        <v>#REF!</v>
      </c>
      <c r="Q126" s="79" t="str">
        <f t="shared" ca="1" si="84"/>
        <v>#REF!</v>
      </c>
      <c r="R126" s="79" t="str">
        <f t="shared" ca="1" si="84"/>
        <v>#REF!</v>
      </c>
      <c r="S126" s="79" t="str">
        <f t="shared" ca="1" si="84"/>
        <v>#REF!</v>
      </c>
      <c r="T126" s="79" t="str">
        <f t="shared" ca="1" si="84"/>
        <v>#REF!</v>
      </c>
      <c r="U126" s="79" t="str">
        <f t="shared" ca="1" si="84"/>
        <v>#REF!</v>
      </c>
      <c r="V126" s="79" t="str">
        <f t="shared" ca="1" si="84"/>
        <v>#REF!</v>
      </c>
      <c r="W126" s="79" t="str">
        <f t="shared" ca="1" si="84"/>
        <v>#REF!</v>
      </c>
      <c r="X126" s="79" t="str">
        <f t="shared" ca="1" si="84"/>
        <v>#REF!</v>
      </c>
      <c r="Y126" s="79" t="str">
        <f t="shared" ca="1" si="84"/>
        <v>#REF!</v>
      </c>
      <c r="AA126" s="57" t="str">
        <f t="shared" ca="1" si="79"/>
        <v/>
      </c>
      <c r="AB126" s="57" t="str">
        <f t="shared" ca="1" si="80"/>
        <v/>
      </c>
      <c r="AC126" s="57" t="str">
        <f t="shared" ca="1" si="81"/>
        <v/>
      </c>
      <c r="AD126" s="57" t="str">
        <f t="shared" ca="1" si="82"/>
        <v/>
      </c>
      <c r="AE126" s="57" t="str">
        <f t="shared" ca="1" si="83"/>
        <v/>
      </c>
    </row>
    <row r="127" spans="2:34" ht="15.75" hidden="1" customHeight="1" outlineLevel="1">
      <c r="B127" s="98" t="s">
        <v>196</v>
      </c>
      <c r="C127" s="98"/>
      <c r="D127" s="79">
        <f t="shared" ref="D127:Y127" ca="1" si="85">-D120</f>
        <v>-200</v>
      </c>
      <c r="E127" s="79">
        <f t="shared" ca="1" si="85"/>
        <v>-200</v>
      </c>
      <c r="F127" s="79">
        <f t="shared" ca="1" si="85"/>
        <v>-200</v>
      </c>
      <c r="G127" s="79">
        <f t="shared" ca="1" si="85"/>
        <v>-200</v>
      </c>
      <c r="H127" s="79">
        <f t="shared" ca="1" si="85"/>
        <v>-200</v>
      </c>
      <c r="I127" s="79">
        <f t="shared" ca="1" si="85"/>
        <v>-200</v>
      </c>
      <c r="J127" s="79">
        <f t="shared" ca="1" si="85"/>
        <v>-200</v>
      </c>
      <c r="K127" s="79">
        <f t="shared" ca="1" si="85"/>
        <v>-200</v>
      </c>
      <c r="L127" s="79">
        <f t="shared" ca="1" si="85"/>
        <v>-200</v>
      </c>
      <c r="M127" s="79">
        <f t="shared" ca="1" si="85"/>
        <v>-200</v>
      </c>
      <c r="N127" s="79">
        <f t="shared" ca="1" si="85"/>
        <v>-200</v>
      </c>
      <c r="O127" s="79">
        <f t="shared" ca="1" si="85"/>
        <v>-200</v>
      </c>
      <c r="P127" s="79">
        <f t="shared" ca="1" si="85"/>
        <v>-200</v>
      </c>
      <c r="Q127" s="79">
        <f t="shared" ca="1" si="85"/>
        <v>-200</v>
      </c>
      <c r="R127" s="79">
        <f t="shared" ca="1" si="85"/>
        <v>-200</v>
      </c>
      <c r="S127" s="79">
        <f t="shared" ca="1" si="85"/>
        <v>-200</v>
      </c>
      <c r="T127" s="79">
        <f t="shared" ca="1" si="85"/>
        <v>-200</v>
      </c>
      <c r="U127" s="79">
        <f t="shared" ca="1" si="85"/>
        <v>-200</v>
      </c>
      <c r="V127" s="79">
        <f t="shared" ca="1" si="85"/>
        <v>-200</v>
      </c>
      <c r="W127" s="79">
        <f t="shared" ca="1" si="85"/>
        <v>-200</v>
      </c>
      <c r="X127" s="79">
        <f t="shared" ca="1" si="85"/>
        <v>-200</v>
      </c>
      <c r="Y127" s="79">
        <f t="shared" ca="1" si="85"/>
        <v>-200</v>
      </c>
      <c r="AA127" s="57">
        <f t="shared" ca="1" si="79"/>
        <v>0</v>
      </c>
      <c r="AB127" s="57">
        <f t="shared" ca="1" si="80"/>
        <v>0</v>
      </c>
      <c r="AC127" s="57">
        <f t="shared" ca="1" si="81"/>
        <v>0</v>
      </c>
      <c r="AD127" s="57">
        <f t="shared" ca="1" si="82"/>
        <v>0</v>
      </c>
      <c r="AE127" s="57">
        <f t="shared" ca="1" si="83"/>
        <v>0</v>
      </c>
    </row>
    <row r="128" spans="2:34" ht="15.75" hidden="1" customHeight="1" outlineLevel="1">
      <c r="B128" s="98" t="s">
        <v>197</v>
      </c>
      <c r="C128" s="98"/>
      <c r="D128" s="79" t="str">
        <f t="shared" ref="D128:Y128" ca="1" si="86">D117</f>
        <v>#REF!</v>
      </c>
      <c r="E128" s="79" t="str">
        <f t="shared" ca="1" si="86"/>
        <v>#REF!</v>
      </c>
      <c r="F128" s="79" t="str">
        <f t="shared" ca="1" si="86"/>
        <v>#REF!</v>
      </c>
      <c r="G128" s="79" t="str">
        <f t="shared" ca="1" si="86"/>
        <v>#REF!</v>
      </c>
      <c r="H128" s="79" t="str">
        <f t="shared" ca="1" si="86"/>
        <v>#REF!</v>
      </c>
      <c r="I128" s="79" t="str">
        <f t="shared" ca="1" si="86"/>
        <v>#REF!</v>
      </c>
      <c r="J128" s="79" t="str">
        <f t="shared" ca="1" si="86"/>
        <v>#REF!</v>
      </c>
      <c r="K128" s="79" t="str">
        <f t="shared" ca="1" si="86"/>
        <v>#REF!</v>
      </c>
      <c r="L128" s="79" t="str">
        <f t="shared" ca="1" si="86"/>
        <v>#REF!</v>
      </c>
      <c r="M128" s="79" t="str">
        <f t="shared" ca="1" si="86"/>
        <v>#REF!</v>
      </c>
      <c r="N128" s="79" t="str">
        <f t="shared" ca="1" si="86"/>
        <v>#REF!</v>
      </c>
      <c r="O128" s="79" t="str">
        <f t="shared" ca="1" si="86"/>
        <v>#REF!</v>
      </c>
      <c r="P128" s="79" t="str">
        <f t="shared" ca="1" si="86"/>
        <v>#REF!</v>
      </c>
      <c r="Q128" s="79" t="str">
        <f t="shared" ca="1" si="86"/>
        <v>#REF!</v>
      </c>
      <c r="R128" s="79" t="str">
        <f t="shared" ca="1" si="86"/>
        <v>#REF!</v>
      </c>
      <c r="S128" s="79" t="str">
        <f t="shared" ca="1" si="86"/>
        <v>#REF!</v>
      </c>
      <c r="T128" s="79" t="str">
        <f t="shared" ca="1" si="86"/>
        <v>#REF!</v>
      </c>
      <c r="U128" s="79" t="str">
        <f t="shared" ca="1" si="86"/>
        <v>#REF!</v>
      </c>
      <c r="V128" s="79" t="str">
        <f t="shared" ca="1" si="86"/>
        <v>#REF!</v>
      </c>
      <c r="W128" s="79" t="str">
        <f t="shared" ca="1" si="86"/>
        <v>#REF!</v>
      </c>
      <c r="X128" s="79" t="str">
        <f t="shared" ca="1" si="86"/>
        <v>#REF!</v>
      </c>
      <c r="Y128" s="79" t="str">
        <f t="shared" ca="1" si="86"/>
        <v>#REF!</v>
      </c>
      <c r="AA128" s="57" t="str">
        <f t="shared" ca="1" si="79"/>
        <v/>
      </c>
      <c r="AB128" s="57" t="str">
        <f t="shared" ca="1" si="80"/>
        <v/>
      </c>
      <c r="AC128" s="57" t="str">
        <f t="shared" ca="1" si="81"/>
        <v/>
      </c>
      <c r="AD128" s="57" t="str">
        <f t="shared" ca="1" si="82"/>
        <v/>
      </c>
      <c r="AE128" s="57" t="str">
        <f t="shared" ca="1" si="83"/>
        <v/>
      </c>
    </row>
    <row r="129" spans="2:31" ht="15.75" hidden="1" customHeight="1" outlineLevel="1">
      <c r="B129" s="98" t="s">
        <v>170</v>
      </c>
      <c r="C129" s="98"/>
      <c r="D129" s="79" t="str">
        <f t="shared" ref="D129:Y129" ca="1" si="87">MAX(SUM(D126:D128)*$V$14,0)</f>
        <v>#REF!</v>
      </c>
      <c r="E129" s="79" t="str">
        <f t="shared" ca="1" si="87"/>
        <v>#REF!</v>
      </c>
      <c r="F129" s="79" t="str">
        <f t="shared" ca="1" si="87"/>
        <v>#REF!</v>
      </c>
      <c r="G129" s="79" t="str">
        <f t="shared" ca="1" si="87"/>
        <v>#REF!</v>
      </c>
      <c r="H129" s="79" t="str">
        <f t="shared" ca="1" si="87"/>
        <v>#REF!</v>
      </c>
      <c r="I129" s="79" t="str">
        <f t="shared" ca="1" si="87"/>
        <v>#REF!</v>
      </c>
      <c r="J129" s="79" t="str">
        <f t="shared" ca="1" si="87"/>
        <v>#REF!</v>
      </c>
      <c r="K129" s="79" t="str">
        <f t="shared" ca="1" si="87"/>
        <v>#REF!</v>
      </c>
      <c r="L129" s="79" t="str">
        <f t="shared" ca="1" si="87"/>
        <v>#REF!</v>
      </c>
      <c r="M129" s="79" t="str">
        <f t="shared" ca="1" si="87"/>
        <v>#REF!</v>
      </c>
      <c r="N129" s="79" t="str">
        <f t="shared" ca="1" si="87"/>
        <v>#REF!</v>
      </c>
      <c r="O129" s="79" t="str">
        <f t="shared" ca="1" si="87"/>
        <v>#REF!</v>
      </c>
      <c r="P129" s="79" t="str">
        <f t="shared" ca="1" si="87"/>
        <v>#REF!</v>
      </c>
      <c r="Q129" s="79" t="str">
        <f t="shared" ca="1" si="87"/>
        <v>#REF!</v>
      </c>
      <c r="R129" s="79" t="str">
        <f t="shared" ca="1" si="87"/>
        <v>#REF!</v>
      </c>
      <c r="S129" s="79" t="str">
        <f t="shared" ca="1" si="87"/>
        <v>#REF!</v>
      </c>
      <c r="T129" s="79" t="str">
        <f t="shared" ca="1" si="87"/>
        <v>#REF!</v>
      </c>
      <c r="U129" s="79" t="str">
        <f t="shared" ca="1" si="87"/>
        <v>#REF!</v>
      </c>
      <c r="V129" s="79" t="str">
        <f t="shared" ca="1" si="87"/>
        <v>#REF!</v>
      </c>
      <c r="W129" s="79" t="str">
        <f t="shared" ca="1" si="87"/>
        <v>#REF!</v>
      </c>
      <c r="X129" s="79" t="str">
        <f t="shared" ca="1" si="87"/>
        <v>#REF!</v>
      </c>
      <c r="Y129" s="79" t="str">
        <f t="shared" ca="1" si="87"/>
        <v>#REF!</v>
      </c>
      <c r="AA129" s="57" t="str">
        <f t="shared" ca="1" si="79"/>
        <v/>
      </c>
      <c r="AB129" s="57" t="str">
        <f t="shared" ca="1" si="80"/>
        <v/>
      </c>
      <c r="AC129" s="57" t="str">
        <f t="shared" ca="1" si="81"/>
        <v/>
      </c>
      <c r="AD129" s="57" t="str">
        <f t="shared" ca="1" si="82"/>
        <v/>
      </c>
      <c r="AE129" s="57" t="str">
        <f t="shared" ca="1" si="83"/>
        <v/>
      </c>
    </row>
    <row r="130" spans="2:31" ht="15.75" hidden="1" customHeight="1" outlineLevel="1">
      <c r="B130" s="204" t="s">
        <v>171</v>
      </c>
      <c r="C130" s="204"/>
      <c r="D130" s="205" t="str">
        <f t="shared" ref="D130:Y130" ca="1" si="88">SUM(D125:D129)</f>
        <v>#REF!</v>
      </c>
      <c r="E130" s="205" t="str">
        <f t="shared" ca="1" si="88"/>
        <v>#REF!</v>
      </c>
      <c r="F130" s="205" t="str">
        <f t="shared" ca="1" si="88"/>
        <v>#REF!</v>
      </c>
      <c r="G130" s="205" t="str">
        <f t="shared" ca="1" si="88"/>
        <v>#REF!</v>
      </c>
      <c r="H130" s="205" t="str">
        <f t="shared" ca="1" si="88"/>
        <v>#REF!</v>
      </c>
      <c r="I130" s="205" t="str">
        <f t="shared" ca="1" si="88"/>
        <v>#REF!</v>
      </c>
      <c r="J130" s="205" t="str">
        <f t="shared" ca="1" si="88"/>
        <v>#REF!</v>
      </c>
      <c r="K130" s="205" t="str">
        <f t="shared" ca="1" si="88"/>
        <v>#REF!</v>
      </c>
      <c r="L130" s="205" t="str">
        <f t="shared" ca="1" si="88"/>
        <v>#REF!</v>
      </c>
      <c r="M130" s="205" t="str">
        <f t="shared" ca="1" si="88"/>
        <v>#REF!</v>
      </c>
      <c r="N130" s="205" t="str">
        <f t="shared" ca="1" si="88"/>
        <v>#REF!</v>
      </c>
      <c r="O130" s="205" t="str">
        <f t="shared" ca="1" si="88"/>
        <v>#REF!</v>
      </c>
      <c r="P130" s="205" t="str">
        <f t="shared" ca="1" si="88"/>
        <v>#REF!</v>
      </c>
      <c r="Q130" s="205" t="str">
        <f t="shared" ca="1" si="88"/>
        <v>#REF!</v>
      </c>
      <c r="R130" s="205" t="str">
        <f t="shared" ca="1" si="88"/>
        <v>#REF!</v>
      </c>
      <c r="S130" s="205" t="str">
        <f t="shared" ca="1" si="88"/>
        <v>#REF!</v>
      </c>
      <c r="T130" s="205" t="str">
        <f t="shared" ca="1" si="88"/>
        <v>#REF!</v>
      </c>
      <c r="U130" s="205" t="str">
        <f t="shared" ca="1" si="88"/>
        <v>#REF!</v>
      </c>
      <c r="V130" s="205" t="str">
        <f t="shared" ca="1" si="88"/>
        <v>#REF!</v>
      </c>
      <c r="W130" s="205" t="str">
        <f t="shared" ca="1" si="88"/>
        <v>#REF!</v>
      </c>
      <c r="X130" s="205" t="str">
        <f t="shared" ca="1" si="88"/>
        <v>#REF!</v>
      </c>
      <c r="Y130" s="205" t="str">
        <f t="shared" ca="1" si="88"/>
        <v>#REF!</v>
      </c>
      <c r="Z130" s="66"/>
      <c r="AA130" s="206" t="str">
        <f t="shared" ca="1" si="79"/>
        <v/>
      </c>
      <c r="AB130" s="206" t="str">
        <f t="shared" ca="1" si="80"/>
        <v/>
      </c>
      <c r="AC130" s="206" t="str">
        <f t="shared" ca="1" si="81"/>
        <v/>
      </c>
      <c r="AD130" s="206" t="str">
        <f t="shared" ca="1" si="82"/>
        <v/>
      </c>
      <c r="AE130" s="206" t="str">
        <f t="shared" ca="1" si="83"/>
        <v/>
      </c>
    </row>
    <row r="131" spans="2:31" ht="15.75" hidden="1" customHeight="1" outlineLevel="1"/>
    <row r="132" spans="2:31" ht="15.75" hidden="1" customHeight="1" outlineLevel="1">
      <c r="B132" s="98" t="s">
        <v>198</v>
      </c>
      <c r="C132" s="98"/>
      <c r="D132" s="129">
        <f>D9</f>
        <v>8500000</v>
      </c>
      <c r="E132" s="129">
        <f t="shared" ref="E132:Y132" si="89">D133</f>
        <v>8500000</v>
      </c>
      <c r="F132" s="129">
        <f t="shared" si="89"/>
        <v>8500000</v>
      </c>
      <c r="G132" s="129">
        <f t="shared" si="89"/>
        <v>8500000</v>
      </c>
      <c r="H132" s="129">
        <f t="shared" si="89"/>
        <v>8500000</v>
      </c>
      <c r="I132" s="129">
        <f t="shared" si="89"/>
        <v>8500000</v>
      </c>
      <c r="J132" s="129">
        <f t="shared" si="89"/>
        <v>8500000</v>
      </c>
      <c r="K132" s="129">
        <f t="shared" si="89"/>
        <v>8500000</v>
      </c>
      <c r="L132" s="129">
        <f t="shared" si="89"/>
        <v>8500000</v>
      </c>
      <c r="M132" s="129">
        <f t="shared" si="89"/>
        <v>8500000</v>
      </c>
      <c r="N132" s="129">
        <f t="shared" si="89"/>
        <v>8500000</v>
      </c>
      <c r="O132" s="129">
        <f t="shared" si="89"/>
        <v>8500000</v>
      </c>
      <c r="P132" s="129">
        <f t="shared" si="89"/>
        <v>8500000</v>
      </c>
      <c r="Q132" s="129">
        <f t="shared" si="89"/>
        <v>8500000</v>
      </c>
      <c r="R132" s="129">
        <f t="shared" si="89"/>
        <v>8500000</v>
      </c>
      <c r="S132" s="129">
        <f t="shared" si="89"/>
        <v>8500000</v>
      </c>
      <c r="T132" s="129">
        <f t="shared" si="89"/>
        <v>8500000</v>
      </c>
      <c r="U132" s="129">
        <f t="shared" si="89"/>
        <v>8500000</v>
      </c>
      <c r="V132" s="129">
        <f t="shared" si="89"/>
        <v>8500000</v>
      </c>
      <c r="W132" s="129">
        <f t="shared" si="89"/>
        <v>8500000</v>
      </c>
      <c r="X132" s="129">
        <f t="shared" si="89"/>
        <v>8500000</v>
      </c>
      <c r="Y132" s="129">
        <f t="shared" si="89"/>
        <v>8500000</v>
      </c>
      <c r="AA132" s="57">
        <f t="shared" ref="AA132:AA134" si="90">IFERROR((E132/D132)-1,"")</f>
        <v>0</v>
      </c>
      <c r="AB132" s="57">
        <f t="shared" ref="AB132:AB134" si="91">IFERROR((J132/D132)^(1/6)-1,"")</f>
        <v>0</v>
      </c>
      <c r="AC132" s="57">
        <f t="shared" ref="AC132:AC134" si="92">IFERROR((O132/D132)^(1/11)-1,"")</f>
        <v>0</v>
      </c>
      <c r="AD132" s="57">
        <f t="shared" ref="AD132:AD134" si="93">IFERROR((T132/D132)^(1/16)-1,"")</f>
        <v>0</v>
      </c>
      <c r="AE132" s="57">
        <f t="shared" ref="AE132:AE134" si="94">IFERROR((Y132/D132)^(1/21)-1,"")</f>
        <v>0</v>
      </c>
    </row>
    <row r="133" spans="2:31" ht="15.75" hidden="1" customHeight="1" outlineLevel="1">
      <c r="B133" s="98" t="s">
        <v>199</v>
      </c>
      <c r="C133" s="98"/>
      <c r="D133" s="129">
        <f t="shared" ref="D133:Y133" si="95">D132+D108</f>
        <v>8500000</v>
      </c>
      <c r="E133" s="129">
        <f t="shared" si="95"/>
        <v>8500000</v>
      </c>
      <c r="F133" s="129">
        <f t="shared" si="95"/>
        <v>8500000</v>
      </c>
      <c r="G133" s="129">
        <f t="shared" si="95"/>
        <v>8500000</v>
      </c>
      <c r="H133" s="129">
        <f t="shared" si="95"/>
        <v>8500000</v>
      </c>
      <c r="I133" s="129">
        <f t="shared" si="95"/>
        <v>8500000</v>
      </c>
      <c r="J133" s="129">
        <f t="shared" si="95"/>
        <v>8500000</v>
      </c>
      <c r="K133" s="129">
        <f t="shared" si="95"/>
        <v>8500000</v>
      </c>
      <c r="L133" s="129">
        <f t="shared" si="95"/>
        <v>8500000</v>
      </c>
      <c r="M133" s="129">
        <f t="shared" si="95"/>
        <v>8500000</v>
      </c>
      <c r="N133" s="129">
        <f t="shared" si="95"/>
        <v>8500000</v>
      </c>
      <c r="O133" s="129">
        <f t="shared" si="95"/>
        <v>8500000</v>
      </c>
      <c r="P133" s="129">
        <f t="shared" si="95"/>
        <v>8500000</v>
      </c>
      <c r="Q133" s="129">
        <f t="shared" si="95"/>
        <v>8500000</v>
      </c>
      <c r="R133" s="129">
        <f t="shared" si="95"/>
        <v>8500000</v>
      </c>
      <c r="S133" s="129">
        <f t="shared" si="95"/>
        <v>8500000</v>
      </c>
      <c r="T133" s="129">
        <f t="shared" si="95"/>
        <v>8500000</v>
      </c>
      <c r="U133" s="129">
        <f t="shared" si="95"/>
        <v>8500000</v>
      </c>
      <c r="V133" s="129">
        <f t="shared" si="95"/>
        <v>8500000</v>
      </c>
      <c r="W133" s="129">
        <f t="shared" si="95"/>
        <v>8500000</v>
      </c>
      <c r="X133" s="129">
        <f t="shared" si="95"/>
        <v>8500000</v>
      </c>
      <c r="Y133" s="129">
        <f t="shared" si="95"/>
        <v>8500000</v>
      </c>
      <c r="AA133" s="57">
        <f t="shared" si="90"/>
        <v>0</v>
      </c>
      <c r="AB133" s="57">
        <f t="shared" si="91"/>
        <v>0</v>
      </c>
      <c r="AC133" s="57">
        <f t="shared" si="92"/>
        <v>0</v>
      </c>
      <c r="AD133" s="57">
        <f t="shared" si="93"/>
        <v>0</v>
      </c>
      <c r="AE133" s="57">
        <f t="shared" si="94"/>
        <v>0</v>
      </c>
    </row>
    <row r="134" spans="2:31" ht="15.75" hidden="1" customHeight="1" outlineLevel="1">
      <c r="B134" s="204" t="s">
        <v>200</v>
      </c>
      <c r="C134" s="204"/>
      <c r="D134" s="205" t="str">
        <f t="shared" ref="D134:Y134" ca="1" si="96">D130*10^6/D133</f>
        <v>#REF!</v>
      </c>
      <c r="E134" s="205" t="str">
        <f t="shared" ca="1" si="96"/>
        <v>#REF!</v>
      </c>
      <c r="F134" s="205" t="str">
        <f t="shared" ca="1" si="96"/>
        <v>#REF!</v>
      </c>
      <c r="G134" s="205" t="str">
        <f t="shared" ca="1" si="96"/>
        <v>#REF!</v>
      </c>
      <c r="H134" s="205" t="str">
        <f t="shared" ca="1" si="96"/>
        <v>#REF!</v>
      </c>
      <c r="I134" s="205" t="str">
        <f t="shared" ca="1" si="96"/>
        <v>#REF!</v>
      </c>
      <c r="J134" s="205" t="str">
        <f t="shared" ca="1" si="96"/>
        <v>#REF!</v>
      </c>
      <c r="K134" s="205" t="str">
        <f t="shared" ca="1" si="96"/>
        <v>#REF!</v>
      </c>
      <c r="L134" s="205" t="str">
        <f t="shared" ca="1" si="96"/>
        <v>#REF!</v>
      </c>
      <c r="M134" s="205" t="str">
        <f t="shared" ca="1" si="96"/>
        <v>#REF!</v>
      </c>
      <c r="N134" s="205" t="str">
        <f t="shared" ca="1" si="96"/>
        <v>#REF!</v>
      </c>
      <c r="O134" s="205" t="str">
        <f t="shared" ca="1" si="96"/>
        <v>#REF!</v>
      </c>
      <c r="P134" s="205" t="str">
        <f t="shared" ca="1" si="96"/>
        <v>#REF!</v>
      </c>
      <c r="Q134" s="205" t="str">
        <f t="shared" ca="1" si="96"/>
        <v>#REF!</v>
      </c>
      <c r="R134" s="205" t="str">
        <f t="shared" ca="1" si="96"/>
        <v>#REF!</v>
      </c>
      <c r="S134" s="205" t="str">
        <f t="shared" ca="1" si="96"/>
        <v>#REF!</v>
      </c>
      <c r="T134" s="205" t="str">
        <f t="shared" ca="1" si="96"/>
        <v>#REF!</v>
      </c>
      <c r="U134" s="205" t="str">
        <f t="shared" ca="1" si="96"/>
        <v>#REF!</v>
      </c>
      <c r="V134" s="205" t="str">
        <f t="shared" ca="1" si="96"/>
        <v>#REF!</v>
      </c>
      <c r="W134" s="205" t="str">
        <f t="shared" ca="1" si="96"/>
        <v>#REF!</v>
      </c>
      <c r="X134" s="205" t="str">
        <f t="shared" ca="1" si="96"/>
        <v>#REF!</v>
      </c>
      <c r="Y134" s="205" t="str">
        <f t="shared" ca="1" si="96"/>
        <v>#REF!</v>
      </c>
      <c r="Z134" s="66"/>
      <c r="AA134" s="206" t="str">
        <f t="shared" ca="1" si="90"/>
        <v/>
      </c>
      <c r="AB134" s="206" t="str">
        <f t="shared" ca="1" si="91"/>
        <v/>
      </c>
      <c r="AC134" s="206" t="str">
        <f t="shared" ca="1" si="92"/>
        <v/>
      </c>
      <c r="AD134" s="206" t="str">
        <f t="shared" ca="1" si="93"/>
        <v/>
      </c>
      <c r="AE134" s="206" t="str">
        <f t="shared" ca="1" si="94"/>
        <v/>
      </c>
    </row>
    <row r="135" spans="2:31" ht="15.75" hidden="1" customHeight="1" outlineLevel="1">
      <c r="B135" s="74" t="s">
        <v>201</v>
      </c>
      <c r="C135" s="74"/>
      <c r="E135" s="57" t="str">
        <f t="shared" ref="E135:Y135" ca="1" si="97">E134/D134-1</f>
        <v>#REF!</v>
      </c>
      <c r="F135" s="57" t="str">
        <f t="shared" ca="1" si="97"/>
        <v>#REF!</v>
      </c>
      <c r="G135" s="57" t="str">
        <f t="shared" ca="1" si="97"/>
        <v>#REF!</v>
      </c>
      <c r="H135" s="57" t="str">
        <f t="shared" ca="1" si="97"/>
        <v>#REF!</v>
      </c>
      <c r="I135" s="57" t="str">
        <f t="shared" ca="1" si="97"/>
        <v>#REF!</v>
      </c>
      <c r="J135" s="57" t="str">
        <f t="shared" ca="1" si="97"/>
        <v>#REF!</v>
      </c>
      <c r="K135" s="57" t="str">
        <f t="shared" ca="1" si="97"/>
        <v>#REF!</v>
      </c>
      <c r="L135" s="57" t="str">
        <f t="shared" ca="1" si="97"/>
        <v>#REF!</v>
      </c>
      <c r="M135" s="57" t="str">
        <f t="shared" ca="1" si="97"/>
        <v>#REF!</v>
      </c>
      <c r="N135" s="57" t="str">
        <f t="shared" ca="1" si="97"/>
        <v>#REF!</v>
      </c>
      <c r="O135" s="57" t="str">
        <f t="shared" ca="1" si="97"/>
        <v>#REF!</v>
      </c>
      <c r="P135" s="57" t="str">
        <f t="shared" ca="1" si="97"/>
        <v>#REF!</v>
      </c>
      <c r="Q135" s="57" t="str">
        <f t="shared" ca="1" si="97"/>
        <v>#REF!</v>
      </c>
      <c r="R135" s="57" t="str">
        <f t="shared" ca="1" si="97"/>
        <v>#REF!</v>
      </c>
      <c r="S135" s="57" t="str">
        <f t="shared" ca="1" si="97"/>
        <v>#REF!</v>
      </c>
      <c r="T135" s="57" t="str">
        <f t="shared" ca="1" si="97"/>
        <v>#REF!</v>
      </c>
      <c r="U135" s="57" t="str">
        <f t="shared" ca="1" si="97"/>
        <v>#REF!</v>
      </c>
      <c r="V135" s="57" t="str">
        <f t="shared" ca="1" si="97"/>
        <v>#REF!</v>
      </c>
      <c r="W135" s="57" t="str">
        <f t="shared" ca="1" si="97"/>
        <v>#REF!</v>
      </c>
      <c r="X135" s="57" t="str">
        <f t="shared" ca="1" si="97"/>
        <v>#REF!</v>
      </c>
      <c r="Y135" s="57" t="str">
        <f t="shared" ca="1" si="97"/>
        <v>#REF!</v>
      </c>
    </row>
    <row r="136" spans="2:31" ht="15.75" hidden="1" customHeight="1" outlineLevel="1">
      <c r="B136" s="74"/>
      <c r="C136" s="74"/>
      <c r="E136" s="57"/>
      <c r="F136" s="57"/>
      <c r="G136" s="57"/>
      <c r="H136" s="57"/>
      <c r="I136" s="57"/>
      <c r="J136" s="57"/>
      <c r="K136" s="57"/>
      <c r="L136" s="57"/>
      <c r="M136" s="57"/>
      <c r="N136" s="57"/>
      <c r="O136" s="57"/>
      <c r="P136" s="57"/>
      <c r="Q136" s="57"/>
      <c r="R136" s="57"/>
      <c r="S136" s="57"/>
      <c r="T136" s="57"/>
      <c r="U136" s="57"/>
      <c r="V136" s="57"/>
      <c r="W136" s="57"/>
      <c r="X136" s="57"/>
      <c r="Y136" s="57"/>
    </row>
    <row r="137" spans="2:31" ht="15.75" hidden="1" customHeight="1" outlineLevel="1">
      <c r="B137" s="8" t="s">
        <v>202</v>
      </c>
      <c r="D137" s="79" t="str">
        <f t="shared" ref="D137:Y137" ca="1" si="98">-D109/D133*10^6*(1-$AE$6)</f>
        <v>#REF!</v>
      </c>
      <c r="E137" s="79" t="str">
        <f t="shared" ca="1" si="98"/>
        <v>#REF!</v>
      </c>
      <c r="F137" s="79" t="str">
        <f t="shared" ca="1" si="98"/>
        <v>#REF!</v>
      </c>
      <c r="G137" s="79" t="str">
        <f t="shared" ca="1" si="98"/>
        <v>#REF!</v>
      </c>
      <c r="H137" s="79" t="str">
        <f t="shared" ca="1" si="98"/>
        <v>#REF!</v>
      </c>
      <c r="I137" s="79" t="str">
        <f t="shared" ca="1" si="98"/>
        <v>#REF!</v>
      </c>
      <c r="J137" s="79" t="str">
        <f t="shared" ca="1" si="98"/>
        <v>#REF!</v>
      </c>
      <c r="K137" s="79" t="str">
        <f t="shared" ca="1" si="98"/>
        <v>#REF!</v>
      </c>
      <c r="L137" s="79" t="str">
        <f t="shared" ca="1" si="98"/>
        <v>#REF!</v>
      </c>
      <c r="M137" s="79" t="str">
        <f t="shared" ca="1" si="98"/>
        <v>#REF!</v>
      </c>
      <c r="N137" s="79" t="str">
        <f t="shared" ca="1" si="98"/>
        <v>#REF!</v>
      </c>
      <c r="O137" s="79" t="str">
        <f t="shared" ca="1" si="98"/>
        <v>#REF!</v>
      </c>
      <c r="P137" s="79" t="str">
        <f t="shared" ca="1" si="98"/>
        <v>#REF!</v>
      </c>
      <c r="Q137" s="79" t="str">
        <f t="shared" ca="1" si="98"/>
        <v>#REF!</v>
      </c>
      <c r="R137" s="79" t="str">
        <f t="shared" ca="1" si="98"/>
        <v>#REF!</v>
      </c>
      <c r="S137" s="79" t="str">
        <f t="shared" ca="1" si="98"/>
        <v>#REF!</v>
      </c>
      <c r="T137" s="79" t="str">
        <f t="shared" ca="1" si="98"/>
        <v>#REF!</v>
      </c>
      <c r="U137" s="79" t="str">
        <f t="shared" ca="1" si="98"/>
        <v>#REF!</v>
      </c>
      <c r="V137" s="79" t="str">
        <f t="shared" ca="1" si="98"/>
        <v>#REF!</v>
      </c>
      <c r="W137" s="79" t="str">
        <f t="shared" ca="1" si="98"/>
        <v>#REF!</v>
      </c>
      <c r="X137" s="79" t="str">
        <f t="shared" ca="1" si="98"/>
        <v>#REF!</v>
      </c>
      <c r="Y137" s="79" t="str">
        <f t="shared" ca="1" si="98"/>
        <v>#REF!</v>
      </c>
      <c r="AA137" s="57" t="str">
        <f ca="1">IFERROR((E137/D137)-1,"")</f>
        <v/>
      </c>
      <c r="AB137" s="57" t="str">
        <f ca="1">IFERROR((J137/D137)^(1/6)-1,"")</f>
        <v/>
      </c>
      <c r="AC137" s="57" t="str">
        <f ca="1">IFERROR((O137/D137)^(1/11)-1,"")</f>
        <v/>
      </c>
      <c r="AD137" s="57" t="str">
        <f ca="1">IFERROR((T137/D137)^(1/16)-1,"")</f>
        <v/>
      </c>
      <c r="AE137" s="57" t="str">
        <f ca="1">IFERROR((Y137/D137)^(1/21)-1,"")</f>
        <v/>
      </c>
    </row>
    <row r="138" spans="2:31" ht="15.75" hidden="1" customHeight="1" outlineLevel="1">
      <c r="B138" s="188" t="s">
        <v>203</v>
      </c>
      <c r="C138" s="188"/>
      <c r="D138" s="79"/>
      <c r="E138" s="79"/>
      <c r="F138" s="79"/>
      <c r="G138" s="79"/>
      <c r="H138" s="79"/>
      <c r="I138" s="79"/>
      <c r="J138" s="79"/>
      <c r="K138" s="79"/>
      <c r="L138" s="79"/>
      <c r="M138" s="79"/>
      <c r="N138" s="79"/>
      <c r="O138" s="79"/>
      <c r="P138" s="79"/>
      <c r="Q138" s="79"/>
      <c r="R138" s="79"/>
      <c r="S138" s="79"/>
      <c r="T138" s="79"/>
      <c r="U138" s="79"/>
      <c r="V138" s="79"/>
      <c r="W138" s="79"/>
      <c r="X138" s="79"/>
      <c r="Y138" s="79"/>
      <c r="AA138" s="57"/>
      <c r="AB138" s="57"/>
      <c r="AC138" s="57"/>
      <c r="AD138" s="57"/>
      <c r="AE138" s="57"/>
    </row>
    <row r="139" spans="2:31" ht="15.75" hidden="1" customHeight="1" outlineLevel="1">
      <c r="B139" s="98" t="s">
        <v>204</v>
      </c>
      <c r="C139" s="98"/>
      <c r="D139" s="138">
        <v>1</v>
      </c>
      <c r="E139" s="138" t="str">
        <f t="shared" ref="E139:Y139" ca="1" si="99">D141</f>
        <v>#REF!</v>
      </c>
      <c r="F139" s="138" t="str">
        <f t="shared" ca="1" si="99"/>
        <v>#REF!</v>
      </c>
      <c r="G139" s="138" t="str">
        <f t="shared" ca="1" si="99"/>
        <v>#REF!</v>
      </c>
      <c r="H139" s="138" t="str">
        <f t="shared" ca="1" si="99"/>
        <v>#REF!</v>
      </c>
      <c r="I139" s="138" t="str">
        <f t="shared" ca="1" si="99"/>
        <v>#REF!</v>
      </c>
      <c r="J139" s="138" t="str">
        <f t="shared" ca="1" si="99"/>
        <v>#REF!</v>
      </c>
      <c r="K139" s="138" t="str">
        <f t="shared" ca="1" si="99"/>
        <v>#REF!</v>
      </c>
      <c r="L139" s="138" t="str">
        <f t="shared" ca="1" si="99"/>
        <v>#REF!</v>
      </c>
      <c r="M139" s="138" t="str">
        <f t="shared" ca="1" si="99"/>
        <v>#REF!</v>
      </c>
      <c r="N139" s="138" t="str">
        <f t="shared" ca="1" si="99"/>
        <v>#REF!</v>
      </c>
      <c r="O139" s="138" t="str">
        <f t="shared" ca="1" si="99"/>
        <v>#REF!</v>
      </c>
      <c r="P139" s="138" t="str">
        <f t="shared" ca="1" si="99"/>
        <v>#REF!</v>
      </c>
      <c r="Q139" s="138" t="str">
        <f t="shared" ca="1" si="99"/>
        <v>#REF!</v>
      </c>
      <c r="R139" s="138" t="str">
        <f t="shared" ca="1" si="99"/>
        <v>#REF!</v>
      </c>
      <c r="S139" s="138" t="str">
        <f t="shared" ca="1" si="99"/>
        <v>#REF!</v>
      </c>
      <c r="T139" s="138" t="str">
        <f t="shared" ca="1" si="99"/>
        <v>#REF!</v>
      </c>
      <c r="U139" s="138" t="str">
        <f t="shared" ca="1" si="99"/>
        <v>#REF!</v>
      </c>
      <c r="V139" s="138" t="str">
        <f t="shared" ca="1" si="99"/>
        <v>#REF!</v>
      </c>
      <c r="W139" s="138" t="str">
        <f t="shared" ca="1" si="99"/>
        <v>#REF!</v>
      </c>
      <c r="X139" s="138" t="str">
        <f t="shared" ca="1" si="99"/>
        <v>#REF!</v>
      </c>
      <c r="Y139" s="138" t="str">
        <f t="shared" ca="1" si="99"/>
        <v>#REF!</v>
      </c>
      <c r="AA139" s="57"/>
      <c r="AB139" s="57"/>
      <c r="AC139" s="57"/>
      <c r="AD139" s="57"/>
      <c r="AE139" s="57" t="str">
        <f t="shared" ref="AE139:AE141" ca="1" si="100">IFERROR((Y139/D139)^(1/21)-1,"")</f>
        <v/>
      </c>
    </row>
    <row r="140" spans="2:31" ht="15.75" hidden="1" customHeight="1" outlineLevel="1">
      <c r="B140" s="98" t="s">
        <v>205</v>
      </c>
      <c r="C140" s="98"/>
      <c r="D140" s="138" t="str">
        <f t="shared" ref="D140:Y140" ca="1" si="101">D137/D134</f>
        <v>#REF!</v>
      </c>
      <c r="E140" s="138" t="str">
        <f t="shared" ca="1" si="101"/>
        <v>#REF!</v>
      </c>
      <c r="F140" s="138" t="str">
        <f t="shared" ca="1" si="101"/>
        <v>#REF!</v>
      </c>
      <c r="G140" s="138" t="str">
        <f t="shared" ca="1" si="101"/>
        <v>#REF!</v>
      </c>
      <c r="H140" s="138" t="str">
        <f t="shared" ca="1" si="101"/>
        <v>#REF!</v>
      </c>
      <c r="I140" s="138" t="str">
        <f t="shared" ca="1" si="101"/>
        <v>#REF!</v>
      </c>
      <c r="J140" s="138" t="str">
        <f t="shared" ca="1" si="101"/>
        <v>#REF!</v>
      </c>
      <c r="K140" s="138" t="str">
        <f t="shared" ca="1" si="101"/>
        <v>#REF!</v>
      </c>
      <c r="L140" s="138" t="str">
        <f t="shared" ca="1" si="101"/>
        <v>#REF!</v>
      </c>
      <c r="M140" s="138" t="str">
        <f t="shared" ca="1" si="101"/>
        <v>#REF!</v>
      </c>
      <c r="N140" s="138" t="str">
        <f t="shared" ca="1" si="101"/>
        <v>#REF!</v>
      </c>
      <c r="O140" s="138" t="str">
        <f t="shared" ca="1" si="101"/>
        <v>#REF!</v>
      </c>
      <c r="P140" s="138" t="str">
        <f t="shared" ca="1" si="101"/>
        <v>#REF!</v>
      </c>
      <c r="Q140" s="138" t="str">
        <f t="shared" ca="1" si="101"/>
        <v>#REF!</v>
      </c>
      <c r="R140" s="138" t="str">
        <f t="shared" ca="1" si="101"/>
        <v>#REF!</v>
      </c>
      <c r="S140" s="138" t="str">
        <f t="shared" ca="1" si="101"/>
        <v>#REF!</v>
      </c>
      <c r="T140" s="138" t="str">
        <f t="shared" ca="1" si="101"/>
        <v>#REF!</v>
      </c>
      <c r="U140" s="138" t="str">
        <f t="shared" ca="1" si="101"/>
        <v>#REF!</v>
      </c>
      <c r="V140" s="138" t="str">
        <f t="shared" ca="1" si="101"/>
        <v>#REF!</v>
      </c>
      <c r="W140" s="138" t="str">
        <f t="shared" ca="1" si="101"/>
        <v>#REF!</v>
      </c>
      <c r="X140" s="138" t="str">
        <f t="shared" ca="1" si="101"/>
        <v>#REF!</v>
      </c>
      <c r="Y140" s="138" t="str">
        <f t="shared" ca="1" si="101"/>
        <v>#REF!</v>
      </c>
      <c r="AA140" s="57"/>
      <c r="AB140" s="57"/>
      <c r="AC140" s="57"/>
      <c r="AD140" s="57"/>
      <c r="AE140" s="57" t="str">
        <f t="shared" ca="1" si="100"/>
        <v/>
      </c>
    </row>
    <row r="141" spans="2:31" ht="15.75" hidden="1" customHeight="1" outlineLevel="1">
      <c r="B141" s="98" t="s">
        <v>206</v>
      </c>
      <c r="C141" s="98"/>
      <c r="D141" s="138" t="str">
        <f t="shared" ref="D141:Y141" ca="1" si="102">D139+D140*D139</f>
        <v>#REF!</v>
      </c>
      <c r="E141" s="138" t="str">
        <f t="shared" ca="1" si="102"/>
        <v>#REF!</v>
      </c>
      <c r="F141" s="138" t="str">
        <f t="shared" ca="1" si="102"/>
        <v>#REF!</v>
      </c>
      <c r="G141" s="138" t="str">
        <f t="shared" ca="1" si="102"/>
        <v>#REF!</v>
      </c>
      <c r="H141" s="138" t="str">
        <f t="shared" ca="1" si="102"/>
        <v>#REF!</v>
      </c>
      <c r="I141" s="138" t="str">
        <f t="shared" ca="1" si="102"/>
        <v>#REF!</v>
      </c>
      <c r="J141" s="138" t="str">
        <f t="shared" ca="1" si="102"/>
        <v>#REF!</v>
      </c>
      <c r="K141" s="138" t="str">
        <f t="shared" ca="1" si="102"/>
        <v>#REF!</v>
      </c>
      <c r="L141" s="138" t="str">
        <f t="shared" ca="1" si="102"/>
        <v>#REF!</v>
      </c>
      <c r="M141" s="138" t="str">
        <f t="shared" ca="1" si="102"/>
        <v>#REF!</v>
      </c>
      <c r="N141" s="138" t="str">
        <f t="shared" ca="1" si="102"/>
        <v>#REF!</v>
      </c>
      <c r="O141" s="138" t="str">
        <f t="shared" ca="1" si="102"/>
        <v>#REF!</v>
      </c>
      <c r="P141" s="138" t="str">
        <f t="shared" ca="1" si="102"/>
        <v>#REF!</v>
      </c>
      <c r="Q141" s="138" t="str">
        <f t="shared" ca="1" si="102"/>
        <v>#REF!</v>
      </c>
      <c r="R141" s="138" t="str">
        <f t="shared" ca="1" si="102"/>
        <v>#REF!</v>
      </c>
      <c r="S141" s="138" t="str">
        <f t="shared" ca="1" si="102"/>
        <v>#REF!</v>
      </c>
      <c r="T141" s="138" t="str">
        <f t="shared" ca="1" si="102"/>
        <v>#REF!</v>
      </c>
      <c r="U141" s="138" t="str">
        <f t="shared" ca="1" si="102"/>
        <v>#REF!</v>
      </c>
      <c r="V141" s="138" t="str">
        <f t="shared" ca="1" si="102"/>
        <v>#REF!</v>
      </c>
      <c r="W141" s="138" t="str">
        <f t="shared" ca="1" si="102"/>
        <v>#REF!</v>
      </c>
      <c r="X141" s="138" t="str">
        <f t="shared" ca="1" si="102"/>
        <v>#REF!</v>
      </c>
      <c r="Y141" s="138" t="str">
        <f t="shared" ca="1" si="102"/>
        <v>#REF!</v>
      </c>
      <c r="AA141" s="57"/>
      <c r="AB141" s="57"/>
      <c r="AC141" s="57"/>
      <c r="AD141" s="57"/>
      <c r="AE141" s="57" t="str">
        <f t="shared" ca="1" si="100"/>
        <v/>
      </c>
    </row>
    <row r="142" spans="2:31" ht="15.75" hidden="1" customHeight="1" outlineLevel="1"/>
    <row r="143" spans="2:31" ht="15.75" hidden="1" customHeight="1" outlineLevel="1">
      <c r="B143" s="204" t="s">
        <v>207</v>
      </c>
      <c r="C143" s="204"/>
      <c r="D143" s="205" t="str">
        <f t="shared" ref="D143:Y143" ca="1" si="103">D141*D134</f>
        <v>#REF!</v>
      </c>
      <c r="E143" s="205" t="str">
        <f t="shared" ca="1" si="103"/>
        <v>#REF!</v>
      </c>
      <c r="F143" s="205" t="str">
        <f t="shared" ca="1" si="103"/>
        <v>#REF!</v>
      </c>
      <c r="G143" s="205" t="str">
        <f t="shared" ca="1" si="103"/>
        <v>#REF!</v>
      </c>
      <c r="H143" s="205" t="str">
        <f t="shared" ca="1" si="103"/>
        <v>#REF!</v>
      </c>
      <c r="I143" s="205" t="str">
        <f t="shared" ca="1" si="103"/>
        <v>#REF!</v>
      </c>
      <c r="J143" s="205" t="str">
        <f t="shared" ca="1" si="103"/>
        <v>#REF!</v>
      </c>
      <c r="K143" s="205" t="str">
        <f t="shared" ca="1" si="103"/>
        <v>#REF!</v>
      </c>
      <c r="L143" s="205" t="str">
        <f t="shared" ca="1" si="103"/>
        <v>#REF!</v>
      </c>
      <c r="M143" s="205" t="str">
        <f t="shared" ca="1" si="103"/>
        <v>#REF!</v>
      </c>
      <c r="N143" s="205" t="str">
        <f t="shared" ca="1" si="103"/>
        <v>#REF!</v>
      </c>
      <c r="O143" s="205" t="str">
        <f t="shared" ca="1" si="103"/>
        <v>#REF!</v>
      </c>
      <c r="P143" s="205" t="str">
        <f t="shared" ca="1" si="103"/>
        <v>#REF!</v>
      </c>
      <c r="Q143" s="205" t="str">
        <f t="shared" ca="1" si="103"/>
        <v>#REF!</v>
      </c>
      <c r="R143" s="205" t="str">
        <f t="shared" ca="1" si="103"/>
        <v>#REF!</v>
      </c>
      <c r="S143" s="205" t="str">
        <f t="shared" ca="1" si="103"/>
        <v>#REF!</v>
      </c>
      <c r="T143" s="205" t="str">
        <f t="shared" ca="1" si="103"/>
        <v>#REF!</v>
      </c>
      <c r="U143" s="205" t="str">
        <f t="shared" ca="1" si="103"/>
        <v>#REF!</v>
      </c>
      <c r="V143" s="205" t="str">
        <f t="shared" ca="1" si="103"/>
        <v>#REF!</v>
      </c>
      <c r="W143" s="205" t="str">
        <f t="shared" ca="1" si="103"/>
        <v>#REF!</v>
      </c>
      <c r="X143" s="205" t="str">
        <f t="shared" ca="1" si="103"/>
        <v>#REF!</v>
      </c>
      <c r="Y143" s="205" t="str">
        <f t="shared" ca="1" si="103"/>
        <v>#REF!</v>
      </c>
      <c r="Z143" s="66"/>
      <c r="AA143" s="206" t="str">
        <f ca="1">IFERROR((E143/D143)-1,"")</f>
        <v/>
      </c>
      <c r="AB143" s="206" t="str">
        <f ca="1">IFERROR((J143/D143)^(1/6)-1,"")</f>
        <v/>
      </c>
      <c r="AC143" s="206" t="str">
        <f ca="1">IFERROR((O143/D143)^(1/11)-1,"")</f>
        <v/>
      </c>
      <c r="AD143" s="206" t="str">
        <f ca="1">IFERROR((T143/D143)^(1/16)-1,"")</f>
        <v/>
      </c>
      <c r="AE143" s="206" t="str">
        <f ca="1">IFERROR((Y143/D143)^(1/21)-1,"")</f>
        <v/>
      </c>
    </row>
    <row r="144" spans="2:31" ht="15.75" hidden="1" customHeight="1" outlineLevel="1">
      <c r="E144" s="57" t="str">
        <f t="shared" ref="E144:Y144" ca="1" si="104">E143/D143-1</f>
        <v>#REF!</v>
      </c>
      <c r="F144" s="57" t="str">
        <f t="shared" ca="1" si="104"/>
        <v>#REF!</v>
      </c>
      <c r="G144" s="57" t="str">
        <f t="shared" ca="1" si="104"/>
        <v>#REF!</v>
      </c>
      <c r="H144" s="57" t="str">
        <f t="shared" ca="1" si="104"/>
        <v>#REF!</v>
      </c>
      <c r="I144" s="57" t="str">
        <f t="shared" ca="1" si="104"/>
        <v>#REF!</v>
      </c>
      <c r="J144" s="57" t="str">
        <f t="shared" ca="1" si="104"/>
        <v>#REF!</v>
      </c>
      <c r="K144" s="57" t="str">
        <f t="shared" ca="1" si="104"/>
        <v>#REF!</v>
      </c>
      <c r="L144" s="57" t="str">
        <f t="shared" ca="1" si="104"/>
        <v>#REF!</v>
      </c>
      <c r="M144" s="57" t="str">
        <f t="shared" ca="1" si="104"/>
        <v>#REF!</v>
      </c>
      <c r="N144" s="57" t="str">
        <f t="shared" ca="1" si="104"/>
        <v>#REF!</v>
      </c>
      <c r="O144" s="57" t="str">
        <f t="shared" ca="1" si="104"/>
        <v>#REF!</v>
      </c>
      <c r="P144" s="57" t="str">
        <f t="shared" ca="1" si="104"/>
        <v>#REF!</v>
      </c>
      <c r="Q144" s="57" t="str">
        <f t="shared" ca="1" si="104"/>
        <v>#REF!</v>
      </c>
      <c r="R144" s="57" t="str">
        <f t="shared" ca="1" si="104"/>
        <v>#REF!</v>
      </c>
      <c r="S144" s="57" t="str">
        <f t="shared" ca="1" si="104"/>
        <v>#REF!</v>
      </c>
      <c r="T144" s="57" t="str">
        <f t="shared" ca="1" si="104"/>
        <v>#REF!</v>
      </c>
      <c r="U144" s="57" t="str">
        <f t="shared" ca="1" si="104"/>
        <v>#REF!</v>
      </c>
      <c r="V144" s="57" t="str">
        <f t="shared" ca="1" si="104"/>
        <v>#REF!</v>
      </c>
      <c r="W144" s="57" t="str">
        <f t="shared" ca="1" si="104"/>
        <v>#REF!</v>
      </c>
      <c r="X144" s="57" t="str">
        <f t="shared" ca="1" si="104"/>
        <v>#REF!</v>
      </c>
      <c r="Y144" s="57" t="str">
        <f t="shared" ca="1" si="104"/>
        <v>#REF!</v>
      </c>
    </row>
    <row r="145" ht="15.75" customHeight="1" collapsed="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D18:Y18"/>
    <mergeCell ref="B50:AN50"/>
    <mergeCell ref="B79:AN79"/>
    <mergeCell ref="B101:AH101"/>
    <mergeCell ref="B3:AH3"/>
    <mergeCell ref="AJ3:AP3"/>
    <mergeCell ref="AK4:AK5"/>
    <mergeCell ref="AL4:AL5"/>
    <mergeCell ref="B17:AH17"/>
    <mergeCell ref="AA18:AE18"/>
    <mergeCell ref="AG18:AH18"/>
  </mergeCells>
  <conditionalFormatting sqref="D10:T10">
    <cfRule type="expression" dxfId="4" priority="1">
      <formula>D10=$T$1</formula>
    </cfRule>
  </conditionalFormatting>
  <hyperlinks>
    <hyperlink ref="AJ1" location="SelectedCase" display="Base" xr:uid="{00000000-0004-0000-0400-000000000000}"/>
  </hyperlinks>
  <pageMargins left="0.7" right="0.7" top="0.75" bottom="0.75" header="0" footer="0"/>
  <pageSetup orientation="portrait"/>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r:uid="{00000000-0002-0000-0400-000000000000}">
          <x14:formula1>
            <xm:f>Cover!$A$5:$E$5</xm:f>
          </x14:formula1>
          <xm:sqref>T1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AE2D5"/>
    <pageSetUpPr fitToPage="1"/>
  </sheetPr>
  <dimension ref="A1:AS1000"/>
  <sheetViews>
    <sheetView showGridLines="0" workbookViewId="0">
      <pane ySplit="1" topLeftCell="A2" activePane="bottomLeft" state="frozen"/>
      <selection pane="bottomLeft" activeCell="B3" sqref="B3"/>
    </sheetView>
  </sheetViews>
  <sheetFormatPr defaultColWidth="12.5703125" defaultRowHeight="15" customHeight="1" outlineLevelRow="1" outlineLevelCol="1"/>
  <cols>
    <col min="1" max="1" width="0.85546875" customWidth="1"/>
    <col min="2" max="5" width="12.42578125" customWidth="1"/>
    <col min="6" max="9" width="8.42578125" hidden="1" customWidth="1" outlineLevel="1"/>
    <col min="10" max="10" width="12.42578125" customWidth="1"/>
    <col min="11" max="12" width="8.42578125" hidden="1" customWidth="1" outlineLevel="1"/>
    <col min="13" max="14" width="9.5703125" hidden="1" customWidth="1" outlineLevel="1"/>
    <col min="15" max="15" width="12.42578125" customWidth="1"/>
    <col min="16" max="19" width="9.5703125" hidden="1" customWidth="1" outlineLevel="1"/>
    <col min="20" max="20" width="12.42578125" customWidth="1"/>
    <col min="21" max="22" width="9.5703125" hidden="1" customWidth="1" outlineLevel="1"/>
    <col min="23" max="24" width="10.85546875" hidden="1" customWidth="1" outlineLevel="1"/>
    <col min="25" max="25" width="12.42578125" customWidth="1"/>
    <col min="26" max="26" width="1.5703125" customWidth="1"/>
    <col min="27" max="27" width="10.85546875" hidden="1" customWidth="1" outlineLevel="1"/>
    <col min="28" max="30" width="11.42578125" hidden="1" customWidth="1" outlineLevel="1"/>
    <col min="31" max="31" width="11.42578125" customWidth="1"/>
    <col min="32" max="32" width="1.5703125" customWidth="1"/>
    <col min="33" max="34" width="8.85546875" customWidth="1"/>
    <col min="35" max="35" width="1.5703125" customWidth="1"/>
    <col min="36" max="45" width="8.85546875" customWidth="1"/>
  </cols>
  <sheetData>
    <row r="1" spans="1:45">
      <c r="A1" s="10"/>
      <c r="B1" s="9" t="s">
        <v>26</v>
      </c>
      <c r="C1" s="9"/>
      <c r="D1" s="11" t="s">
        <v>208</v>
      </c>
      <c r="E1" s="10"/>
      <c r="F1" s="113"/>
      <c r="G1" s="113"/>
      <c r="H1" s="113"/>
      <c r="I1" s="113"/>
      <c r="J1" s="242"/>
      <c r="K1" s="10"/>
      <c r="L1" s="10"/>
      <c r="M1" s="10"/>
      <c r="N1" s="10"/>
      <c r="O1" s="114" t="s">
        <v>98</v>
      </c>
      <c r="P1" s="10"/>
      <c r="Q1" s="10"/>
      <c r="R1" s="10"/>
      <c r="S1" s="10"/>
      <c r="T1" s="93" t="s">
        <v>7</v>
      </c>
      <c r="U1" s="10"/>
      <c r="V1" s="10"/>
      <c r="W1" s="10"/>
      <c r="X1" s="10"/>
      <c r="Y1" s="10"/>
      <c r="Z1" s="10"/>
      <c r="AA1" s="10"/>
      <c r="AB1" s="10"/>
      <c r="AC1" s="10"/>
      <c r="AD1" s="10"/>
      <c r="AE1" s="234" t="s">
        <v>99</v>
      </c>
      <c r="AF1" s="222"/>
      <c r="AG1" s="223" t="s">
        <v>31</v>
      </c>
      <c r="AH1" s="10"/>
      <c r="AI1" s="10"/>
      <c r="AJ1" s="10"/>
      <c r="AK1" s="10"/>
      <c r="AL1" s="10"/>
      <c r="AM1" s="10"/>
      <c r="AN1" s="10"/>
      <c r="AO1" s="10"/>
      <c r="AP1" s="10"/>
      <c r="AQ1" s="10"/>
      <c r="AR1" s="10"/>
      <c r="AS1" s="10"/>
    </row>
    <row r="2" spans="1:45" ht="3.75" customHeight="1"/>
    <row r="3" spans="1:45">
      <c r="B3" s="272" t="s">
        <v>27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F3" s="268"/>
      <c r="AG3" s="268"/>
      <c r="AH3" s="268"/>
      <c r="AJ3" s="272" t="s">
        <v>101</v>
      </c>
      <c r="AK3" s="268"/>
      <c r="AL3" s="268"/>
      <c r="AM3" s="268"/>
      <c r="AN3" s="268"/>
    </row>
    <row r="4" spans="1:45">
      <c r="B4" s="8" t="s">
        <v>102</v>
      </c>
      <c r="D4" s="95">
        <v>0</v>
      </c>
      <c r="J4" s="96" t="s">
        <v>103</v>
      </c>
      <c r="AJ4" s="185"/>
      <c r="AK4" s="277" t="s">
        <v>105</v>
      </c>
      <c r="AL4" s="277" t="s">
        <v>106</v>
      </c>
      <c r="AM4" s="277" t="s">
        <v>107</v>
      </c>
      <c r="AN4" s="278" t="s">
        <v>108</v>
      </c>
    </row>
    <row r="5" spans="1:45">
      <c r="B5" s="8" t="s">
        <v>209</v>
      </c>
      <c r="D5" s="97">
        <v>1000</v>
      </c>
      <c r="J5" s="98" t="s">
        <v>49</v>
      </c>
      <c r="O5" s="38">
        <v>0.05</v>
      </c>
      <c r="AJ5" s="185" t="s">
        <v>42</v>
      </c>
      <c r="AK5" s="268"/>
      <c r="AL5" s="268"/>
      <c r="AM5" s="268"/>
      <c r="AN5" s="268"/>
    </row>
    <row r="6" spans="1:45">
      <c r="B6" s="8" t="s">
        <v>136</v>
      </c>
      <c r="D6" s="97">
        <v>0</v>
      </c>
      <c r="J6" s="98" t="s">
        <v>53</v>
      </c>
      <c r="O6" s="38">
        <v>0.45</v>
      </c>
      <c r="AJ6" s="1">
        <v>2024</v>
      </c>
      <c r="AK6" s="121">
        <f t="shared" ref="AK6:AK27" si="0">HLOOKUP($AJ6,$D$17:$Y$36,12)/10^3</f>
        <v>1</v>
      </c>
      <c r="AL6" s="121">
        <f t="shared" ref="AL6:AL27" si="1">HLOOKUP($AJ6,$D$17:$Y$36,17)/10^3</f>
        <v>0</v>
      </c>
      <c r="AM6" s="121">
        <f t="shared" ref="AM6:AM27" si="2">HLOOKUP($AJ6,$D$17:$Y$36,20)/10^3</f>
        <v>1</v>
      </c>
      <c r="AN6" s="122">
        <f t="shared" ref="AN6:AN27" si="3">HLOOKUP($AJ6,$D$17:$Y$36,3)/10^3</f>
        <v>15.384615384615385</v>
      </c>
    </row>
    <row r="7" spans="1:45">
      <c r="B7" s="8" t="s">
        <v>139</v>
      </c>
      <c r="D7" s="38">
        <v>7.0000000000000007E-2</v>
      </c>
      <c r="J7" s="98" t="s">
        <v>56</v>
      </c>
      <c r="O7" s="38">
        <v>0.3</v>
      </c>
      <c r="AJ7" s="54">
        <f t="shared" ref="AJ7:AJ27" si="4">AJ6+1</f>
        <v>2025</v>
      </c>
      <c r="AK7" s="127" t="str">
        <f t="shared" ca="1" si="0"/>
        <v>#REF!</v>
      </c>
      <c r="AL7" s="127" t="str">
        <f t="shared" ca="1" si="1"/>
        <v>#REF!</v>
      </c>
      <c r="AM7" s="127" t="str">
        <f t="shared" ca="1" si="2"/>
        <v>#REF!</v>
      </c>
      <c r="AN7" s="128" t="str">
        <f t="shared" ca="1" si="3"/>
        <v>#REF!</v>
      </c>
    </row>
    <row r="8" spans="1:45">
      <c r="J8" s="98" t="s">
        <v>58</v>
      </c>
      <c r="O8" s="38">
        <v>0.2</v>
      </c>
      <c r="AJ8" s="1">
        <f t="shared" si="4"/>
        <v>2026</v>
      </c>
      <c r="AK8" s="121" t="str">
        <f t="shared" ca="1" si="0"/>
        <v>#REF!</v>
      </c>
      <c r="AL8" s="121" t="str">
        <f t="shared" ca="1" si="1"/>
        <v>#REF!</v>
      </c>
      <c r="AM8" s="121" t="str">
        <f t="shared" ca="1" si="2"/>
        <v>#REF!</v>
      </c>
      <c r="AN8" s="122" t="str">
        <f t="shared" ca="1" si="3"/>
        <v>#REF!</v>
      </c>
    </row>
    <row r="9" spans="1:45" ht="15" customHeight="1">
      <c r="J9" s="139" t="s">
        <v>60</v>
      </c>
      <c r="O9" s="46">
        <v>0</v>
      </c>
      <c r="AJ9" s="1">
        <f t="shared" si="4"/>
        <v>2027</v>
      </c>
      <c r="AK9" s="121" t="str">
        <f t="shared" ca="1" si="0"/>
        <v>#REF!</v>
      </c>
      <c r="AL9" s="121" t="str">
        <f t="shared" ca="1" si="1"/>
        <v>#REF!</v>
      </c>
      <c r="AM9" s="121" t="str">
        <f t="shared" ca="1" si="2"/>
        <v>#REF!</v>
      </c>
      <c r="AN9" s="122" t="str">
        <f t="shared" ca="1" si="3"/>
        <v>#REF!</v>
      </c>
    </row>
    <row r="10" spans="1:45" ht="15" customHeight="1">
      <c r="J10" s="98" t="s">
        <v>68</v>
      </c>
      <c r="O10" s="42">
        <f>SUM(O5:O9)</f>
        <v>1</v>
      </c>
      <c r="AJ10" s="1">
        <f t="shared" si="4"/>
        <v>2028</v>
      </c>
      <c r="AK10" s="121" t="str">
        <f t="shared" ca="1" si="0"/>
        <v>#REF!</v>
      </c>
      <c r="AL10" s="121" t="str">
        <f t="shared" ca="1" si="1"/>
        <v>#REF!</v>
      </c>
      <c r="AM10" s="121" t="str">
        <f t="shared" ca="1" si="2"/>
        <v>#REF!</v>
      </c>
      <c r="AN10" s="122" t="str">
        <f t="shared" ca="1" si="3"/>
        <v>#REF!</v>
      </c>
    </row>
    <row r="11" spans="1:45">
      <c r="D11" s="103" t="s">
        <v>3</v>
      </c>
      <c r="E11" s="103" t="s">
        <v>4</v>
      </c>
      <c r="J11" s="103" t="s">
        <v>5</v>
      </c>
      <c r="O11" s="103" t="s">
        <v>6</v>
      </c>
      <c r="T11" s="103" t="s">
        <v>7</v>
      </c>
      <c r="V11" s="103" t="str">
        <f>T1</f>
        <v>Triple Maxi</v>
      </c>
      <c r="AJ11" s="1">
        <f t="shared" si="4"/>
        <v>2029</v>
      </c>
      <c r="AK11" s="121" t="str">
        <f t="shared" ca="1" si="0"/>
        <v>#REF!</v>
      </c>
      <c r="AL11" s="121" t="str">
        <f t="shared" ca="1" si="1"/>
        <v>#REF!</v>
      </c>
      <c r="AM11" s="121" t="str">
        <f t="shared" ca="1" si="2"/>
        <v>#REF!</v>
      </c>
      <c r="AN11" s="122" t="str">
        <f t="shared" ca="1" si="3"/>
        <v>#REF!</v>
      </c>
    </row>
    <row r="12" spans="1:45">
      <c r="B12" s="8" t="s">
        <v>115</v>
      </c>
      <c r="C12" s="8"/>
      <c r="D12" s="38">
        <v>0</v>
      </c>
      <c r="E12" s="38">
        <v>0.1</v>
      </c>
      <c r="F12" s="38"/>
      <c r="G12" s="38"/>
      <c r="H12" s="38"/>
      <c r="I12" s="38"/>
      <c r="J12" s="38">
        <v>0.5</v>
      </c>
      <c r="K12" s="38"/>
      <c r="L12" s="38"/>
      <c r="M12" s="38"/>
      <c r="N12" s="38"/>
      <c r="O12" s="38">
        <v>1</v>
      </c>
      <c r="P12" s="38"/>
      <c r="Q12" s="38"/>
      <c r="R12" s="38"/>
      <c r="S12" s="38"/>
      <c r="T12" s="38">
        <v>1</v>
      </c>
      <c r="V12" s="42">
        <f t="shared" ref="V12:V13" si="5">INDEX($B$11:$T$13,MATCH(B12,$B$11:$B$13,0),MATCH($V$11,$B$11:$T$11,0))</f>
        <v>1</v>
      </c>
      <c r="AJ12" s="54">
        <f t="shared" si="4"/>
        <v>2030</v>
      </c>
      <c r="AK12" s="127" t="str">
        <f t="shared" ca="1" si="0"/>
        <v>#REF!</v>
      </c>
      <c r="AL12" s="127" t="str">
        <f t="shared" ca="1" si="1"/>
        <v>#REF!</v>
      </c>
      <c r="AM12" s="127" t="str">
        <f t="shared" ca="1" si="2"/>
        <v>#REF!</v>
      </c>
      <c r="AN12" s="128" t="str">
        <f t="shared" ca="1" si="3"/>
        <v>#REF!</v>
      </c>
    </row>
    <row r="13" spans="1:45">
      <c r="B13" s="8" t="s">
        <v>150</v>
      </c>
      <c r="D13" s="38">
        <v>0</v>
      </c>
      <c r="E13" s="38">
        <v>0</v>
      </c>
      <c r="F13" s="38"/>
      <c r="G13" s="38"/>
      <c r="H13" s="38"/>
      <c r="I13" s="38"/>
      <c r="J13" s="38">
        <v>0</v>
      </c>
      <c r="K13" s="38"/>
      <c r="L13" s="38"/>
      <c r="M13" s="38"/>
      <c r="N13" s="38"/>
      <c r="O13" s="38">
        <v>0</v>
      </c>
      <c r="P13" s="38"/>
      <c r="Q13" s="38"/>
      <c r="R13" s="38"/>
      <c r="S13" s="38"/>
      <c r="T13" s="38">
        <v>0.1</v>
      </c>
      <c r="V13" s="42">
        <f t="shared" si="5"/>
        <v>0.1</v>
      </c>
      <c r="AJ13" s="1">
        <f t="shared" si="4"/>
        <v>2031</v>
      </c>
      <c r="AK13" s="121" t="str">
        <f t="shared" ca="1" si="0"/>
        <v>#REF!</v>
      </c>
      <c r="AL13" s="121" t="str">
        <f t="shared" ca="1" si="1"/>
        <v>#REF!</v>
      </c>
      <c r="AM13" s="121" t="str">
        <f t="shared" ca="1" si="2"/>
        <v>#REF!</v>
      </c>
      <c r="AN13" s="122" t="str">
        <f t="shared" ca="1" si="3"/>
        <v>#REF!</v>
      </c>
    </row>
    <row r="14" spans="1:45">
      <c r="AJ14" s="1">
        <f t="shared" si="4"/>
        <v>2032</v>
      </c>
      <c r="AK14" s="121" t="str">
        <f t="shared" ca="1" si="0"/>
        <v>#REF!</v>
      </c>
      <c r="AL14" s="121" t="str">
        <f t="shared" ca="1" si="1"/>
        <v>#REF!</v>
      </c>
      <c r="AM14" s="121" t="str">
        <f t="shared" ca="1" si="2"/>
        <v>#REF!</v>
      </c>
      <c r="AN14" s="122" t="str">
        <f t="shared" ca="1" si="3"/>
        <v>#REF!</v>
      </c>
    </row>
    <row r="15" spans="1:45">
      <c r="B15" s="272" t="s">
        <v>65</v>
      </c>
      <c r="C15" s="268"/>
      <c r="D15" s="268"/>
      <c r="E15" s="268"/>
      <c r="F15" s="268"/>
      <c r="G15" s="268"/>
      <c r="H15" s="268"/>
      <c r="I15" s="268"/>
      <c r="J15" s="268"/>
      <c r="K15" s="268"/>
      <c r="L15" s="268"/>
      <c r="M15" s="268"/>
      <c r="N15" s="268"/>
      <c r="O15" s="268"/>
      <c r="P15" s="268"/>
      <c r="Q15" s="268"/>
      <c r="R15" s="268"/>
      <c r="S15" s="268"/>
      <c r="T15" s="268"/>
      <c r="U15" s="268"/>
      <c r="V15" s="268"/>
      <c r="W15" s="268"/>
      <c r="X15" s="268"/>
      <c r="Y15" s="268"/>
      <c r="Z15" s="268"/>
      <c r="AA15" s="268"/>
      <c r="AB15" s="268"/>
      <c r="AC15" s="268"/>
      <c r="AD15" s="268"/>
      <c r="AE15" s="268"/>
      <c r="AF15" s="268"/>
      <c r="AG15" s="268"/>
      <c r="AH15" s="268"/>
      <c r="AJ15" s="1">
        <f t="shared" si="4"/>
        <v>2033</v>
      </c>
      <c r="AK15" s="121" t="str">
        <f t="shared" ca="1" si="0"/>
        <v>#REF!</v>
      </c>
      <c r="AL15" s="121" t="str">
        <f t="shared" ca="1" si="1"/>
        <v>#REF!</v>
      </c>
      <c r="AM15" s="121" t="str">
        <f t="shared" ca="1" si="2"/>
        <v>#REF!</v>
      </c>
      <c r="AN15" s="122" t="str">
        <f t="shared" ca="1" si="3"/>
        <v>#REF!</v>
      </c>
    </row>
    <row r="16" spans="1:45">
      <c r="B16" s="193"/>
      <c r="C16" s="226"/>
      <c r="D16" s="273" t="s">
        <v>42</v>
      </c>
      <c r="E16" s="274"/>
      <c r="F16" s="274"/>
      <c r="G16" s="274"/>
      <c r="H16" s="274"/>
      <c r="I16" s="274"/>
      <c r="J16" s="274"/>
      <c r="K16" s="274"/>
      <c r="L16" s="274"/>
      <c r="M16" s="274"/>
      <c r="N16" s="274"/>
      <c r="O16" s="274"/>
      <c r="P16" s="274"/>
      <c r="Q16" s="274"/>
      <c r="R16" s="274"/>
      <c r="S16" s="274"/>
      <c r="T16" s="274"/>
      <c r="U16" s="274"/>
      <c r="V16" s="274"/>
      <c r="W16" s="274"/>
      <c r="X16" s="274"/>
      <c r="Y16" s="274"/>
      <c r="AA16" s="275" t="s">
        <v>66</v>
      </c>
      <c r="AB16" s="268"/>
      <c r="AC16" s="268"/>
      <c r="AD16" s="268"/>
      <c r="AE16" s="268"/>
      <c r="AG16" s="275" t="s">
        <v>119</v>
      </c>
      <c r="AH16" s="268"/>
      <c r="AI16" s="245"/>
      <c r="AJ16" s="1">
        <f t="shared" si="4"/>
        <v>2034</v>
      </c>
      <c r="AK16" s="121" t="str">
        <f t="shared" ca="1" si="0"/>
        <v>#REF!</v>
      </c>
      <c r="AL16" s="121" t="str">
        <f t="shared" ca="1" si="1"/>
        <v>#REF!</v>
      </c>
      <c r="AM16" s="121" t="str">
        <f t="shared" ca="1" si="2"/>
        <v>#REF!</v>
      </c>
      <c r="AN16" s="122" t="str">
        <f t="shared" ca="1" si="3"/>
        <v>#REF!</v>
      </c>
    </row>
    <row r="17" spans="2:45">
      <c r="B17" s="227" t="s">
        <v>151</v>
      </c>
      <c r="C17" s="227"/>
      <c r="D17" s="196">
        <f>Macro!C17</f>
        <v>2024</v>
      </c>
      <c r="E17" s="196">
        <f>Macro!D17</f>
        <v>2025</v>
      </c>
      <c r="F17" s="196">
        <f>Macro!E17</f>
        <v>2026</v>
      </c>
      <c r="G17" s="196">
        <f>Macro!F17</f>
        <v>2027</v>
      </c>
      <c r="H17" s="196">
        <f>Macro!G17</f>
        <v>2028</v>
      </c>
      <c r="I17" s="196">
        <f>Macro!H17</f>
        <v>2029</v>
      </c>
      <c r="J17" s="196">
        <f>Macro!I17</f>
        <v>2030</v>
      </c>
      <c r="K17" s="196">
        <f>Macro!J17</f>
        <v>2031</v>
      </c>
      <c r="L17" s="196">
        <f>Macro!K17</f>
        <v>2032</v>
      </c>
      <c r="M17" s="196">
        <f>Macro!L17</f>
        <v>2033</v>
      </c>
      <c r="N17" s="196">
        <f>Macro!M17</f>
        <v>2034</v>
      </c>
      <c r="O17" s="196">
        <f>Macro!N17</f>
        <v>2035</v>
      </c>
      <c r="P17" s="196">
        <f>Macro!O17</f>
        <v>2036</v>
      </c>
      <c r="Q17" s="196">
        <f>Macro!P17</f>
        <v>2037</v>
      </c>
      <c r="R17" s="196">
        <f>Macro!Q17</f>
        <v>2038</v>
      </c>
      <c r="S17" s="196">
        <f>Macro!R17</f>
        <v>2039</v>
      </c>
      <c r="T17" s="196">
        <f>Macro!S17</f>
        <v>2040</v>
      </c>
      <c r="U17" s="196">
        <f>Macro!T17</f>
        <v>2041</v>
      </c>
      <c r="V17" s="196">
        <f>Macro!U17</f>
        <v>2042</v>
      </c>
      <c r="W17" s="196">
        <f>Macro!V17</f>
        <v>2043</v>
      </c>
      <c r="X17" s="196">
        <f>Macro!W17</f>
        <v>2044</v>
      </c>
      <c r="Y17" s="196">
        <f>Macro!X17</f>
        <v>2045</v>
      </c>
      <c r="AA17" s="196" t="s">
        <v>69</v>
      </c>
      <c r="AB17" s="196" t="s">
        <v>70</v>
      </c>
      <c r="AC17" s="196" t="s">
        <v>71</v>
      </c>
      <c r="AD17" s="196" t="s">
        <v>72</v>
      </c>
      <c r="AE17" s="196" t="s">
        <v>73</v>
      </c>
      <c r="AG17" s="196">
        <f>D17</f>
        <v>2024</v>
      </c>
      <c r="AH17" s="196">
        <f>Y17</f>
        <v>2045</v>
      </c>
      <c r="AI17" s="245"/>
      <c r="AJ17" s="54">
        <f t="shared" si="4"/>
        <v>2035</v>
      </c>
      <c r="AK17" s="127" t="str">
        <f t="shared" ca="1" si="0"/>
        <v>#REF!</v>
      </c>
      <c r="AL17" s="127" t="str">
        <f t="shared" ca="1" si="1"/>
        <v>#REF!</v>
      </c>
      <c r="AM17" s="127" t="str">
        <f t="shared" ca="1" si="2"/>
        <v>#REF!</v>
      </c>
      <c r="AN17" s="128" t="str">
        <f t="shared" ca="1" si="3"/>
        <v>#REF!</v>
      </c>
      <c r="AO17" s="245"/>
      <c r="AP17" s="245"/>
      <c r="AQ17" s="245"/>
      <c r="AR17" s="245"/>
      <c r="AS17" s="245"/>
    </row>
    <row r="18" spans="2:45">
      <c r="B18" s="98" t="s">
        <v>122</v>
      </c>
      <c r="D18" s="129">
        <f>D22/D20*10^3-D4</f>
        <v>15384.615384615385</v>
      </c>
      <c r="E18" s="129" t="str">
        <f t="shared" ref="E18:Y18" ca="1" si="6">-E31/E20*10^3</f>
        <v>#REF!</v>
      </c>
      <c r="F18" s="129" t="str">
        <f t="shared" ca="1" si="6"/>
        <v>#REF!</v>
      </c>
      <c r="G18" s="129" t="str">
        <f t="shared" ca="1" si="6"/>
        <v>#REF!</v>
      </c>
      <c r="H18" s="129" t="str">
        <f t="shared" ca="1" si="6"/>
        <v>#REF!</v>
      </c>
      <c r="I18" s="129" t="str">
        <f t="shared" ca="1" si="6"/>
        <v>#REF!</v>
      </c>
      <c r="J18" s="129" t="str">
        <f t="shared" ca="1" si="6"/>
        <v>#REF!</v>
      </c>
      <c r="K18" s="129" t="str">
        <f t="shared" ca="1" si="6"/>
        <v>#REF!</v>
      </c>
      <c r="L18" s="129" t="str">
        <f t="shared" ca="1" si="6"/>
        <v>#REF!</v>
      </c>
      <c r="M18" s="129" t="str">
        <f t="shared" ca="1" si="6"/>
        <v>#REF!</v>
      </c>
      <c r="N18" s="129" t="str">
        <f t="shared" ca="1" si="6"/>
        <v>#REF!</v>
      </c>
      <c r="O18" s="129" t="str">
        <f t="shared" ca="1" si="6"/>
        <v>#REF!</v>
      </c>
      <c r="P18" s="129" t="str">
        <f t="shared" ca="1" si="6"/>
        <v>#REF!</v>
      </c>
      <c r="Q18" s="129" t="str">
        <f t="shared" ca="1" si="6"/>
        <v>#REF!</v>
      </c>
      <c r="R18" s="129" t="str">
        <f t="shared" ca="1" si="6"/>
        <v>#REF!</v>
      </c>
      <c r="S18" s="129" t="str">
        <f t="shared" ca="1" si="6"/>
        <v>#REF!</v>
      </c>
      <c r="T18" s="129" t="str">
        <f t="shared" ca="1" si="6"/>
        <v>#REF!</v>
      </c>
      <c r="U18" s="129" t="str">
        <f t="shared" ca="1" si="6"/>
        <v>#REF!</v>
      </c>
      <c r="V18" s="129" t="str">
        <f t="shared" ca="1" si="6"/>
        <v>#REF!</v>
      </c>
      <c r="W18" s="129" t="str">
        <f t="shared" ca="1" si="6"/>
        <v>#REF!</v>
      </c>
      <c r="X18" s="129" t="str">
        <f t="shared" ca="1" si="6"/>
        <v>#REF!</v>
      </c>
      <c r="Y18" s="129" t="str">
        <f t="shared" ca="1" si="6"/>
        <v>#REF!</v>
      </c>
      <c r="AA18" s="57" t="str">
        <f t="shared" ref="AA18:AA20" ca="1" si="7">IFERROR((E18/D18)-1,"")</f>
        <v/>
      </c>
      <c r="AB18" s="57" t="str">
        <f t="shared" ref="AB18:AB20" ca="1" si="8">IFERROR((J18/D18)^(1/6)-1,"")</f>
        <v/>
      </c>
      <c r="AC18" s="57" t="str">
        <f t="shared" ref="AC18:AC20" ca="1" si="9">IFERROR((O18/D18)^(1/11)-1,"")</f>
        <v/>
      </c>
      <c r="AD18" s="57" t="str">
        <f t="shared" ref="AD18:AD20" ca="1" si="10">IFERROR((T18/D18)^(1/16)-1,"")</f>
        <v/>
      </c>
      <c r="AE18" s="57"/>
      <c r="AJ18" s="1">
        <f t="shared" si="4"/>
        <v>2036</v>
      </c>
      <c r="AK18" s="121" t="str">
        <f t="shared" ca="1" si="0"/>
        <v>#REF!</v>
      </c>
      <c r="AL18" s="121" t="str">
        <f t="shared" ca="1" si="1"/>
        <v>#REF!</v>
      </c>
      <c r="AM18" s="121" t="str">
        <f t="shared" ca="1" si="2"/>
        <v>#REF!</v>
      </c>
      <c r="AN18" s="122" t="str">
        <f t="shared" ca="1" si="3"/>
        <v>#REF!</v>
      </c>
    </row>
    <row r="19" spans="2:45" ht="15" customHeight="1">
      <c r="B19" s="231" t="s">
        <v>123</v>
      </c>
      <c r="C19" s="231"/>
      <c r="D19" s="243">
        <f t="shared" ref="D19:Y19" si="11">D22/D20*10^3</f>
        <v>15384.615384615385</v>
      </c>
      <c r="E19" s="243" t="str">
        <f t="shared" ca="1" si="11"/>
        <v>#REF!</v>
      </c>
      <c r="F19" s="243" t="str">
        <f t="shared" ca="1" si="11"/>
        <v>#REF!</v>
      </c>
      <c r="G19" s="243" t="str">
        <f t="shared" ca="1" si="11"/>
        <v>#REF!</v>
      </c>
      <c r="H19" s="243" t="str">
        <f t="shared" ca="1" si="11"/>
        <v>#REF!</v>
      </c>
      <c r="I19" s="243" t="str">
        <f t="shared" ca="1" si="11"/>
        <v>#REF!</v>
      </c>
      <c r="J19" s="243" t="str">
        <f t="shared" ca="1" si="11"/>
        <v>#REF!</v>
      </c>
      <c r="K19" s="243" t="str">
        <f t="shared" ca="1" si="11"/>
        <v>#REF!</v>
      </c>
      <c r="L19" s="243" t="str">
        <f t="shared" ca="1" si="11"/>
        <v>#REF!</v>
      </c>
      <c r="M19" s="243" t="str">
        <f t="shared" ca="1" si="11"/>
        <v>#REF!</v>
      </c>
      <c r="N19" s="243" t="str">
        <f t="shared" ca="1" si="11"/>
        <v>#REF!</v>
      </c>
      <c r="O19" s="243" t="str">
        <f t="shared" ca="1" si="11"/>
        <v>#REF!</v>
      </c>
      <c r="P19" s="243" t="str">
        <f t="shared" ca="1" si="11"/>
        <v>#REF!</v>
      </c>
      <c r="Q19" s="243" t="str">
        <f t="shared" ca="1" si="11"/>
        <v>#REF!</v>
      </c>
      <c r="R19" s="243" t="str">
        <f t="shared" ca="1" si="11"/>
        <v>#REF!</v>
      </c>
      <c r="S19" s="243" t="str">
        <f t="shared" ca="1" si="11"/>
        <v>#REF!</v>
      </c>
      <c r="T19" s="243" t="str">
        <f t="shared" ca="1" si="11"/>
        <v>#REF!</v>
      </c>
      <c r="U19" s="243" t="str">
        <f t="shared" ca="1" si="11"/>
        <v>#REF!</v>
      </c>
      <c r="V19" s="243" t="str">
        <f t="shared" ca="1" si="11"/>
        <v>#REF!</v>
      </c>
      <c r="W19" s="243" t="str">
        <f t="shared" ca="1" si="11"/>
        <v>#REF!</v>
      </c>
      <c r="X19" s="243" t="str">
        <f t="shared" ca="1" si="11"/>
        <v>#REF!</v>
      </c>
      <c r="Y19" s="243" t="str">
        <f t="shared" ca="1" si="11"/>
        <v>#REF!</v>
      </c>
      <c r="AA19" s="206" t="str">
        <f t="shared" ca="1" si="7"/>
        <v/>
      </c>
      <c r="AB19" s="206" t="str">
        <f t="shared" ca="1" si="8"/>
        <v/>
      </c>
      <c r="AC19" s="206" t="str">
        <f t="shared" ca="1" si="9"/>
        <v/>
      </c>
      <c r="AD19" s="206" t="str">
        <f t="shared" ca="1" si="10"/>
        <v/>
      </c>
      <c r="AE19" s="206" t="str">
        <f t="shared" ref="AE19:AE20" ca="1" si="12">IFERROR((Y19/D19)^(1/21)-1,"")</f>
        <v/>
      </c>
      <c r="AG19" s="204"/>
      <c r="AH19" s="204"/>
      <c r="AJ19" s="1">
        <f t="shared" si="4"/>
        <v>2037</v>
      </c>
      <c r="AK19" s="121" t="str">
        <f t="shared" ca="1" si="0"/>
        <v>#REF!</v>
      </c>
      <c r="AL19" s="121" t="str">
        <f t="shared" ca="1" si="1"/>
        <v>#REF!</v>
      </c>
      <c r="AM19" s="121" t="str">
        <f t="shared" ca="1" si="2"/>
        <v>#REF!</v>
      </c>
      <c r="AN19" s="122" t="str">
        <f t="shared" ca="1" si="3"/>
        <v>#REF!</v>
      </c>
    </row>
    <row r="20" spans="2:45">
      <c r="B20" s="98" t="s">
        <v>75</v>
      </c>
      <c r="D20" s="79">
        <f>Macro!C20</f>
        <v>65</v>
      </c>
      <c r="E20" s="79">
        <f>Macro!D20</f>
        <v>97.5</v>
      </c>
      <c r="F20" s="79">
        <f>Macro!E20</f>
        <v>143.8125</v>
      </c>
      <c r="G20" s="79">
        <f>Macro!F20</f>
        <v>208.52812499999999</v>
      </c>
      <c r="H20" s="79">
        <f>Macro!G20</f>
        <v>297.15257812499993</v>
      </c>
      <c r="I20" s="79">
        <f>Macro!H20</f>
        <v>416.01360937499987</v>
      </c>
      <c r="J20" s="79">
        <f>Macro!I20</f>
        <v>572.01871289062478</v>
      </c>
      <c r="K20" s="79">
        <f>Macro!J20</f>
        <v>772.22526240234333</v>
      </c>
      <c r="L20" s="79">
        <f>Macro!K20</f>
        <v>1023.1984726831047</v>
      </c>
      <c r="M20" s="79">
        <f>Macro!L20</f>
        <v>1330.1580144880359</v>
      </c>
      <c r="N20" s="79">
        <f>Macro!M20</f>
        <v>1695.9514684722456</v>
      </c>
      <c r="O20" s="79">
        <f>Macro!N20</f>
        <v>2119.9393355903067</v>
      </c>
      <c r="P20" s="79">
        <f>Macro!O20</f>
        <v>2596.9256860981254</v>
      </c>
      <c r="Q20" s="79">
        <f>Macro!P20</f>
        <v>3116.3108233177504</v>
      </c>
      <c r="R20" s="79">
        <f>Macro!Q20</f>
        <v>3739.5729879813002</v>
      </c>
      <c r="S20" s="79">
        <f>Macro!R20</f>
        <v>4487.4875855775599</v>
      </c>
      <c r="T20" s="79">
        <f>Macro!S20</f>
        <v>5384.9851026930719</v>
      </c>
      <c r="U20" s="79">
        <f>Macro!T20</f>
        <v>6461.9821232316863</v>
      </c>
      <c r="V20" s="79">
        <f>Macro!U20</f>
        <v>7754.3785478780228</v>
      </c>
      <c r="W20" s="79">
        <f>Macro!V20</f>
        <v>9305.2542574536274</v>
      </c>
      <c r="X20" s="79">
        <f>Macro!W20</f>
        <v>11166.305108944352</v>
      </c>
      <c r="Y20" s="79">
        <f>Macro!X20</f>
        <v>13399.566130733223</v>
      </c>
      <c r="AA20" s="57">
        <f t="shared" si="7"/>
        <v>0.5</v>
      </c>
      <c r="AB20" s="57">
        <f t="shared" si="8"/>
        <v>0.43686559725988783</v>
      </c>
      <c r="AC20" s="57">
        <f t="shared" si="9"/>
        <v>0.37272244333469207</v>
      </c>
      <c r="AD20" s="57">
        <f t="shared" si="10"/>
        <v>0.31792879499327231</v>
      </c>
      <c r="AE20" s="57">
        <f t="shared" si="12"/>
        <v>0.28883975252734717</v>
      </c>
      <c r="AJ20" s="1">
        <f t="shared" si="4"/>
        <v>2038</v>
      </c>
      <c r="AK20" s="121" t="str">
        <f t="shared" ca="1" si="0"/>
        <v>#REF!</v>
      </c>
      <c r="AL20" s="121" t="str">
        <f t="shared" ca="1" si="1"/>
        <v>#REF!</v>
      </c>
      <c r="AM20" s="121" t="str">
        <f t="shared" ca="1" si="2"/>
        <v>#REF!</v>
      </c>
      <c r="AN20" s="122" t="str">
        <f t="shared" ca="1" si="3"/>
        <v>#REF!</v>
      </c>
    </row>
    <row r="21" spans="2:45" ht="15.75" customHeight="1">
      <c r="B21" s="197" t="s">
        <v>210</v>
      </c>
      <c r="C21" s="198"/>
      <c r="D21" s="233"/>
      <c r="E21" s="233"/>
      <c r="F21" s="233"/>
      <c r="G21" s="233"/>
      <c r="H21" s="233"/>
      <c r="I21" s="233"/>
      <c r="J21" s="233"/>
      <c r="K21" s="233"/>
      <c r="L21" s="233"/>
      <c r="M21" s="233"/>
      <c r="N21" s="233"/>
      <c r="O21" s="233"/>
      <c r="P21" s="233"/>
      <c r="Q21" s="233"/>
      <c r="R21" s="233"/>
      <c r="S21" s="233"/>
      <c r="T21" s="233"/>
      <c r="U21" s="233"/>
      <c r="V21" s="233"/>
      <c r="W21" s="233"/>
      <c r="X21" s="233"/>
      <c r="Y21" s="233"/>
      <c r="AA21" s="57"/>
      <c r="AB21" s="57"/>
      <c r="AC21" s="57"/>
      <c r="AD21" s="57"/>
      <c r="AE21" s="200"/>
      <c r="AG21" s="198"/>
      <c r="AH21" s="198"/>
      <c r="AJ21" s="1">
        <f t="shared" si="4"/>
        <v>2039</v>
      </c>
      <c r="AK21" s="121" t="str">
        <f t="shared" ca="1" si="0"/>
        <v>#REF!</v>
      </c>
      <c r="AL21" s="121" t="str">
        <f t="shared" ca="1" si="1"/>
        <v>#REF!</v>
      </c>
      <c r="AM21" s="121" t="str">
        <f t="shared" ca="1" si="2"/>
        <v>#REF!</v>
      </c>
      <c r="AN21" s="122" t="str">
        <f t="shared" ca="1" si="3"/>
        <v>#REF!</v>
      </c>
    </row>
    <row r="22" spans="2:45" ht="15.75" customHeight="1">
      <c r="B22" s="8" t="s">
        <v>57</v>
      </c>
      <c r="D22" s="109">
        <f>$V$12*$D$5+D4*D20/10^3</f>
        <v>1000</v>
      </c>
      <c r="E22" s="79" t="str">
        <f ca="1">IFERROR(D22*(1+Macro!D52)-E31,0)</f>
        <v>#REF!</v>
      </c>
      <c r="F22" s="79" t="str">
        <f ca="1">IFERROR(E22*(1+Macro!E52)-F31,0)</f>
        <v>#REF!</v>
      </c>
      <c r="G22" s="79" t="str">
        <f ca="1">IFERROR(F22*(1+Macro!F52)-G31,0)</f>
        <v>#REF!</v>
      </c>
      <c r="H22" s="79" t="str">
        <f ca="1">IFERROR(G22*(1+Macro!G52)-H31,0)</f>
        <v>#REF!</v>
      </c>
      <c r="I22" s="79" t="str">
        <f ca="1">IFERROR(H22*(1+Macro!H52)-I31,0)</f>
        <v>#REF!</v>
      </c>
      <c r="J22" s="79" t="str">
        <f ca="1">IFERROR(I22*(1+Macro!I52)-J31,0)</f>
        <v>#REF!</v>
      </c>
      <c r="K22" s="79" t="str">
        <f ca="1">IFERROR(J22*(1+Macro!J52)-K31,0)</f>
        <v>#REF!</v>
      </c>
      <c r="L22" s="79" t="str">
        <f ca="1">IFERROR(K22*(1+Macro!K52)-L31,0)</f>
        <v>#REF!</v>
      </c>
      <c r="M22" s="79" t="str">
        <f ca="1">IFERROR(L22*(1+Macro!L52)-M31,0)</f>
        <v>#REF!</v>
      </c>
      <c r="N22" s="79" t="str">
        <f ca="1">IFERROR(M22*(1+Macro!M52)-N31,0)</f>
        <v>#REF!</v>
      </c>
      <c r="O22" s="79" t="str">
        <f ca="1">IFERROR(N22*(1+Macro!N52)-O31,0)</f>
        <v>#REF!</v>
      </c>
      <c r="P22" s="79" t="str">
        <f ca="1">IFERROR(O22*(1+Macro!O52)-P31,0)</f>
        <v>#REF!</v>
      </c>
      <c r="Q22" s="79" t="str">
        <f ca="1">IFERROR(P22*(1+Macro!P52)-Q31,0)</f>
        <v>#REF!</v>
      </c>
      <c r="R22" s="79" t="str">
        <f ca="1">IFERROR(Q22*(1+Macro!Q52)-R31,0)</f>
        <v>#REF!</v>
      </c>
      <c r="S22" s="79" t="str">
        <f ca="1">IFERROR(R22*(1+Macro!R52)-S31,0)</f>
        <v>#REF!</v>
      </c>
      <c r="T22" s="79" t="str">
        <f ca="1">IFERROR(S22*(1+Macro!S52)-T31,0)</f>
        <v>#REF!</v>
      </c>
      <c r="U22" s="79" t="str">
        <f ca="1">IFERROR(T22*(1+Macro!T52)-U31,0)</f>
        <v>#REF!</v>
      </c>
      <c r="V22" s="79" t="str">
        <f ca="1">IFERROR(U22*(1+Macro!U52)-V31,0)</f>
        <v>#REF!</v>
      </c>
      <c r="W22" s="79" t="str">
        <f ca="1">IFERROR(V22*(1+Macro!V52)-W31,0)</f>
        <v>#REF!</v>
      </c>
      <c r="X22" s="79" t="str">
        <f ca="1">IFERROR(W22*(1+Macro!W52)-X31,0)</f>
        <v>#REF!</v>
      </c>
      <c r="Y22" s="79" t="str">
        <f ca="1">IFERROR(X22*(1+Macro!X52)-Y31,0)</f>
        <v>#REF!</v>
      </c>
      <c r="AA22" s="57" t="str">
        <f t="shared" ref="AA22:AA28" ca="1" si="13">IFERROR((E22/D22)-1,"")</f>
        <v/>
      </c>
      <c r="AB22" s="57" t="str">
        <f t="shared" ref="AB22:AB28" ca="1" si="14">IFERROR((J22/D22)^(1/6)-1,"")</f>
        <v/>
      </c>
      <c r="AC22" s="57" t="str">
        <f t="shared" ref="AC22:AC28" ca="1" si="15">IFERROR((O22/D22)^(1/11)-1,"")</f>
        <v/>
      </c>
      <c r="AD22" s="57" t="str">
        <f t="shared" ref="AD22:AD28" ca="1" si="16">IFERROR((T22/D22)^(1/16)-1,"")</f>
        <v/>
      </c>
      <c r="AE22" s="57" t="str">
        <f t="shared" ref="AE22:AE28" ca="1" si="17">IFERROR((Y22/D22)^(1/21)-1,"")</f>
        <v/>
      </c>
      <c r="AG22" s="57">
        <f t="shared" ref="AG22:AG28" si="18">D22/D$28</f>
        <v>1</v>
      </c>
      <c r="AH22" s="57" t="str">
        <f t="shared" ref="AH22:AH28" ca="1" si="19">Y22/Y$28</f>
        <v>#REF!</v>
      </c>
      <c r="AI22" s="57"/>
      <c r="AJ22" s="54">
        <f t="shared" si="4"/>
        <v>2040</v>
      </c>
      <c r="AK22" s="127" t="str">
        <f t="shared" ca="1" si="0"/>
        <v>#REF!</v>
      </c>
      <c r="AL22" s="127" t="str">
        <f t="shared" ca="1" si="1"/>
        <v>#REF!</v>
      </c>
      <c r="AM22" s="127" t="str">
        <f t="shared" ca="1" si="2"/>
        <v>#REF!</v>
      </c>
      <c r="AN22" s="128" t="str">
        <f t="shared" ca="1" si="3"/>
        <v>#REF!</v>
      </c>
      <c r="AO22" s="57"/>
      <c r="AP22" s="57"/>
      <c r="AQ22" s="57"/>
      <c r="AR22" s="57"/>
      <c r="AS22" s="57"/>
    </row>
    <row r="23" spans="2:45" ht="15.75" customHeight="1">
      <c r="B23" s="8" t="s">
        <v>49</v>
      </c>
      <c r="D23" s="109">
        <f t="shared" ref="D23:D27" si="20">$D$5*$O5*(1-$V$12)</f>
        <v>0</v>
      </c>
      <c r="E23" s="79">
        <f>D23*(1+Macro!D69)</f>
        <v>0</v>
      </c>
      <c r="F23" s="79">
        <f>E23*(1+Macro!E69)</f>
        <v>0</v>
      </c>
      <c r="G23" s="79">
        <f>F23*(1+Macro!F69)</f>
        <v>0</v>
      </c>
      <c r="H23" s="79">
        <f>G23*(1+Macro!G69)</f>
        <v>0</v>
      </c>
      <c r="I23" s="79">
        <f>H23*(1+Macro!H69)</f>
        <v>0</v>
      </c>
      <c r="J23" s="79">
        <f>I23*(1+Macro!I69)</f>
        <v>0</v>
      </c>
      <c r="K23" s="79">
        <f>J23*(1+Macro!J69)</f>
        <v>0</v>
      </c>
      <c r="L23" s="79">
        <f>K23*(1+Macro!K69)</f>
        <v>0</v>
      </c>
      <c r="M23" s="79">
        <f>L23*(1+Macro!L69)</f>
        <v>0</v>
      </c>
      <c r="N23" s="79">
        <f>M23*(1+Macro!M69)</f>
        <v>0</v>
      </c>
      <c r="O23" s="79">
        <f>N23*(1+Macro!N69)</f>
        <v>0</v>
      </c>
      <c r="P23" s="79">
        <f>O23*(1+Macro!O69)</f>
        <v>0</v>
      </c>
      <c r="Q23" s="79">
        <f>P23*(1+Macro!P69)</f>
        <v>0</v>
      </c>
      <c r="R23" s="79">
        <f>Q23*(1+Macro!Q69)</f>
        <v>0</v>
      </c>
      <c r="S23" s="79">
        <f>R23*(1+Macro!R69)</f>
        <v>0</v>
      </c>
      <c r="T23" s="79">
        <f>S23*(1+Macro!S69)</f>
        <v>0</v>
      </c>
      <c r="U23" s="79">
        <f>T23*(1+Macro!T69)</f>
        <v>0</v>
      </c>
      <c r="V23" s="79">
        <f>U23*(1+Macro!U69)</f>
        <v>0</v>
      </c>
      <c r="W23" s="79">
        <f>V23*(1+Macro!V69)</f>
        <v>0</v>
      </c>
      <c r="X23" s="79">
        <f>W23*(1+Macro!W69)</f>
        <v>0</v>
      </c>
      <c r="Y23" s="79">
        <f>X23*(1+Macro!X69)</f>
        <v>0</v>
      </c>
      <c r="AA23" s="57" t="str">
        <f t="shared" si="13"/>
        <v/>
      </c>
      <c r="AB23" s="57" t="str">
        <f t="shared" si="14"/>
        <v/>
      </c>
      <c r="AC23" s="57" t="str">
        <f t="shared" si="15"/>
        <v/>
      </c>
      <c r="AD23" s="57" t="str">
        <f t="shared" si="16"/>
        <v/>
      </c>
      <c r="AE23" s="57" t="str">
        <f t="shared" si="17"/>
        <v/>
      </c>
      <c r="AG23" s="57">
        <f t="shared" si="18"/>
        <v>0</v>
      </c>
      <c r="AH23" s="57" t="str">
        <f t="shared" ca="1" si="19"/>
        <v>#REF!</v>
      </c>
      <c r="AI23" s="57"/>
      <c r="AJ23" s="1">
        <f t="shared" si="4"/>
        <v>2041</v>
      </c>
      <c r="AK23" s="121" t="str">
        <f t="shared" ca="1" si="0"/>
        <v>#REF!</v>
      </c>
      <c r="AL23" s="121" t="str">
        <f t="shared" ca="1" si="1"/>
        <v>#REF!</v>
      </c>
      <c r="AM23" s="121" t="str">
        <f t="shared" ca="1" si="2"/>
        <v>#REF!</v>
      </c>
      <c r="AN23" s="122" t="str">
        <f t="shared" ca="1" si="3"/>
        <v>#REF!</v>
      </c>
      <c r="AO23" s="57"/>
      <c r="AP23" s="57"/>
      <c r="AQ23" s="57"/>
      <c r="AR23" s="57"/>
      <c r="AS23" s="57"/>
    </row>
    <row r="24" spans="2:45" ht="15.75" customHeight="1">
      <c r="B24" s="8" t="s">
        <v>53</v>
      </c>
      <c r="D24" s="109">
        <f t="shared" si="20"/>
        <v>0</v>
      </c>
      <c r="E24" s="79">
        <f>D24*(1+Macro!D71)</f>
        <v>0</v>
      </c>
      <c r="F24" s="79">
        <f>E24*(1+Macro!E71)</f>
        <v>0</v>
      </c>
      <c r="G24" s="79">
        <f>F24*(1+Macro!F71)</f>
        <v>0</v>
      </c>
      <c r="H24" s="79">
        <f>G24*(1+Macro!G71)</f>
        <v>0</v>
      </c>
      <c r="I24" s="79">
        <f>H24*(1+Macro!H71)</f>
        <v>0</v>
      </c>
      <c r="J24" s="79">
        <f>I24*(1+Macro!I71)</f>
        <v>0</v>
      </c>
      <c r="K24" s="79">
        <f>J24*(1+Macro!J71)</f>
        <v>0</v>
      </c>
      <c r="L24" s="79">
        <f>K24*(1+Macro!K71)</f>
        <v>0</v>
      </c>
      <c r="M24" s="79">
        <f>L24*(1+Macro!L71)</f>
        <v>0</v>
      </c>
      <c r="N24" s="79">
        <f>M24*(1+Macro!M71)</f>
        <v>0</v>
      </c>
      <c r="O24" s="79">
        <f>N24*(1+Macro!N71)</f>
        <v>0</v>
      </c>
      <c r="P24" s="79">
        <f>O24*(1+Macro!O71)</f>
        <v>0</v>
      </c>
      <c r="Q24" s="79">
        <f>P24*(1+Macro!P71)</f>
        <v>0</v>
      </c>
      <c r="R24" s="79">
        <f>Q24*(1+Macro!Q71)</f>
        <v>0</v>
      </c>
      <c r="S24" s="79">
        <f>R24*(1+Macro!R71)</f>
        <v>0</v>
      </c>
      <c r="T24" s="79">
        <f>S24*(1+Macro!S71)</f>
        <v>0</v>
      </c>
      <c r="U24" s="79">
        <f>T24*(1+Macro!T71)</f>
        <v>0</v>
      </c>
      <c r="V24" s="79">
        <f>U24*(1+Macro!U71)</f>
        <v>0</v>
      </c>
      <c r="W24" s="79">
        <f>V24*(1+Macro!V71)</f>
        <v>0</v>
      </c>
      <c r="X24" s="79">
        <f>W24*(1+Macro!W71)</f>
        <v>0</v>
      </c>
      <c r="Y24" s="79">
        <f>X24*(1+Macro!X71)</f>
        <v>0</v>
      </c>
      <c r="AA24" s="57" t="str">
        <f t="shared" si="13"/>
        <v/>
      </c>
      <c r="AB24" s="57" t="str">
        <f t="shared" si="14"/>
        <v/>
      </c>
      <c r="AC24" s="57" t="str">
        <f t="shared" si="15"/>
        <v/>
      </c>
      <c r="AD24" s="57" t="str">
        <f t="shared" si="16"/>
        <v/>
      </c>
      <c r="AE24" s="57" t="str">
        <f t="shared" si="17"/>
        <v/>
      </c>
      <c r="AG24" s="57">
        <f t="shared" si="18"/>
        <v>0</v>
      </c>
      <c r="AH24" s="57" t="str">
        <f t="shared" ca="1" si="19"/>
        <v>#REF!</v>
      </c>
      <c r="AI24" s="57"/>
      <c r="AJ24" s="1">
        <f t="shared" si="4"/>
        <v>2042</v>
      </c>
      <c r="AK24" s="121" t="str">
        <f t="shared" ca="1" si="0"/>
        <v>#REF!</v>
      </c>
      <c r="AL24" s="121" t="str">
        <f t="shared" ca="1" si="1"/>
        <v>#REF!</v>
      </c>
      <c r="AM24" s="121" t="str">
        <f t="shared" ca="1" si="2"/>
        <v>#REF!</v>
      </c>
      <c r="AN24" s="122" t="str">
        <f t="shared" ca="1" si="3"/>
        <v>#REF!</v>
      </c>
      <c r="AO24" s="57"/>
      <c r="AP24" s="57"/>
      <c r="AQ24" s="57"/>
      <c r="AR24" s="57"/>
      <c r="AS24" s="57"/>
    </row>
    <row r="25" spans="2:45" ht="15.75" customHeight="1">
      <c r="B25" s="8" t="s">
        <v>56</v>
      </c>
      <c r="D25" s="109">
        <f t="shared" si="20"/>
        <v>0</v>
      </c>
      <c r="E25" s="79">
        <f>D25*(1+Macro!D72)</f>
        <v>0</v>
      </c>
      <c r="F25" s="79">
        <f>E25*(1+Macro!E72)</f>
        <v>0</v>
      </c>
      <c r="G25" s="79">
        <f>F25*(1+Macro!F72)</f>
        <v>0</v>
      </c>
      <c r="H25" s="79">
        <f>G25*(1+Macro!G72)</f>
        <v>0</v>
      </c>
      <c r="I25" s="79">
        <f>H25*(1+Macro!H72)</f>
        <v>0</v>
      </c>
      <c r="J25" s="79">
        <f>I25*(1+Macro!I72)</f>
        <v>0</v>
      </c>
      <c r="K25" s="79">
        <f>J25*(1+Macro!J72)</f>
        <v>0</v>
      </c>
      <c r="L25" s="79">
        <f>K25*(1+Macro!K72)</f>
        <v>0</v>
      </c>
      <c r="M25" s="79">
        <f>L25*(1+Macro!L72)</f>
        <v>0</v>
      </c>
      <c r="N25" s="79">
        <f>M25*(1+Macro!M72)</f>
        <v>0</v>
      </c>
      <c r="O25" s="79">
        <f>N25*(1+Macro!N72)</f>
        <v>0</v>
      </c>
      <c r="P25" s="79">
        <f>O25*(1+Macro!O72)</f>
        <v>0</v>
      </c>
      <c r="Q25" s="79">
        <f>P25*(1+Macro!P72)</f>
        <v>0</v>
      </c>
      <c r="R25" s="79">
        <f>Q25*(1+Macro!Q72)</f>
        <v>0</v>
      </c>
      <c r="S25" s="79">
        <f>R25*(1+Macro!R72)</f>
        <v>0</v>
      </c>
      <c r="T25" s="79">
        <f>S25*(1+Macro!S72)</f>
        <v>0</v>
      </c>
      <c r="U25" s="79">
        <f>T25*(1+Macro!T72)</f>
        <v>0</v>
      </c>
      <c r="V25" s="79">
        <f>U25*(1+Macro!U72)</f>
        <v>0</v>
      </c>
      <c r="W25" s="79">
        <f>V25*(1+Macro!V72)</f>
        <v>0</v>
      </c>
      <c r="X25" s="79">
        <f>W25*(1+Macro!W72)</f>
        <v>0</v>
      </c>
      <c r="Y25" s="79">
        <f>X25*(1+Macro!X72)</f>
        <v>0</v>
      </c>
      <c r="AA25" s="57" t="str">
        <f t="shared" si="13"/>
        <v/>
      </c>
      <c r="AB25" s="57" t="str">
        <f t="shared" si="14"/>
        <v/>
      </c>
      <c r="AC25" s="57" t="str">
        <f t="shared" si="15"/>
        <v/>
      </c>
      <c r="AD25" s="57" t="str">
        <f t="shared" si="16"/>
        <v/>
      </c>
      <c r="AE25" s="57" t="str">
        <f t="shared" si="17"/>
        <v/>
      </c>
      <c r="AG25" s="57">
        <f t="shared" si="18"/>
        <v>0</v>
      </c>
      <c r="AH25" s="57" t="str">
        <f t="shared" ca="1" si="19"/>
        <v>#REF!</v>
      </c>
      <c r="AI25" s="57"/>
      <c r="AJ25" s="1">
        <f t="shared" si="4"/>
        <v>2043</v>
      </c>
      <c r="AK25" s="121" t="str">
        <f t="shared" ca="1" si="0"/>
        <v>#REF!</v>
      </c>
      <c r="AL25" s="121" t="str">
        <f t="shared" ca="1" si="1"/>
        <v>#REF!</v>
      </c>
      <c r="AM25" s="121" t="str">
        <f t="shared" ca="1" si="2"/>
        <v>#REF!</v>
      </c>
      <c r="AN25" s="122" t="str">
        <f t="shared" ca="1" si="3"/>
        <v>#REF!</v>
      </c>
      <c r="AO25" s="57"/>
      <c r="AP25" s="57"/>
      <c r="AQ25" s="57"/>
      <c r="AR25" s="57"/>
      <c r="AS25" s="57"/>
    </row>
    <row r="26" spans="2:45" ht="15.75" customHeight="1">
      <c r="B26" s="8" t="s">
        <v>58</v>
      </c>
      <c r="D26" s="109">
        <f t="shared" si="20"/>
        <v>0</v>
      </c>
      <c r="E26" s="79">
        <f>D26*(1+Macro!D75)</f>
        <v>0</v>
      </c>
      <c r="F26" s="79">
        <f>E26*(1+Macro!E75)</f>
        <v>0</v>
      </c>
      <c r="G26" s="79">
        <f>F26*(1+Macro!F75)</f>
        <v>0</v>
      </c>
      <c r="H26" s="79">
        <f>G26*(1+Macro!G75)</f>
        <v>0</v>
      </c>
      <c r="I26" s="79">
        <f>H26*(1+Macro!H75)</f>
        <v>0</v>
      </c>
      <c r="J26" s="79">
        <f>I26*(1+Macro!I75)</f>
        <v>0</v>
      </c>
      <c r="K26" s="79">
        <f>J26*(1+Macro!J75)</f>
        <v>0</v>
      </c>
      <c r="L26" s="79">
        <f>K26*(1+Macro!K75)</f>
        <v>0</v>
      </c>
      <c r="M26" s="79">
        <f>L26*(1+Macro!L75)</f>
        <v>0</v>
      </c>
      <c r="N26" s="79">
        <f>M26*(1+Macro!M75)</f>
        <v>0</v>
      </c>
      <c r="O26" s="79">
        <f>N26*(1+Macro!N75)</f>
        <v>0</v>
      </c>
      <c r="P26" s="79">
        <f>O26*(1+Macro!O75)</f>
        <v>0</v>
      </c>
      <c r="Q26" s="79">
        <f>P26*(1+Macro!P75)</f>
        <v>0</v>
      </c>
      <c r="R26" s="79">
        <f>Q26*(1+Macro!Q75)</f>
        <v>0</v>
      </c>
      <c r="S26" s="79">
        <f>R26*(1+Macro!R75)</f>
        <v>0</v>
      </c>
      <c r="T26" s="79">
        <f>S26*(1+Macro!S75)</f>
        <v>0</v>
      </c>
      <c r="U26" s="79">
        <f>T26*(1+Macro!T75)</f>
        <v>0</v>
      </c>
      <c r="V26" s="79">
        <f>U26*(1+Macro!U75)</f>
        <v>0</v>
      </c>
      <c r="W26" s="79">
        <f>V26*(1+Macro!V75)</f>
        <v>0</v>
      </c>
      <c r="X26" s="79">
        <f>W26*(1+Macro!W75)</f>
        <v>0</v>
      </c>
      <c r="Y26" s="79">
        <f>X26*(1+Macro!X75)</f>
        <v>0</v>
      </c>
      <c r="AA26" s="57" t="str">
        <f t="shared" si="13"/>
        <v/>
      </c>
      <c r="AB26" s="57" t="str">
        <f t="shared" si="14"/>
        <v/>
      </c>
      <c r="AC26" s="57" t="str">
        <f t="shared" si="15"/>
        <v/>
      </c>
      <c r="AD26" s="57" t="str">
        <f t="shared" si="16"/>
        <v/>
      </c>
      <c r="AE26" s="57" t="str">
        <f t="shared" si="17"/>
        <v/>
      </c>
      <c r="AG26" s="57">
        <f t="shared" si="18"/>
        <v>0</v>
      </c>
      <c r="AH26" s="57" t="str">
        <f t="shared" ca="1" si="19"/>
        <v>#REF!</v>
      </c>
      <c r="AI26" s="57"/>
      <c r="AJ26" s="1">
        <f t="shared" si="4"/>
        <v>2044</v>
      </c>
      <c r="AK26" s="121" t="str">
        <f t="shared" ca="1" si="0"/>
        <v>#REF!</v>
      </c>
      <c r="AL26" s="121" t="str">
        <f t="shared" ca="1" si="1"/>
        <v>#REF!</v>
      </c>
      <c r="AM26" s="121" t="str">
        <f t="shared" ca="1" si="2"/>
        <v>#REF!</v>
      </c>
      <c r="AN26" s="122" t="str">
        <f t="shared" ca="1" si="3"/>
        <v>#REF!</v>
      </c>
      <c r="AO26" s="57"/>
      <c r="AP26" s="57"/>
      <c r="AQ26" s="57"/>
      <c r="AR26" s="57"/>
      <c r="AS26" s="57"/>
    </row>
    <row r="27" spans="2:45" ht="15.75" customHeight="1">
      <c r="B27" s="8" t="s">
        <v>60</v>
      </c>
      <c r="D27" s="79">
        <f t="shared" si="20"/>
        <v>0</v>
      </c>
      <c r="E27" s="79">
        <f>D27*(1+Macro!D76)</f>
        <v>0</v>
      </c>
      <c r="F27" s="79">
        <f>E27*(1+Macro!E76)</f>
        <v>0</v>
      </c>
      <c r="G27" s="79">
        <f>F27*(1+Macro!F76)</f>
        <v>0</v>
      </c>
      <c r="H27" s="79">
        <f>G27*(1+Macro!G76)</f>
        <v>0</v>
      </c>
      <c r="I27" s="79">
        <f>H27*(1+Macro!H76)</f>
        <v>0</v>
      </c>
      <c r="J27" s="79">
        <f>I27*(1+Macro!I76)</f>
        <v>0</v>
      </c>
      <c r="K27" s="79">
        <f>J27*(1+Macro!J76)</f>
        <v>0</v>
      </c>
      <c r="L27" s="79">
        <f>K27*(1+Macro!K76)</f>
        <v>0</v>
      </c>
      <c r="M27" s="79">
        <f>L27*(1+Macro!L76)</f>
        <v>0</v>
      </c>
      <c r="N27" s="79">
        <f>M27*(1+Macro!M76)</f>
        <v>0</v>
      </c>
      <c r="O27" s="79">
        <f>N27*(1+Macro!N76)</f>
        <v>0</v>
      </c>
      <c r="P27" s="79">
        <f>O27*(1+Macro!O76)</f>
        <v>0</v>
      </c>
      <c r="Q27" s="79">
        <f>P27*(1+Macro!P76)</f>
        <v>0</v>
      </c>
      <c r="R27" s="79">
        <f>Q27*(1+Macro!Q76)</f>
        <v>0</v>
      </c>
      <c r="S27" s="79">
        <f>R27*(1+Macro!R76)</f>
        <v>0</v>
      </c>
      <c r="T27" s="79">
        <f>S27*(1+Macro!S76)</f>
        <v>0</v>
      </c>
      <c r="U27" s="79">
        <f>T27*(1+Macro!T76)</f>
        <v>0</v>
      </c>
      <c r="V27" s="79">
        <f>U27*(1+Macro!U76)</f>
        <v>0</v>
      </c>
      <c r="W27" s="79">
        <f>V27*(1+Macro!V76)</f>
        <v>0</v>
      </c>
      <c r="X27" s="79">
        <f>W27*(1+Macro!W76)</f>
        <v>0</v>
      </c>
      <c r="Y27" s="79">
        <f>X27*(1+Macro!X76)</f>
        <v>0</v>
      </c>
      <c r="AA27" s="57" t="str">
        <f t="shared" si="13"/>
        <v/>
      </c>
      <c r="AB27" s="57" t="str">
        <f t="shared" si="14"/>
        <v/>
      </c>
      <c r="AC27" s="57" t="str">
        <f t="shared" si="15"/>
        <v/>
      </c>
      <c r="AD27" s="57" t="str">
        <f t="shared" si="16"/>
        <v/>
      </c>
      <c r="AE27" s="57" t="str">
        <f t="shared" si="17"/>
        <v/>
      </c>
      <c r="AG27" s="57">
        <f t="shared" si="18"/>
        <v>0</v>
      </c>
      <c r="AH27" s="57" t="str">
        <f t="shared" ca="1" si="19"/>
        <v>#REF!</v>
      </c>
      <c r="AI27" s="57"/>
      <c r="AJ27" s="54">
        <f t="shared" si="4"/>
        <v>2045</v>
      </c>
      <c r="AK27" s="127" t="str">
        <f t="shared" ca="1" si="0"/>
        <v>#REF!</v>
      </c>
      <c r="AL27" s="127" t="str">
        <f t="shared" ca="1" si="1"/>
        <v>#REF!</v>
      </c>
      <c r="AM27" s="127" t="str">
        <f t="shared" ca="1" si="2"/>
        <v>#REF!</v>
      </c>
      <c r="AN27" s="128" t="str">
        <f t="shared" ca="1" si="3"/>
        <v>#REF!</v>
      </c>
      <c r="AO27" s="86"/>
      <c r="AP27" s="86"/>
      <c r="AQ27" s="86"/>
      <c r="AR27" s="86"/>
      <c r="AS27" s="86"/>
    </row>
    <row r="28" spans="2:45" ht="15.75" customHeight="1">
      <c r="B28" s="82" t="s">
        <v>211</v>
      </c>
      <c r="C28" s="82"/>
      <c r="D28" s="110">
        <f t="shared" ref="D28:Y28" si="21">SUM(D22:D27)</f>
        <v>1000</v>
      </c>
      <c r="E28" s="110" t="str">
        <f t="shared" ca="1" si="21"/>
        <v>#REF!</v>
      </c>
      <c r="F28" s="110" t="str">
        <f t="shared" ca="1" si="21"/>
        <v>#REF!</v>
      </c>
      <c r="G28" s="110" t="str">
        <f t="shared" ca="1" si="21"/>
        <v>#REF!</v>
      </c>
      <c r="H28" s="110" t="str">
        <f t="shared" ca="1" si="21"/>
        <v>#REF!</v>
      </c>
      <c r="I28" s="110" t="str">
        <f t="shared" ca="1" si="21"/>
        <v>#REF!</v>
      </c>
      <c r="J28" s="110" t="str">
        <f t="shared" ca="1" si="21"/>
        <v>#REF!</v>
      </c>
      <c r="K28" s="110" t="str">
        <f t="shared" ca="1" si="21"/>
        <v>#REF!</v>
      </c>
      <c r="L28" s="110" t="str">
        <f t="shared" ca="1" si="21"/>
        <v>#REF!</v>
      </c>
      <c r="M28" s="110" t="str">
        <f t="shared" ca="1" si="21"/>
        <v>#REF!</v>
      </c>
      <c r="N28" s="110" t="str">
        <f t="shared" ca="1" si="21"/>
        <v>#REF!</v>
      </c>
      <c r="O28" s="110" t="str">
        <f t="shared" ca="1" si="21"/>
        <v>#REF!</v>
      </c>
      <c r="P28" s="110" t="str">
        <f t="shared" ca="1" si="21"/>
        <v>#REF!</v>
      </c>
      <c r="Q28" s="110" t="str">
        <f t="shared" ca="1" si="21"/>
        <v>#REF!</v>
      </c>
      <c r="R28" s="110" t="str">
        <f t="shared" ca="1" si="21"/>
        <v>#REF!</v>
      </c>
      <c r="S28" s="110" t="str">
        <f t="shared" ca="1" si="21"/>
        <v>#REF!</v>
      </c>
      <c r="T28" s="110" t="str">
        <f t="shared" ca="1" si="21"/>
        <v>#REF!</v>
      </c>
      <c r="U28" s="110" t="str">
        <f t="shared" ca="1" si="21"/>
        <v>#REF!</v>
      </c>
      <c r="V28" s="110" t="str">
        <f t="shared" ca="1" si="21"/>
        <v>#REF!</v>
      </c>
      <c r="W28" s="110" t="str">
        <f t="shared" ca="1" si="21"/>
        <v>#REF!</v>
      </c>
      <c r="X28" s="110" t="str">
        <f t="shared" ca="1" si="21"/>
        <v>#REF!</v>
      </c>
      <c r="Y28" s="110" t="str">
        <f t="shared" ca="1" si="21"/>
        <v>#REF!</v>
      </c>
      <c r="AA28" s="84" t="str">
        <f t="shared" ca="1" si="13"/>
        <v/>
      </c>
      <c r="AB28" s="84" t="str">
        <f t="shared" ca="1" si="14"/>
        <v/>
      </c>
      <c r="AC28" s="84" t="str">
        <f t="shared" ca="1" si="15"/>
        <v/>
      </c>
      <c r="AD28" s="84" t="str">
        <f t="shared" ca="1" si="16"/>
        <v/>
      </c>
      <c r="AE28" s="84" t="str">
        <f t="shared" ca="1" si="17"/>
        <v/>
      </c>
      <c r="AG28" s="84">
        <f t="shared" si="18"/>
        <v>1</v>
      </c>
      <c r="AH28" s="84" t="str">
        <f t="shared" ca="1" si="19"/>
        <v>#REF!</v>
      </c>
      <c r="AI28" s="86"/>
    </row>
    <row r="29" spans="2:45" ht="3.75" customHeight="1">
      <c r="AJ29" s="57"/>
      <c r="AK29" s="57"/>
      <c r="AL29" s="57"/>
      <c r="AM29" s="57"/>
      <c r="AN29" s="57"/>
      <c r="AO29" s="57"/>
      <c r="AP29" s="57"/>
      <c r="AQ29" s="57"/>
      <c r="AR29" s="57"/>
      <c r="AS29" s="57"/>
    </row>
    <row r="30" spans="2:45" ht="15.75" hidden="1" customHeight="1" outlineLevel="1">
      <c r="B30" s="8" t="s">
        <v>189</v>
      </c>
      <c r="D30" s="79">
        <f>MIN(-D6,0)</f>
        <v>0</v>
      </c>
      <c r="E30" s="79">
        <f t="shared" ref="E30:Y30" si="22">D33</f>
        <v>0</v>
      </c>
      <c r="F30" s="79" t="str">
        <f t="shared" ca="1" si="22"/>
        <v>#REF!</v>
      </c>
      <c r="G30" s="79" t="str">
        <f t="shared" ca="1" si="22"/>
        <v>#REF!</v>
      </c>
      <c r="H30" s="79" t="str">
        <f t="shared" ca="1" si="22"/>
        <v>#REF!</v>
      </c>
      <c r="I30" s="79" t="str">
        <f t="shared" ca="1" si="22"/>
        <v>#REF!</v>
      </c>
      <c r="J30" s="79" t="str">
        <f t="shared" ca="1" si="22"/>
        <v>#REF!</v>
      </c>
      <c r="K30" s="79" t="str">
        <f t="shared" ca="1" si="22"/>
        <v>#REF!</v>
      </c>
      <c r="L30" s="79" t="str">
        <f t="shared" ca="1" si="22"/>
        <v>#REF!</v>
      </c>
      <c r="M30" s="79" t="str">
        <f t="shared" ca="1" si="22"/>
        <v>#REF!</v>
      </c>
      <c r="N30" s="79" t="str">
        <f t="shared" ca="1" si="22"/>
        <v>#REF!</v>
      </c>
      <c r="O30" s="79" t="str">
        <f t="shared" ca="1" si="22"/>
        <v>#REF!</v>
      </c>
      <c r="P30" s="79" t="str">
        <f t="shared" ca="1" si="22"/>
        <v>#REF!</v>
      </c>
      <c r="Q30" s="79" t="str">
        <f t="shared" ca="1" si="22"/>
        <v>#REF!</v>
      </c>
      <c r="R30" s="79" t="str">
        <f t="shared" ca="1" si="22"/>
        <v>#REF!</v>
      </c>
      <c r="S30" s="79" t="str">
        <f t="shared" ca="1" si="22"/>
        <v>#REF!</v>
      </c>
      <c r="T30" s="79" t="str">
        <f t="shared" ca="1" si="22"/>
        <v>#REF!</v>
      </c>
      <c r="U30" s="79" t="str">
        <f t="shared" ca="1" si="22"/>
        <v>#REF!</v>
      </c>
      <c r="V30" s="79" t="str">
        <f t="shared" ca="1" si="22"/>
        <v>#REF!</v>
      </c>
      <c r="W30" s="79" t="str">
        <f t="shared" ca="1" si="22"/>
        <v>#REF!</v>
      </c>
      <c r="X30" s="79" t="str">
        <f t="shared" ca="1" si="22"/>
        <v>#REF!</v>
      </c>
      <c r="Y30" s="79" t="str">
        <f t="shared" ca="1" si="22"/>
        <v>#REF!</v>
      </c>
      <c r="AA30" s="57" t="str">
        <f>IFERROR((E30/D30)-1,"")</f>
        <v/>
      </c>
      <c r="AB30" s="57" t="str">
        <f ca="1">IFERROR((J30/D30)^(1/6)-1,"")</f>
        <v/>
      </c>
      <c r="AC30" s="57" t="str">
        <f ca="1">IFERROR((O30/D30)^(1/11)-1,"")</f>
        <v/>
      </c>
      <c r="AD30" s="57" t="str">
        <f ca="1">IFERROR((T30/D30)^(1/16)-1,"")</f>
        <v/>
      </c>
      <c r="AE30" s="57" t="str">
        <f ca="1">IFERROR((Y30/D30)^(1/21)-1,"")</f>
        <v/>
      </c>
      <c r="AG30" s="57"/>
      <c r="AH30" s="57"/>
      <c r="AI30" s="57"/>
      <c r="AJ30" s="86"/>
      <c r="AK30" s="86"/>
      <c r="AL30" s="86"/>
      <c r="AM30" s="86"/>
      <c r="AN30" s="86"/>
      <c r="AO30" s="86"/>
      <c r="AP30" s="86"/>
      <c r="AQ30" s="86"/>
      <c r="AR30" s="86"/>
      <c r="AS30" s="86"/>
    </row>
    <row r="31" spans="2:45" ht="15" hidden="1" customHeight="1" outlineLevel="1">
      <c r="B31" s="98" t="s">
        <v>212</v>
      </c>
      <c r="C31" s="98"/>
      <c r="E31" s="109" t="str">
        <f t="shared" ref="E31:Y31" ca="1" si="23">-MAX($V$13*E22+E30+E32,0)</f>
        <v>#REF!</v>
      </c>
      <c r="F31" s="79" t="str">
        <f t="shared" ca="1" si="23"/>
        <v>#REF!</v>
      </c>
      <c r="G31" s="79" t="str">
        <f t="shared" ca="1" si="23"/>
        <v>#REF!</v>
      </c>
      <c r="H31" s="79" t="str">
        <f t="shared" ca="1" si="23"/>
        <v>#REF!</v>
      </c>
      <c r="I31" s="79" t="str">
        <f t="shared" ca="1" si="23"/>
        <v>#REF!</v>
      </c>
      <c r="J31" s="79" t="str">
        <f t="shared" ca="1" si="23"/>
        <v>#REF!</v>
      </c>
      <c r="K31" s="79" t="str">
        <f t="shared" ca="1" si="23"/>
        <v>#REF!</v>
      </c>
      <c r="L31" s="79" t="str">
        <f t="shared" ca="1" si="23"/>
        <v>#REF!</v>
      </c>
      <c r="M31" s="79" t="str">
        <f t="shared" ca="1" si="23"/>
        <v>#REF!</v>
      </c>
      <c r="N31" s="79" t="str">
        <f t="shared" ca="1" si="23"/>
        <v>#REF!</v>
      </c>
      <c r="O31" s="79" t="str">
        <f t="shared" ca="1" si="23"/>
        <v>#REF!</v>
      </c>
      <c r="P31" s="79" t="str">
        <f t="shared" ca="1" si="23"/>
        <v>#REF!</v>
      </c>
      <c r="Q31" s="79" t="str">
        <f t="shared" ca="1" si="23"/>
        <v>#REF!</v>
      </c>
      <c r="R31" s="79" t="str">
        <f t="shared" ca="1" si="23"/>
        <v>#REF!</v>
      </c>
      <c r="S31" s="79" t="str">
        <f t="shared" ca="1" si="23"/>
        <v>#REF!</v>
      </c>
      <c r="T31" s="79" t="str">
        <f t="shared" ca="1" si="23"/>
        <v>#REF!</v>
      </c>
      <c r="U31" s="79" t="str">
        <f t="shared" ca="1" si="23"/>
        <v>#REF!</v>
      </c>
      <c r="V31" s="79" t="str">
        <f t="shared" ca="1" si="23"/>
        <v>#REF!</v>
      </c>
      <c r="W31" s="79" t="str">
        <f t="shared" ca="1" si="23"/>
        <v>#REF!</v>
      </c>
      <c r="X31" s="79" t="str">
        <f t="shared" ca="1" si="23"/>
        <v>#REF!</v>
      </c>
      <c r="Y31" s="79" t="str">
        <f t="shared" ca="1" si="23"/>
        <v>#REF!</v>
      </c>
    </row>
    <row r="32" spans="2:45" ht="15.75" hidden="1" customHeight="1" outlineLevel="1">
      <c r="B32" s="98" t="s">
        <v>213</v>
      </c>
      <c r="C32" s="98"/>
      <c r="E32" s="79">
        <f t="shared" ref="E32:Y32" si="24">E30*$D$7</f>
        <v>0</v>
      </c>
      <c r="F32" s="79" t="str">
        <f t="shared" ca="1" si="24"/>
        <v>#REF!</v>
      </c>
      <c r="G32" s="79" t="str">
        <f t="shared" ca="1" si="24"/>
        <v>#REF!</v>
      </c>
      <c r="H32" s="79" t="str">
        <f t="shared" ca="1" si="24"/>
        <v>#REF!</v>
      </c>
      <c r="I32" s="79" t="str">
        <f t="shared" ca="1" si="24"/>
        <v>#REF!</v>
      </c>
      <c r="J32" s="79" t="str">
        <f t="shared" ca="1" si="24"/>
        <v>#REF!</v>
      </c>
      <c r="K32" s="79" t="str">
        <f t="shared" ca="1" si="24"/>
        <v>#REF!</v>
      </c>
      <c r="L32" s="79" t="str">
        <f t="shared" ca="1" si="24"/>
        <v>#REF!</v>
      </c>
      <c r="M32" s="79" t="str">
        <f t="shared" ca="1" si="24"/>
        <v>#REF!</v>
      </c>
      <c r="N32" s="79" t="str">
        <f t="shared" ca="1" si="24"/>
        <v>#REF!</v>
      </c>
      <c r="O32" s="79" t="str">
        <f t="shared" ca="1" si="24"/>
        <v>#REF!</v>
      </c>
      <c r="P32" s="79" t="str">
        <f t="shared" ca="1" si="24"/>
        <v>#REF!</v>
      </c>
      <c r="Q32" s="79" t="str">
        <f t="shared" ca="1" si="24"/>
        <v>#REF!</v>
      </c>
      <c r="R32" s="79" t="str">
        <f t="shared" ca="1" si="24"/>
        <v>#REF!</v>
      </c>
      <c r="S32" s="79" t="str">
        <f t="shared" ca="1" si="24"/>
        <v>#REF!</v>
      </c>
      <c r="T32" s="79" t="str">
        <f t="shared" ca="1" si="24"/>
        <v>#REF!</v>
      </c>
      <c r="U32" s="79" t="str">
        <f t="shared" ca="1" si="24"/>
        <v>#REF!</v>
      </c>
      <c r="V32" s="79" t="str">
        <f t="shared" ca="1" si="24"/>
        <v>#REF!</v>
      </c>
      <c r="W32" s="79" t="str">
        <f t="shared" ca="1" si="24"/>
        <v>#REF!</v>
      </c>
      <c r="X32" s="79" t="str">
        <f t="shared" ca="1" si="24"/>
        <v>#REF!</v>
      </c>
      <c r="Y32" s="79" t="str">
        <f t="shared" ca="1" si="24"/>
        <v>#REF!</v>
      </c>
    </row>
    <row r="33" spans="2:40" ht="15.75" customHeight="1" collapsed="1">
      <c r="B33" s="8" t="s">
        <v>136</v>
      </c>
      <c r="D33" s="79">
        <f t="shared" ref="D33:Y33" si="25">SUM(D30:D32)</f>
        <v>0</v>
      </c>
      <c r="E33" s="79" t="str">
        <f t="shared" ca="1" si="25"/>
        <v>#REF!</v>
      </c>
      <c r="F33" s="79" t="str">
        <f t="shared" ca="1" si="25"/>
        <v>#REF!</v>
      </c>
      <c r="G33" s="79" t="str">
        <f t="shared" ca="1" si="25"/>
        <v>#REF!</v>
      </c>
      <c r="H33" s="79" t="str">
        <f t="shared" ca="1" si="25"/>
        <v>#REF!</v>
      </c>
      <c r="I33" s="79" t="str">
        <f t="shared" ca="1" si="25"/>
        <v>#REF!</v>
      </c>
      <c r="J33" s="79" t="str">
        <f t="shared" ca="1" si="25"/>
        <v>#REF!</v>
      </c>
      <c r="K33" s="79" t="str">
        <f t="shared" ca="1" si="25"/>
        <v>#REF!</v>
      </c>
      <c r="L33" s="79" t="str">
        <f t="shared" ca="1" si="25"/>
        <v>#REF!</v>
      </c>
      <c r="M33" s="79" t="str">
        <f t="shared" ca="1" si="25"/>
        <v>#REF!</v>
      </c>
      <c r="N33" s="79" t="str">
        <f t="shared" ca="1" si="25"/>
        <v>#REF!</v>
      </c>
      <c r="O33" s="79" t="str">
        <f t="shared" ca="1" si="25"/>
        <v>#REF!</v>
      </c>
      <c r="P33" s="79" t="str">
        <f t="shared" ca="1" si="25"/>
        <v>#REF!</v>
      </c>
      <c r="Q33" s="79" t="str">
        <f t="shared" ca="1" si="25"/>
        <v>#REF!</v>
      </c>
      <c r="R33" s="79" t="str">
        <f t="shared" ca="1" si="25"/>
        <v>#REF!</v>
      </c>
      <c r="S33" s="79" t="str">
        <f t="shared" ca="1" si="25"/>
        <v>#REF!</v>
      </c>
      <c r="T33" s="79" t="str">
        <f t="shared" ca="1" si="25"/>
        <v>#REF!</v>
      </c>
      <c r="U33" s="79" t="str">
        <f t="shared" ca="1" si="25"/>
        <v>#REF!</v>
      </c>
      <c r="V33" s="79" t="str">
        <f t="shared" ca="1" si="25"/>
        <v>#REF!</v>
      </c>
      <c r="W33" s="79" t="str">
        <f t="shared" ca="1" si="25"/>
        <v>#REF!</v>
      </c>
      <c r="X33" s="79" t="str">
        <f t="shared" ca="1" si="25"/>
        <v>#REF!</v>
      </c>
      <c r="Y33" s="79" t="str">
        <f t="shared" ca="1" si="25"/>
        <v>#REF!</v>
      </c>
      <c r="AA33" s="57" t="str">
        <f ca="1">IFERROR((E33/D33)-1,"")</f>
        <v/>
      </c>
      <c r="AB33" s="57" t="str">
        <f ca="1">IFERROR((J33/D33)^(1/6)-1,"")</f>
        <v/>
      </c>
      <c r="AC33" s="57" t="str">
        <f ca="1">IFERROR((O33/D33)^(1/11)-1,"")</f>
        <v/>
      </c>
      <c r="AD33" s="57" t="str">
        <f ca="1">IFERROR((T33/D33)^(1/16)-1,"")</f>
        <v/>
      </c>
      <c r="AE33" s="57" t="str">
        <f ca="1">IFERROR((Y33/D33)^(1/21)-1,"")</f>
        <v/>
      </c>
    </row>
    <row r="34" spans="2:40" ht="15.75" customHeight="1">
      <c r="B34" s="98" t="s">
        <v>155</v>
      </c>
      <c r="C34" s="98"/>
      <c r="D34" s="132">
        <f t="shared" ref="D34:Y34" si="26">IFERROR(-D33/D22,"NM")</f>
        <v>0</v>
      </c>
      <c r="E34" s="132" t="str">
        <f t="shared" ca="1" si="26"/>
        <v>NM</v>
      </c>
      <c r="F34" s="132" t="str">
        <f t="shared" ca="1" si="26"/>
        <v>NM</v>
      </c>
      <c r="G34" s="132" t="str">
        <f t="shared" ca="1" si="26"/>
        <v>NM</v>
      </c>
      <c r="H34" s="132" t="str">
        <f t="shared" ca="1" si="26"/>
        <v>NM</v>
      </c>
      <c r="I34" s="132" t="str">
        <f t="shared" ca="1" si="26"/>
        <v>NM</v>
      </c>
      <c r="J34" s="132" t="str">
        <f t="shared" ca="1" si="26"/>
        <v>NM</v>
      </c>
      <c r="K34" s="132" t="str">
        <f t="shared" ca="1" si="26"/>
        <v>NM</v>
      </c>
      <c r="L34" s="132" t="str">
        <f t="shared" ca="1" si="26"/>
        <v>NM</v>
      </c>
      <c r="M34" s="132" t="str">
        <f t="shared" ca="1" si="26"/>
        <v>NM</v>
      </c>
      <c r="N34" s="132" t="str">
        <f t="shared" ca="1" si="26"/>
        <v>NM</v>
      </c>
      <c r="O34" s="132" t="str">
        <f t="shared" ca="1" si="26"/>
        <v>NM</v>
      </c>
      <c r="P34" s="132" t="str">
        <f t="shared" ca="1" si="26"/>
        <v>NM</v>
      </c>
      <c r="Q34" s="132" t="str">
        <f t="shared" ca="1" si="26"/>
        <v>NM</v>
      </c>
      <c r="R34" s="132" t="str">
        <f t="shared" ca="1" si="26"/>
        <v>NM</v>
      </c>
      <c r="S34" s="132" t="str">
        <f t="shared" ca="1" si="26"/>
        <v>NM</v>
      </c>
      <c r="T34" s="132" t="str">
        <f t="shared" ca="1" si="26"/>
        <v>NM</v>
      </c>
      <c r="U34" s="132" t="str">
        <f t="shared" ca="1" si="26"/>
        <v>NM</v>
      </c>
      <c r="V34" s="132" t="str">
        <f t="shared" ca="1" si="26"/>
        <v>NM</v>
      </c>
      <c r="W34" s="132" t="str">
        <f t="shared" ca="1" si="26"/>
        <v>NM</v>
      </c>
      <c r="X34" s="132" t="str">
        <f t="shared" ca="1" si="26"/>
        <v>NM</v>
      </c>
      <c r="Y34" s="132" t="str">
        <f t="shared" ca="1" si="26"/>
        <v>NM</v>
      </c>
      <c r="AA34" s="57"/>
      <c r="AB34" s="57"/>
      <c r="AC34" s="57"/>
      <c r="AD34" s="57"/>
      <c r="AE34" s="57"/>
    </row>
    <row r="35" spans="2:40" ht="3.75" customHeight="1">
      <c r="B35" s="66"/>
      <c r="C35" s="66"/>
      <c r="D35" s="107"/>
      <c r="E35" s="85"/>
      <c r="F35" s="85"/>
      <c r="G35" s="85"/>
      <c r="H35" s="85"/>
      <c r="I35" s="85"/>
      <c r="J35" s="85"/>
      <c r="K35" s="85"/>
      <c r="L35" s="85"/>
      <c r="M35" s="85"/>
      <c r="N35" s="85"/>
      <c r="O35" s="85"/>
      <c r="P35" s="85"/>
      <c r="Q35" s="85"/>
      <c r="R35" s="85"/>
      <c r="S35" s="85"/>
      <c r="T35" s="85"/>
      <c r="U35" s="85"/>
      <c r="V35" s="85"/>
      <c r="W35" s="85"/>
      <c r="X35" s="85"/>
      <c r="Y35" s="85"/>
      <c r="AA35" s="57"/>
      <c r="AB35" s="57"/>
      <c r="AC35" s="57"/>
      <c r="AD35" s="57"/>
      <c r="AE35" s="57"/>
      <c r="AG35" s="86"/>
      <c r="AH35" s="86"/>
      <c r="AI35" s="86"/>
    </row>
    <row r="36" spans="2:40" ht="15.75" customHeight="1">
      <c r="B36" s="82" t="s">
        <v>214</v>
      </c>
      <c r="C36" s="82"/>
      <c r="D36" s="110">
        <f t="shared" ref="D36:Y36" si="27">D28+D30</f>
        <v>1000</v>
      </c>
      <c r="E36" s="110" t="str">
        <f t="shared" ca="1" si="27"/>
        <v>#REF!</v>
      </c>
      <c r="F36" s="110" t="str">
        <f t="shared" ca="1" si="27"/>
        <v>#REF!</v>
      </c>
      <c r="G36" s="110" t="str">
        <f t="shared" ca="1" si="27"/>
        <v>#REF!</v>
      </c>
      <c r="H36" s="110" t="str">
        <f t="shared" ca="1" si="27"/>
        <v>#REF!</v>
      </c>
      <c r="I36" s="110" t="str">
        <f t="shared" ca="1" si="27"/>
        <v>#REF!</v>
      </c>
      <c r="J36" s="110" t="str">
        <f t="shared" ca="1" si="27"/>
        <v>#REF!</v>
      </c>
      <c r="K36" s="110" t="str">
        <f t="shared" ca="1" si="27"/>
        <v>#REF!</v>
      </c>
      <c r="L36" s="110" t="str">
        <f t="shared" ca="1" si="27"/>
        <v>#REF!</v>
      </c>
      <c r="M36" s="110" t="str">
        <f t="shared" ca="1" si="27"/>
        <v>#REF!</v>
      </c>
      <c r="N36" s="110" t="str">
        <f t="shared" ca="1" si="27"/>
        <v>#REF!</v>
      </c>
      <c r="O36" s="110" t="str">
        <f t="shared" ca="1" si="27"/>
        <v>#REF!</v>
      </c>
      <c r="P36" s="110" t="str">
        <f t="shared" ca="1" si="27"/>
        <v>#REF!</v>
      </c>
      <c r="Q36" s="110" t="str">
        <f t="shared" ca="1" si="27"/>
        <v>#REF!</v>
      </c>
      <c r="R36" s="110" t="str">
        <f t="shared" ca="1" si="27"/>
        <v>#REF!</v>
      </c>
      <c r="S36" s="110" t="str">
        <f t="shared" ca="1" si="27"/>
        <v>#REF!</v>
      </c>
      <c r="T36" s="110" t="str">
        <f t="shared" ca="1" si="27"/>
        <v>#REF!</v>
      </c>
      <c r="U36" s="110" t="str">
        <f t="shared" ca="1" si="27"/>
        <v>#REF!</v>
      </c>
      <c r="V36" s="110" t="str">
        <f t="shared" ca="1" si="27"/>
        <v>#REF!</v>
      </c>
      <c r="W36" s="110" t="str">
        <f t="shared" ca="1" si="27"/>
        <v>#REF!</v>
      </c>
      <c r="X36" s="110" t="str">
        <f t="shared" ca="1" si="27"/>
        <v>#REF!</v>
      </c>
      <c r="Y36" s="110" t="str">
        <f t="shared" ca="1" si="27"/>
        <v>#REF!</v>
      </c>
      <c r="AA36" s="84" t="str">
        <f ca="1">IFERROR((E36/D36)-1,"")</f>
        <v/>
      </c>
      <c r="AB36" s="84" t="str">
        <f ca="1">IFERROR((J36/D36)^(1/6)-1,"")</f>
        <v/>
      </c>
      <c r="AC36" s="84" t="str">
        <f ca="1">IFERROR((O36/D36)^(1/11)-1,"")</f>
        <v/>
      </c>
      <c r="AD36" s="84" t="str">
        <f ca="1">IFERROR((T36/D36)^(1/16)-1,"")</f>
        <v/>
      </c>
      <c r="AE36" s="84" t="str">
        <f ca="1">IFERROR((Y36/D36)^(1/21)-1,"")</f>
        <v/>
      </c>
      <c r="AG36" s="206"/>
      <c r="AH36" s="206"/>
    </row>
    <row r="37" spans="2:40" ht="15.75" customHeight="1"/>
    <row r="38" spans="2:40" ht="15.75" customHeight="1">
      <c r="B38" s="272" t="s">
        <v>128</v>
      </c>
      <c r="C38" s="268"/>
      <c r="D38" s="268"/>
      <c r="E38" s="268"/>
      <c r="F38" s="268"/>
      <c r="G38" s="268"/>
      <c r="H38" s="268"/>
      <c r="I38" s="268"/>
      <c r="J38" s="268"/>
      <c r="K38" s="268"/>
      <c r="L38" s="268"/>
      <c r="M38" s="268"/>
      <c r="N38" s="268"/>
      <c r="O38" s="268"/>
      <c r="P38" s="268"/>
      <c r="Q38" s="268"/>
      <c r="R38" s="268"/>
      <c r="S38" s="268"/>
      <c r="T38" s="268"/>
      <c r="U38" s="268"/>
      <c r="V38" s="268"/>
      <c r="W38" s="268"/>
      <c r="X38" s="268"/>
      <c r="Y38" s="268"/>
      <c r="Z38" s="268"/>
      <c r="AA38" s="268"/>
      <c r="AB38" s="268"/>
      <c r="AC38" s="268"/>
      <c r="AD38" s="268"/>
      <c r="AE38" s="268"/>
      <c r="AF38" s="268"/>
      <c r="AG38" s="268"/>
      <c r="AH38" s="268"/>
      <c r="AI38" s="268"/>
      <c r="AJ38" s="268"/>
      <c r="AK38" s="268"/>
      <c r="AL38" s="268"/>
      <c r="AM38" s="268"/>
      <c r="AN38" s="268"/>
    </row>
    <row r="39" spans="2:40" ht="15.75" customHeight="1"/>
    <row r="40" spans="2:40" ht="15.75" customHeight="1"/>
    <row r="41" spans="2:40" ht="15.75" customHeight="1"/>
    <row r="42" spans="2:40" ht="15.75" customHeight="1"/>
    <row r="43" spans="2:40" ht="15.75" customHeight="1"/>
    <row r="44" spans="2:40" ht="15.75" customHeight="1"/>
    <row r="45" spans="2:40" ht="15.75" customHeight="1"/>
    <row r="46" spans="2:40" ht="15.75" customHeight="1"/>
    <row r="47" spans="2:40" ht="15.75" customHeight="1"/>
    <row r="48" spans="2:4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spans="2:40" ht="15.75" customHeight="1"/>
    <row r="66" spans="2:40" ht="15.75" customHeight="1"/>
    <row r="67" spans="2:40" ht="15.75" customHeight="1"/>
    <row r="68" spans="2:40" ht="15.75" customHeight="1">
      <c r="B68" s="272" t="s">
        <v>129</v>
      </c>
      <c r="C68" s="268"/>
      <c r="D68" s="268"/>
      <c r="E68" s="268"/>
      <c r="F68" s="268"/>
      <c r="G68" s="268"/>
      <c r="H68" s="268"/>
      <c r="I68" s="268"/>
      <c r="J68" s="268"/>
      <c r="K68" s="268"/>
      <c r="L68" s="268"/>
      <c r="M68" s="268"/>
      <c r="N68" s="268"/>
      <c r="O68" s="268"/>
      <c r="P68" s="268"/>
      <c r="Q68" s="268"/>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row>
    <row r="69" spans="2:40" ht="15.75" customHeight="1">
      <c r="C69" s="140" t="str">
        <f ca="1">$Y$36/10^3</f>
        <v>#REF!</v>
      </c>
      <c r="D69" s="112" t="str">
        <f ca="1">$AE$36</f>
        <v/>
      </c>
      <c r="E69" s="129" t="str">
        <f ca="1">$Y$19/10^3</f>
        <v>#REF!</v>
      </c>
    </row>
    <row r="70" spans="2:40" ht="15.75" customHeight="1">
      <c r="B70" s="8" t="s">
        <v>3</v>
      </c>
      <c r="C70" s="140">
        <v>4.4465850165411007</v>
      </c>
      <c r="D70" s="112">
        <v>7.3639322987413491E-2</v>
      </c>
      <c r="E70" s="129">
        <v>0</v>
      </c>
    </row>
    <row r="71" spans="2:40" ht="15.75" customHeight="1">
      <c r="B71" s="8" t="s">
        <v>4</v>
      </c>
      <c r="C71" s="140">
        <v>24.616643639091951</v>
      </c>
      <c r="D71" s="112">
        <v>0.16479364449116396</v>
      </c>
      <c r="E71" s="129">
        <v>1.5384615384615385</v>
      </c>
    </row>
    <row r="72" spans="2:40" ht="15.75" customHeight="1">
      <c r="B72" s="8" t="s">
        <v>5</v>
      </c>
      <c r="C72" s="140">
        <v>105.29687812929535</v>
      </c>
      <c r="D72" s="112">
        <v>0.24826128143342041</v>
      </c>
      <c r="E72" s="129">
        <v>7.6923076923076943</v>
      </c>
    </row>
    <row r="73" spans="2:40" ht="15.75" customHeight="1">
      <c r="B73" s="8" t="s">
        <v>6</v>
      </c>
      <c r="C73" s="140">
        <v>206.14717124204964</v>
      </c>
      <c r="D73" s="112">
        <v>0.28883975252734717</v>
      </c>
      <c r="E73" s="129">
        <v>15.384615384615389</v>
      </c>
    </row>
    <row r="74" spans="2:40" ht="15.75" customHeight="1">
      <c r="B74" s="8" t="s">
        <v>7</v>
      </c>
      <c r="C74" s="140">
        <v>299.74077556681925</v>
      </c>
      <c r="D74" s="112">
        <v>0.31201946264717262</v>
      </c>
      <c r="E74" s="129">
        <v>24.376666656998218</v>
      </c>
    </row>
    <row r="75" spans="2:40" ht="15.75" customHeight="1"/>
    <row r="76" spans="2:40" ht="15.75" customHeight="1"/>
    <row r="77" spans="2:40" ht="15.75" customHeight="1"/>
    <row r="78" spans="2:40" ht="15.75" customHeight="1"/>
    <row r="79" spans="2:40" ht="15.75" customHeight="1"/>
    <row r="80" spans="2:4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D16:Y16"/>
    <mergeCell ref="AA16:AE16"/>
    <mergeCell ref="AG16:AH16"/>
    <mergeCell ref="B38:AN38"/>
    <mergeCell ref="B68:AN68"/>
    <mergeCell ref="B15:AH15"/>
    <mergeCell ref="B3:AH3"/>
    <mergeCell ref="AJ3:AN3"/>
    <mergeCell ref="AK4:AK5"/>
    <mergeCell ref="AL4:AL5"/>
    <mergeCell ref="AM4:AM5"/>
    <mergeCell ref="AN4:AN5"/>
  </mergeCells>
  <conditionalFormatting sqref="D11:T11">
    <cfRule type="expression" dxfId="3" priority="1">
      <formula>D11=$T$1</formula>
    </cfRule>
  </conditionalFormatting>
  <hyperlinks>
    <hyperlink ref="AG1" location="SelectedCase" display="Base" xr:uid="{00000000-0004-0000-0500-000000000000}"/>
  </hyperlinks>
  <pageMargins left="0.7" right="0.7" top="0.75" bottom="0.75" header="0" footer="0"/>
  <pageSetup orientation="portrait"/>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Cover!$A$5:$E$5</xm:f>
          </x14:formula1>
          <xm:sqref>T1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AE2D5"/>
    <pageSetUpPr fitToPage="1"/>
  </sheetPr>
  <dimension ref="B1:AW1000"/>
  <sheetViews>
    <sheetView showGridLines="0" workbookViewId="0">
      <pane ySplit="1" topLeftCell="A2" activePane="bottomLeft" state="frozen"/>
      <selection pane="bottomLeft" activeCell="B3" sqref="B3"/>
    </sheetView>
  </sheetViews>
  <sheetFormatPr defaultColWidth="12.5703125" defaultRowHeight="15" customHeight="1" outlineLevelRow="1" outlineLevelCol="1"/>
  <cols>
    <col min="1" max="1" width="0.85546875" customWidth="1"/>
    <col min="2" max="5" width="12.42578125" customWidth="1"/>
    <col min="6" max="9" width="14.42578125" hidden="1" customWidth="1" outlineLevel="1"/>
    <col min="10" max="10" width="12.42578125" customWidth="1"/>
    <col min="11" max="14" width="14.42578125" hidden="1" customWidth="1" outlineLevel="1"/>
    <col min="15" max="15" width="12.42578125" customWidth="1"/>
    <col min="16" max="19" width="14.42578125" hidden="1" customWidth="1" outlineLevel="1"/>
    <col min="20" max="20" width="12.42578125" customWidth="1"/>
    <col min="21" max="24" width="14.42578125" hidden="1" customWidth="1" outlineLevel="1"/>
    <col min="25" max="25" width="12.42578125" customWidth="1"/>
    <col min="26" max="26" width="1.5703125" customWidth="1"/>
    <col min="27" max="30" width="8.85546875" hidden="1" customWidth="1" outlineLevel="1"/>
    <col min="31" max="31" width="11.5703125" customWidth="1"/>
    <col min="32" max="32" width="1.5703125" customWidth="1"/>
    <col min="33" max="35" width="8.85546875" hidden="1" customWidth="1" outlineLevel="1"/>
    <col min="36" max="42" width="11.85546875" customWidth="1"/>
    <col min="43" max="43" width="11.140625" customWidth="1"/>
    <col min="44" max="49" width="8.85546875" customWidth="1"/>
  </cols>
  <sheetData>
    <row r="1" spans="2:49">
      <c r="B1" s="9" t="s">
        <v>26</v>
      </c>
      <c r="C1" s="9"/>
      <c r="D1" s="11" t="s">
        <v>215</v>
      </c>
      <c r="E1" s="10"/>
      <c r="F1" s="91"/>
      <c r="G1" s="91"/>
      <c r="H1" s="91"/>
      <c r="I1" s="91"/>
      <c r="J1" s="91"/>
      <c r="K1" s="10"/>
      <c r="L1" s="10"/>
      <c r="M1" s="10"/>
      <c r="N1" s="10"/>
      <c r="O1" s="114" t="s">
        <v>98</v>
      </c>
      <c r="P1" s="10"/>
      <c r="Q1" s="10"/>
      <c r="R1" s="10"/>
      <c r="S1" s="10"/>
      <c r="T1" s="93" t="s">
        <v>7</v>
      </c>
      <c r="U1" s="10"/>
      <c r="V1" s="10"/>
      <c r="W1" s="10"/>
      <c r="X1" s="10"/>
      <c r="Y1" s="10"/>
      <c r="Z1" s="10"/>
      <c r="AA1" s="10"/>
      <c r="AB1" s="10"/>
      <c r="AC1" s="10"/>
      <c r="AD1" s="10"/>
      <c r="AE1" s="234" t="s">
        <v>99</v>
      </c>
      <c r="AF1" s="222"/>
      <c r="AG1" s="10"/>
      <c r="AH1" s="10"/>
      <c r="AI1" s="10"/>
      <c r="AJ1" s="223" t="s">
        <v>31</v>
      </c>
      <c r="AK1" s="10"/>
      <c r="AL1" s="10"/>
      <c r="AM1" s="10"/>
      <c r="AN1" s="10"/>
    </row>
    <row r="2" spans="2:49" ht="3.75" customHeight="1"/>
    <row r="3" spans="2:49">
      <c r="B3" s="272" t="s">
        <v>27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J3" s="272" t="s">
        <v>101</v>
      </c>
      <c r="AK3" s="268"/>
      <c r="AL3" s="268"/>
      <c r="AM3" s="268"/>
      <c r="AN3" s="268"/>
    </row>
    <row r="4" spans="2:49">
      <c r="B4" s="8" t="s">
        <v>102</v>
      </c>
      <c r="D4" s="95">
        <v>0</v>
      </c>
      <c r="J4" s="96" t="s">
        <v>103</v>
      </c>
      <c r="Y4" s="96" t="s">
        <v>216</v>
      </c>
      <c r="AJ4" s="185" t="s">
        <v>42</v>
      </c>
      <c r="AK4" s="235" t="s">
        <v>105</v>
      </c>
      <c r="AL4" s="235" t="s">
        <v>106</v>
      </c>
      <c r="AM4" s="185" t="s">
        <v>107</v>
      </c>
      <c r="AN4" s="235" t="s">
        <v>108</v>
      </c>
    </row>
    <row r="5" spans="2:49">
      <c r="B5" s="8" t="s">
        <v>217</v>
      </c>
      <c r="D5" s="97">
        <v>120</v>
      </c>
      <c r="J5" s="98" t="s">
        <v>49</v>
      </c>
      <c r="O5" s="38">
        <v>0.625</v>
      </c>
      <c r="Y5" s="8" t="s">
        <v>218</v>
      </c>
      <c r="AE5" s="38">
        <v>0.1</v>
      </c>
      <c r="AJ5" s="1">
        <v>2024</v>
      </c>
      <c r="AK5" s="141">
        <f t="shared" ref="AK5:AK34" si="0">HLOOKUP($AJ5,$D$19:$Y$46,21)/10^3</f>
        <v>0.08</v>
      </c>
      <c r="AL5" s="141">
        <f t="shared" ref="AL5:AL34" si="1">HLOOKUP($AJ5,$D$19:$Y$46,25)/10^3</f>
        <v>-0.4002</v>
      </c>
      <c r="AM5" s="141">
        <f t="shared" ref="AM5:AM34" si="2">HLOOKUP($AJ5,$D$19:$Y$46,28)/10^3</f>
        <v>-0.32019999999999998</v>
      </c>
      <c r="AN5" s="142">
        <f t="shared" ref="AN5:AN34" si="3">HLOOKUP($AJ5,$D$19:$Y$46,3)/10^3</f>
        <v>0</v>
      </c>
    </row>
    <row r="6" spans="2:49">
      <c r="B6" s="8" t="s">
        <v>219</v>
      </c>
      <c r="C6" s="8"/>
      <c r="D6" s="97">
        <v>-135</v>
      </c>
      <c r="J6" s="98" t="s">
        <v>53</v>
      </c>
      <c r="O6" s="38">
        <v>0</v>
      </c>
      <c r="Y6" s="8" t="s">
        <v>220</v>
      </c>
      <c r="AE6" s="38">
        <v>0.1</v>
      </c>
      <c r="AJ6" s="54">
        <v>2025</v>
      </c>
      <c r="AK6" s="143">
        <f t="shared" si="0"/>
        <v>0.10917278869778871</v>
      </c>
      <c r="AL6" s="143">
        <f t="shared" si="1"/>
        <v>-0.47111399999999998</v>
      </c>
      <c r="AM6" s="143">
        <f t="shared" si="2"/>
        <v>-0.3619412113022113</v>
      </c>
      <c r="AN6" s="144">
        <f t="shared" si="3"/>
        <v>475.89743589743591</v>
      </c>
      <c r="AW6" s="112"/>
    </row>
    <row r="7" spans="2:49">
      <c r="B7" s="8" t="s">
        <v>221</v>
      </c>
      <c r="C7" s="8"/>
      <c r="D7" s="97">
        <v>-360</v>
      </c>
      <c r="J7" s="98" t="s">
        <v>58</v>
      </c>
      <c r="O7" s="145">
        <v>0.375</v>
      </c>
      <c r="AJ7" s="1">
        <v>2026</v>
      </c>
      <c r="AK7" s="141">
        <f t="shared" si="0"/>
        <v>0.16220032023435099</v>
      </c>
      <c r="AL7" s="141">
        <f t="shared" si="1"/>
        <v>-0.55128197999999995</v>
      </c>
      <c r="AM7" s="141">
        <f t="shared" si="2"/>
        <v>-0.38908165976564896</v>
      </c>
      <c r="AN7" s="142">
        <f t="shared" si="3"/>
        <v>823.32386196792982</v>
      </c>
    </row>
    <row r="8" spans="2:49">
      <c r="B8" s="8" t="s">
        <v>222</v>
      </c>
      <c r="D8" s="38">
        <v>7.0000000000000007E-2</v>
      </c>
      <c r="J8" s="224" t="s">
        <v>68</v>
      </c>
      <c r="K8" s="224"/>
      <c r="L8" s="224"/>
      <c r="M8" s="224"/>
      <c r="N8" s="224"/>
      <c r="O8" s="225">
        <f>SUM(O5:O7)</f>
        <v>1</v>
      </c>
      <c r="AJ8" s="1">
        <v>2027</v>
      </c>
      <c r="AK8" s="141">
        <f t="shared" si="0"/>
        <v>0.24845248701611528</v>
      </c>
      <c r="AL8" s="141">
        <f t="shared" si="1"/>
        <v>-0.64178071859999997</v>
      </c>
      <c r="AM8" s="141">
        <f t="shared" si="2"/>
        <v>-0.39332823158388475</v>
      </c>
      <c r="AN8" s="142">
        <f t="shared" si="3"/>
        <v>1081.5241822726564</v>
      </c>
    </row>
    <row r="9" spans="2:49">
      <c r="B9" s="8" t="s">
        <v>223</v>
      </c>
      <c r="C9" s="8"/>
      <c r="D9" s="97">
        <v>80</v>
      </c>
      <c r="O9" s="57"/>
      <c r="AJ9" s="1">
        <v>2028</v>
      </c>
      <c r="AK9" s="141">
        <f t="shared" si="0"/>
        <v>0.37944037621149229</v>
      </c>
      <c r="AL9" s="141">
        <f t="shared" si="1"/>
        <v>-0.74380526890200005</v>
      </c>
      <c r="AM9" s="141">
        <f t="shared" si="2"/>
        <v>-0.36436489269050781</v>
      </c>
      <c r="AN9" s="142">
        <f t="shared" si="3"/>
        <v>1276.9210302859201</v>
      </c>
    </row>
    <row r="10" spans="2:49">
      <c r="D10" s="103" t="s">
        <v>3</v>
      </c>
      <c r="E10" s="103" t="s">
        <v>4</v>
      </c>
      <c r="J10" s="103" t="s">
        <v>5</v>
      </c>
      <c r="O10" s="103" t="s">
        <v>6</v>
      </c>
      <c r="T10" s="103" t="s">
        <v>7</v>
      </c>
      <c r="V10" s="8" t="str">
        <f>T1</f>
        <v>Triple Maxi</v>
      </c>
      <c r="AJ10" s="1">
        <v>2029</v>
      </c>
      <c r="AK10" s="141">
        <f t="shared" si="0"/>
        <v>0.5698687666960891</v>
      </c>
      <c r="AL10" s="141">
        <f t="shared" si="1"/>
        <v>-0.85868152772514006</v>
      </c>
      <c r="AM10" s="141">
        <f t="shared" si="2"/>
        <v>-0.28881276102905101</v>
      </c>
      <c r="AN10" s="142">
        <f t="shared" si="3"/>
        <v>1369.8320291786472</v>
      </c>
    </row>
    <row r="11" spans="2:49">
      <c r="B11" s="8" t="s">
        <v>146</v>
      </c>
      <c r="C11" s="8"/>
      <c r="D11" s="38">
        <v>0</v>
      </c>
      <c r="E11" s="38">
        <v>0.1</v>
      </c>
      <c r="J11" s="38">
        <v>0.35</v>
      </c>
      <c r="O11" s="38">
        <v>0.65</v>
      </c>
      <c r="T11" s="38">
        <v>1</v>
      </c>
      <c r="V11" s="42">
        <f t="shared" ref="V11:V12" si="4">INDEX($B$10:$T$15,MATCH(B11,$B$10:$B$15,0),MATCH($V$10,$B$10:$T$10,0))</f>
        <v>1</v>
      </c>
      <c r="AJ11" s="54">
        <v>2030</v>
      </c>
      <c r="AK11" s="143">
        <f t="shared" si="0"/>
        <v>0.82608701820712249</v>
      </c>
      <c r="AL11" s="143">
        <f t="shared" si="1"/>
        <v>-0.98788011366589989</v>
      </c>
      <c r="AM11" s="143">
        <f t="shared" si="2"/>
        <v>-0.16179309545877743</v>
      </c>
      <c r="AN11" s="144">
        <f t="shared" si="3"/>
        <v>1444.1608282928287</v>
      </c>
    </row>
    <row r="12" spans="2:49">
      <c r="B12" s="8" t="s">
        <v>224</v>
      </c>
      <c r="C12" s="8"/>
      <c r="D12" s="146">
        <v>0</v>
      </c>
      <c r="E12" s="146">
        <v>1</v>
      </c>
      <c r="J12" s="146">
        <v>2</v>
      </c>
      <c r="O12" s="146">
        <v>4</v>
      </c>
      <c r="T12" s="146">
        <v>4</v>
      </c>
      <c r="V12" s="147">
        <f t="shared" si="4"/>
        <v>4</v>
      </c>
      <c r="AJ12" s="1">
        <v>2031</v>
      </c>
      <c r="AK12" s="141">
        <f t="shared" si="0"/>
        <v>1.1619866849796152</v>
      </c>
      <c r="AL12" s="141">
        <f t="shared" si="1"/>
        <v>-1.1330316885225129</v>
      </c>
      <c r="AM12" s="141">
        <f t="shared" si="2"/>
        <v>2.8954996457102197E-2</v>
      </c>
      <c r="AN12" s="142">
        <f t="shared" si="3"/>
        <v>1504.7250349784581</v>
      </c>
    </row>
    <row r="13" spans="2:49" ht="15" hidden="1" customHeight="1" outlineLevel="1">
      <c r="B13" s="8" t="s">
        <v>225</v>
      </c>
      <c r="D13" s="57"/>
      <c r="E13" s="57"/>
      <c r="J13" s="57"/>
      <c r="O13" s="57"/>
      <c r="T13" s="57"/>
      <c r="V13" s="57">
        <f>V11/V12</f>
        <v>0.25</v>
      </c>
      <c r="AK13" s="8" t="e">
        <f t="shared" si="0"/>
        <v>#N/A</v>
      </c>
      <c r="AL13" s="8" t="e">
        <f t="shared" si="1"/>
        <v>#N/A</v>
      </c>
      <c r="AM13" s="8" t="e">
        <f t="shared" si="2"/>
        <v>#N/A</v>
      </c>
      <c r="AN13" s="148" t="e">
        <f t="shared" si="3"/>
        <v>#N/A</v>
      </c>
    </row>
    <row r="14" spans="2:49" ht="15" hidden="1" customHeight="1" outlineLevel="1">
      <c r="B14" s="8" t="s">
        <v>226</v>
      </c>
      <c r="D14" s="38">
        <v>0</v>
      </c>
      <c r="E14" s="38">
        <v>0.1</v>
      </c>
      <c r="J14" s="38">
        <v>0.35</v>
      </c>
      <c r="O14" s="38">
        <v>0.65</v>
      </c>
      <c r="T14" s="38">
        <v>1</v>
      </c>
      <c r="V14" s="42">
        <f t="shared" ref="V14:V15" si="5">INDEX($B$10:$T$15,MATCH(B14,$B$10:$B$15,0),MATCH($V$10,$B$10:$T$10,0))</f>
        <v>1</v>
      </c>
      <c r="AK14" s="8" t="e">
        <f t="shared" si="0"/>
        <v>#N/A</v>
      </c>
      <c r="AL14" s="8" t="e">
        <f t="shared" si="1"/>
        <v>#N/A</v>
      </c>
      <c r="AM14" s="8" t="e">
        <f t="shared" si="2"/>
        <v>#N/A</v>
      </c>
      <c r="AN14" s="148" t="e">
        <f t="shared" si="3"/>
        <v>#N/A</v>
      </c>
    </row>
    <row r="15" spans="2:49" collapsed="1">
      <c r="B15" s="8" t="s">
        <v>227</v>
      </c>
      <c r="D15" s="38">
        <v>0</v>
      </c>
      <c r="E15" s="38">
        <v>0</v>
      </c>
      <c r="J15" s="38">
        <v>0</v>
      </c>
      <c r="O15" s="38">
        <v>0.1</v>
      </c>
      <c r="T15" s="38">
        <v>0.2</v>
      </c>
      <c r="V15" s="42">
        <f t="shared" si="5"/>
        <v>0.2</v>
      </c>
      <c r="AJ15" s="1">
        <v>2032</v>
      </c>
      <c r="AK15" s="141">
        <f t="shared" si="0"/>
        <v>1.5910784890379897</v>
      </c>
      <c r="AL15" s="141">
        <f t="shared" si="1"/>
        <v>-1.2959438703090889</v>
      </c>
      <c r="AM15" s="141">
        <f t="shared" si="2"/>
        <v>0.29513461872890068</v>
      </c>
      <c r="AN15" s="142">
        <f t="shared" si="3"/>
        <v>1555.0047537363394</v>
      </c>
    </row>
    <row r="16" spans="2:49">
      <c r="AJ16" s="1">
        <v>2033</v>
      </c>
      <c r="AK16" s="141">
        <f t="shared" si="0"/>
        <v>2.1249927803333861</v>
      </c>
      <c r="AL16" s="141">
        <f t="shared" si="1"/>
        <v>-1.4786199011797252</v>
      </c>
      <c r="AM16" s="141">
        <f t="shared" si="2"/>
        <v>0.64637287915366093</v>
      </c>
      <c r="AN16" s="142">
        <f t="shared" si="3"/>
        <v>1597.5491311468541</v>
      </c>
    </row>
    <row r="17" spans="2:42">
      <c r="B17" s="272" t="s">
        <v>65</v>
      </c>
      <c r="C17" s="268"/>
      <c r="D17" s="268"/>
      <c r="E17" s="268"/>
      <c r="F17" s="268"/>
      <c r="G17" s="268"/>
      <c r="H17" s="268"/>
      <c r="I17" s="268"/>
      <c r="J17" s="268"/>
      <c r="K17" s="268"/>
      <c r="L17" s="268"/>
      <c r="M17" s="268"/>
      <c r="N17" s="268"/>
      <c r="O17" s="268"/>
      <c r="P17" s="268"/>
      <c r="Q17" s="268"/>
      <c r="R17" s="268"/>
      <c r="S17" s="268"/>
      <c r="T17" s="268"/>
      <c r="U17" s="268"/>
      <c r="V17" s="268"/>
      <c r="W17" s="268"/>
      <c r="X17" s="268"/>
      <c r="Y17" s="268"/>
      <c r="Z17" s="268"/>
      <c r="AA17" s="268"/>
      <c r="AB17" s="268"/>
      <c r="AC17" s="268"/>
      <c r="AD17" s="268"/>
      <c r="AE17" s="268"/>
      <c r="AG17" s="244"/>
      <c r="AH17" s="244"/>
      <c r="AJ17" s="1">
        <v>2034</v>
      </c>
      <c r="AK17" s="141">
        <f t="shared" si="0"/>
        <v>2.7716156139674673</v>
      </c>
      <c r="AL17" s="141">
        <f t="shared" si="1"/>
        <v>-1.6832792502062062</v>
      </c>
      <c r="AM17" s="141">
        <f t="shared" si="2"/>
        <v>1.0883363637612611</v>
      </c>
      <c r="AN17" s="142">
        <f t="shared" si="3"/>
        <v>1634.2540842069061</v>
      </c>
    </row>
    <row r="18" spans="2:42">
      <c r="B18" s="226"/>
      <c r="C18" s="226"/>
      <c r="D18" s="273" t="s">
        <v>42</v>
      </c>
      <c r="E18" s="274"/>
      <c r="F18" s="274"/>
      <c r="G18" s="274"/>
      <c r="H18" s="274"/>
      <c r="I18" s="274"/>
      <c r="J18" s="274"/>
      <c r="K18" s="274"/>
      <c r="L18" s="274"/>
      <c r="M18" s="274"/>
      <c r="N18" s="274"/>
      <c r="O18" s="274"/>
      <c r="P18" s="274"/>
      <c r="Q18" s="274"/>
      <c r="R18" s="274"/>
      <c r="S18" s="274"/>
      <c r="T18" s="274"/>
      <c r="U18" s="274"/>
      <c r="V18" s="274"/>
      <c r="W18" s="274"/>
      <c r="X18" s="274"/>
      <c r="Y18" s="274"/>
      <c r="AA18" s="275" t="s">
        <v>66</v>
      </c>
      <c r="AB18" s="268"/>
      <c r="AC18" s="268"/>
      <c r="AD18" s="268"/>
      <c r="AE18" s="268"/>
      <c r="AF18" s="245"/>
      <c r="AH18" s="279" t="s">
        <v>119</v>
      </c>
      <c r="AI18" s="257"/>
      <c r="AJ18" s="54">
        <v>2035</v>
      </c>
      <c r="AK18" s="149">
        <f t="shared" si="0"/>
        <v>3.532994318405974</v>
      </c>
      <c r="AL18" s="149">
        <f t="shared" si="1"/>
        <v>-1.9123803492589306</v>
      </c>
      <c r="AM18" s="149">
        <f t="shared" si="2"/>
        <v>1.6206139691470431</v>
      </c>
      <c r="AN18" s="144">
        <f t="shared" si="3"/>
        <v>1666.5544428997518</v>
      </c>
    </row>
    <row r="19" spans="2:42">
      <c r="B19" s="227" t="s">
        <v>228</v>
      </c>
      <c r="C19" s="226"/>
      <c r="D19" s="196">
        <f>Macro!C17</f>
        <v>2024</v>
      </c>
      <c r="E19" s="196">
        <f>Macro!D17</f>
        <v>2025</v>
      </c>
      <c r="F19" s="196">
        <f>Macro!E17</f>
        <v>2026</v>
      </c>
      <c r="G19" s="196">
        <f>Macro!F17</f>
        <v>2027</v>
      </c>
      <c r="H19" s="196">
        <f>Macro!G17</f>
        <v>2028</v>
      </c>
      <c r="I19" s="196">
        <f>Macro!H17</f>
        <v>2029</v>
      </c>
      <c r="J19" s="196">
        <f>Macro!I17</f>
        <v>2030</v>
      </c>
      <c r="K19" s="196">
        <f>Macro!J17</f>
        <v>2031</v>
      </c>
      <c r="L19" s="196">
        <f>Macro!K17</f>
        <v>2032</v>
      </c>
      <c r="M19" s="196">
        <f>Macro!L17</f>
        <v>2033</v>
      </c>
      <c r="N19" s="196">
        <f>Macro!M17</f>
        <v>2034</v>
      </c>
      <c r="O19" s="196">
        <f>Macro!N17</f>
        <v>2035</v>
      </c>
      <c r="P19" s="196">
        <f>Macro!O17</f>
        <v>2036</v>
      </c>
      <c r="Q19" s="196">
        <f>Macro!P17</f>
        <v>2037</v>
      </c>
      <c r="R19" s="196">
        <f>Macro!Q17</f>
        <v>2038</v>
      </c>
      <c r="S19" s="196">
        <f>Macro!R17</f>
        <v>2039</v>
      </c>
      <c r="T19" s="196">
        <f>Macro!S17</f>
        <v>2040</v>
      </c>
      <c r="U19" s="196">
        <f>Macro!T17</f>
        <v>2041</v>
      </c>
      <c r="V19" s="196">
        <f>Macro!U17</f>
        <v>2042</v>
      </c>
      <c r="W19" s="196">
        <f>Macro!V17</f>
        <v>2043</v>
      </c>
      <c r="X19" s="196">
        <f>Macro!W17</f>
        <v>2044</v>
      </c>
      <c r="Y19" s="196">
        <f>Macro!X17</f>
        <v>2045</v>
      </c>
      <c r="Z19" s="1"/>
      <c r="AA19" s="196" t="s">
        <v>69</v>
      </c>
      <c r="AB19" s="196" t="s">
        <v>70</v>
      </c>
      <c r="AC19" s="196" t="s">
        <v>71</v>
      </c>
      <c r="AD19" s="196" t="s">
        <v>72</v>
      </c>
      <c r="AE19" s="196" t="s">
        <v>73</v>
      </c>
      <c r="AF19" s="245"/>
      <c r="AG19" s="245"/>
      <c r="AH19" s="245">
        <f>D19</f>
        <v>2024</v>
      </c>
      <c r="AI19" s="245">
        <f>Y19</f>
        <v>2045</v>
      </c>
      <c r="AJ19" s="1">
        <v>2036</v>
      </c>
      <c r="AK19" s="150">
        <f t="shared" si="0"/>
        <v>4.4032403210886217</v>
      </c>
      <c r="AL19" s="150">
        <f t="shared" si="1"/>
        <v>-2.1686456803991749</v>
      </c>
      <c r="AM19" s="150">
        <f t="shared" si="2"/>
        <v>2.2345946406894464</v>
      </c>
      <c r="AN19" s="142">
        <f t="shared" si="3"/>
        <v>1695.5588466239399</v>
      </c>
    </row>
    <row r="20" spans="2:42">
      <c r="B20" s="8" t="s">
        <v>122</v>
      </c>
      <c r="D20" s="129"/>
      <c r="E20" s="129">
        <f t="shared" ref="E20:Y20" si="6">(SUM(D36:D38)*E31+MAX(E27,0)*$V$14+E29)/E22*10^6</f>
        <v>475897.43589743593</v>
      </c>
      <c r="F20" s="129">
        <f t="shared" si="6"/>
        <v>347426.42607049388</v>
      </c>
      <c r="G20" s="129">
        <f t="shared" si="6"/>
        <v>258200.32030472645</v>
      </c>
      <c r="H20" s="129">
        <f t="shared" si="6"/>
        <v>195396.84801326354</v>
      </c>
      <c r="I20" s="129">
        <f t="shared" si="6"/>
        <v>92910.99889272709</v>
      </c>
      <c r="J20" s="129">
        <f t="shared" si="6"/>
        <v>74328.799114181675</v>
      </c>
      <c r="K20" s="129">
        <f t="shared" si="6"/>
        <v>60564.206685629542</v>
      </c>
      <c r="L20" s="129">
        <f t="shared" si="6"/>
        <v>50279.71875788115</v>
      </c>
      <c r="M20" s="129">
        <f t="shared" si="6"/>
        <v>42544.377410514826</v>
      </c>
      <c r="N20" s="129">
        <f t="shared" si="6"/>
        <v>36704.953060052008</v>
      </c>
      <c r="O20" s="129">
        <f t="shared" si="6"/>
        <v>32300.358692845773</v>
      </c>
      <c r="P20" s="129">
        <f t="shared" si="6"/>
        <v>29004.403724188047</v>
      </c>
      <c r="Q20" s="129">
        <f t="shared" si="6"/>
        <v>26587.370080505712</v>
      </c>
      <c r="R20" s="129">
        <f t="shared" si="6"/>
        <v>24371.755907130242</v>
      </c>
      <c r="S20" s="129">
        <f t="shared" si="6"/>
        <v>22340.776248202721</v>
      </c>
      <c r="T20" s="129">
        <f t="shared" si="6"/>
        <v>20479.04489418583</v>
      </c>
      <c r="U20" s="129">
        <f t="shared" si="6"/>
        <v>18772.457819670348</v>
      </c>
      <c r="V20" s="129">
        <f t="shared" si="6"/>
        <v>17208.086334697819</v>
      </c>
      <c r="W20" s="129">
        <f t="shared" si="6"/>
        <v>15774.079140139671</v>
      </c>
      <c r="X20" s="129">
        <f t="shared" si="6"/>
        <v>14459.572545128034</v>
      </c>
      <c r="Y20" s="129">
        <f t="shared" si="6"/>
        <v>13254.608166367367</v>
      </c>
      <c r="AA20" s="57" t="str">
        <f t="shared" ref="AA20:AA22" si="7">IFERROR((E20/D20)-1,"")</f>
        <v/>
      </c>
      <c r="AB20" s="57" t="str">
        <f t="shared" ref="AB20:AB22" si="8">IFERROR((J20/D20)^(1/6)-1,"")</f>
        <v/>
      </c>
      <c r="AC20" s="57" t="str">
        <f t="shared" ref="AC20:AC22" si="9">IFERROR((O20/D20)^(1/11)-1,"")</f>
        <v/>
      </c>
      <c r="AD20" s="57" t="str">
        <f t="shared" ref="AD20:AD22" si="10">IFERROR((T20/D20)^(1/16)-1,"")</f>
        <v/>
      </c>
      <c r="AE20" s="57"/>
      <c r="AF20" s="57"/>
      <c r="AJ20" s="1">
        <v>2037</v>
      </c>
      <c r="AK20" s="150">
        <f t="shared" si="0"/>
        <v>5.3667428944517805</v>
      </c>
      <c r="AL20" s="150">
        <f t="shared" si="1"/>
        <v>-2.4550894553884484</v>
      </c>
      <c r="AM20" s="150">
        <f t="shared" si="2"/>
        <v>2.9116534390633322</v>
      </c>
      <c r="AN20" s="142">
        <f t="shared" si="3"/>
        <v>1722.1462167044456</v>
      </c>
    </row>
    <row r="21" spans="2:42" ht="15.75" customHeight="1">
      <c r="B21" s="204" t="s">
        <v>123</v>
      </c>
      <c r="C21" s="204"/>
      <c r="D21" s="246">
        <f>D4</f>
        <v>0</v>
      </c>
      <c r="E21" s="243">
        <f t="shared" ref="E21:Y21" si="11">D21+E20</f>
        <v>475897.43589743593</v>
      </c>
      <c r="F21" s="243">
        <f t="shared" si="11"/>
        <v>823323.86196792987</v>
      </c>
      <c r="G21" s="243">
        <f t="shared" si="11"/>
        <v>1081524.1822726564</v>
      </c>
      <c r="H21" s="243">
        <f t="shared" si="11"/>
        <v>1276921.03028592</v>
      </c>
      <c r="I21" s="243">
        <f t="shared" si="11"/>
        <v>1369832.0291786471</v>
      </c>
      <c r="J21" s="243">
        <f t="shared" si="11"/>
        <v>1444160.8282928288</v>
      </c>
      <c r="K21" s="243">
        <f t="shared" si="11"/>
        <v>1504725.0349784582</v>
      </c>
      <c r="L21" s="243">
        <f t="shared" si="11"/>
        <v>1555004.7537363393</v>
      </c>
      <c r="M21" s="243">
        <f t="shared" si="11"/>
        <v>1597549.131146854</v>
      </c>
      <c r="N21" s="243">
        <f t="shared" si="11"/>
        <v>1634254.0842069061</v>
      </c>
      <c r="O21" s="243">
        <f t="shared" si="11"/>
        <v>1666554.4428997519</v>
      </c>
      <c r="P21" s="243">
        <f t="shared" si="11"/>
        <v>1695558.8466239399</v>
      </c>
      <c r="Q21" s="243">
        <f t="shared" si="11"/>
        <v>1722146.2167044457</v>
      </c>
      <c r="R21" s="243">
        <f t="shared" si="11"/>
        <v>1746517.9726115759</v>
      </c>
      <c r="S21" s="243">
        <f t="shared" si="11"/>
        <v>1768858.7488597785</v>
      </c>
      <c r="T21" s="243">
        <f t="shared" si="11"/>
        <v>1789337.7937539644</v>
      </c>
      <c r="U21" s="243">
        <f t="shared" si="11"/>
        <v>1808110.2515736348</v>
      </c>
      <c r="V21" s="243">
        <f t="shared" si="11"/>
        <v>1825318.3379083327</v>
      </c>
      <c r="W21" s="243">
        <f t="shared" si="11"/>
        <v>1841092.4170484724</v>
      </c>
      <c r="X21" s="243">
        <f t="shared" si="11"/>
        <v>1855551.9895936004</v>
      </c>
      <c r="Y21" s="243">
        <f t="shared" si="11"/>
        <v>1868806.5977599677</v>
      </c>
      <c r="AA21" s="57" t="str">
        <f t="shared" si="7"/>
        <v/>
      </c>
      <c r="AB21" s="57" t="str">
        <f t="shared" si="8"/>
        <v/>
      </c>
      <c r="AC21" s="57" t="str">
        <f t="shared" si="9"/>
        <v/>
      </c>
      <c r="AD21" s="57" t="str">
        <f t="shared" si="10"/>
        <v/>
      </c>
      <c r="AE21" s="229" t="str">
        <f t="shared" ref="AE21:AE22" si="12">IFERROR((Y21/D21)^(1/21)-1,"")</f>
        <v/>
      </c>
      <c r="AF21" s="57"/>
      <c r="AJ21" s="1">
        <v>2038</v>
      </c>
      <c r="AK21" s="150">
        <f t="shared" si="0"/>
        <v>6.5312314334021133</v>
      </c>
      <c r="AL21" s="150">
        <f t="shared" si="1"/>
        <v>-2.7750481523631039</v>
      </c>
      <c r="AM21" s="150">
        <f t="shared" si="2"/>
        <v>3.756183281039009</v>
      </c>
      <c r="AN21" s="142">
        <f t="shared" si="3"/>
        <v>1746.5179726115759</v>
      </c>
    </row>
    <row r="22" spans="2:42" ht="15.75" customHeight="1">
      <c r="B22" s="8" t="s">
        <v>75</v>
      </c>
      <c r="D22" s="79">
        <f>Macro!C20</f>
        <v>65</v>
      </c>
      <c r="E22" s="79">
        <f>Macro!D20</f>
        <v>97.5</v>
      </c>
      <c r="F22" s="79">
        <f>Macro!E20</f>
        <v>143.8125</v>
      </c>
      <c r="G22" s="79">
        <f>Macro!F20</f>
        <v>208.52812499999999</v>
      </c>
      <c r="H22" s="79">
        <f>Macro!G20</f>
        <v>297.15257812499993</v>
      </c>
      <c r="I22" s="79">
        <f>Macro!H20</f>
        <v>416.01360937499987</v>
      </c>
      <c r="J22" s="79">
        <f>Macro!I20</f>
        <v>572.01871289062478</v>
      </c>
      <c r="K22" s="79">
        <f>Macro!J20</f>
        <v>772.22526240234333</v>
      </c>
      <c r="L22" s="79">
        <f>Macro!K20</f>
        <v>1023.1984726831047</v>
      </c>
      <c r="M22" s="79">
        <f>Macro!L20</f>
        <v>1330.1580144880359</v>
      </c>
      <c r="N22" s="79">
        <f>Macro!M20</f>
        <v>1695.9514684722456</v>
      </c>
      <c r="O22" s="79">
        <f>Macro!N20</f>
        <v>2119.9393355903067</v>
      </c>
      <c r="P22" s="79">
        <f>Macro!O20</f>
        <v>2596.9256860981254</v>
      </c>
      <c r="Q22" s="79">
        <f>Macro!P20</f>
        <v>3116.3108233177504</v>
      </c>
      <c r="R22" s="79">
        <f>Macro!Q20</f>
        <v>3739.5729879813002</v>
      </c>
      <c r="S22" s="79">
        <f>Macro!R20</f>
        <v>4487.4875855775599</v>
      </c>
      <c r="T22" s="79">
        <f>Macro!S20</f>
        <v>5384.9851026930719</v>
      </c>
      <c r="U22" s="79">
        <f>Macro!T20</f>
        <v>6461.9821232316863</v>
      </c>
      <c r="V22" s="79">
        <f>Macro!U20</f>
        <v>7754.3785478780228</v>
      </c>
      <c r="W22" s="79">
        <f>Macro!V20</f>
        <v>9305.2542574536274</v>
      </c>
      <c r="X22" s="79">
        <f>Macro!W20</f>
        <v>11166.305108944352</v>
      </c>
      <c r="Y22" s="79">
        <f>Macro!X20</f>
        <v>13399.566130733223</v>
      </c>
      <c r="AA22" s="57">
        <f t="shared" si="7"/>
        <v>0.5</v>
      </c>
      <c r="AB22" s="57">
        <f t="shared" si="8"/>
        <v>0.43686559725988783</v>
      </c>
      <c r="AC22" s="57">
        <f t="shared" si="9"/>
        <v>0.37272244333469207</v>
      </c>
      <c r="AD22" s="57">
        <f t="shared" si="10"/>
        <v>0.31792879499327231</v>
      </c>
      <c r="AE22" s="57">
        <f t="shared" si="12"/>
        <v>0.28883975252734717</v>
      </c>
      <c r="AF22" s="57"/>
      <c r="AJ22" s="1">
        <v>2039</v>
      </c>
      <c r="AK22" s="150">
        <f t="shared" si="0"/>
        <v>7.9377316761485108</v>
      </c>
      <c r="AL22" s="150">
        <f t="shared" si="1"/>
        <v>-3.1322142016357315</v>
      </c>
      <c r="AM22" s="150">
        <f t="shared" si="2"/>
        <v>4.8055174745127784</v>
      </c>
      <c r="AN22" s="142">
        <f t="shared" si="3"/>
        <v>1768.8587488597784</v>
      </c>
    </row>
    <row r="23" spans="2:42" ht="15.75" customHeight="1">
      <c r="B23" s="197" t="s">
        <v>229</v>
      </c>
      <c r="C23" s="197"/>
      <c r="D23" s="198"/>
      <c r="E23" s="198"/>
      <c r="F23" s="198"/>
      <c r="G23" s="198"/>
      <c r="H23" s="198"/>
      <c r="I23" s="198"/>
      <c r="J23" s="198"/>
      <c r="K23" s="198"/>
      <c r="L23" s="198"/>
      <c r="M23" s="198"/>
      <c r="N23" s="198"/>
      <c r="O23" s="198"/>
      <c r="P23" s="198"/>
      <c r="Q23" s="198"/>
      <c r="R23" s="198"/>
      <c r="S23" s="198"/>
      <c r="T23" s="198"/>
      <c r="U23" s="198"/>
      <c r="V23" s="198"/>
      <c r="W23" s="198"/>
      <c r="X23" s="198"/>
      <c r="Y23" s="198"/>
      <c r="AE23" s="198"/>
      <c r="AG23" s="245"/>
      <c r="AH23" s="245"/>
      <c r="AI23" s="245"/>
      <c r="AJ23" s="54">
        <v>2040</v>
      </c>
      <c r="AK23" s="149">
        <f t="shared" si="0"/>
        <v>9.6355573630507863</v>
      </c>
      <c r="AL23" s="149">
        <f t="shared" si="1"/>
        <v>-3.5306731422181645</v>
      </c>
      <c r="AM23" s="149">
        <f t="shared" si="2"/>
        <v>6.1048842208326217</v>
      </c>
      <c r="AN23" s="144">
        <f t="shared" si="3"/>
        <v>1789.3377937539644</v>
      </c>
    </row>
    <row r="24" spans="2:42" ht="15.75" customHeight="1">
      <c r="B24" s="98" t="s">
        <v>230</v>
      </c>
      <c r="C24" s="98"/>
      <c r="D24" s="79">
        <f>D5</f>
        <v>120</v>
      </c>
      <c r="E24" s="79">
        <f t="shared" ref="E24:Y24" si="13">D24*(1+$AE$5)</f>
        <v>132</v>
      </c>
      <c r="F24" s="79">
        <f t="shared" si="13"/>
        <v>145.20000000000002</v>
      </c>
      <c r="G24" s="79">
        <f t="shared" si="13"/>
        <v>159.72000000000003</v>
      </c>
      <c r="H24" s="79">
        <f t="shared" si="13"/>
        <v>175.69200000000004</v>
      </c>
      <c r="I24" s="79">
        <f t="shared" si="13"/>
        <v>193.26120000000006</v>
      </c>
      <c r="J24" s="79">
        <f t="shared" si="13"/>
        <v>212.58732000000009</v>
      </c>
      <c r="K24" s="79">
        <f t="shared" si="13"/>
        <v>233.84605200000013</v>
      </c>
      <c r="L24" s="79">
        <f t="shared" si="13"/>
        <v>257.23065720000017</v>
      </c>
      <c r="M24" s="79">
        <f t="shared" si="13"/>
        <v>282.95372292000019</v>
      </c>
      <c r="N24" s="79">
        <f t="shared" si="13"/>
        <v>311.24909521200021</v>
      </c>
      <c r="O24" s="79">
        <f t="shared" si="13"/>
        <v>342.37400473320025</v>
      </c>
      <c r="P24" s="79">
        <f t="shared" si="13"/>
        <v>376.61140520652032</v>
      </c>
      <c r="Q24" s="79">
        <f t="shared" si="13"/>
        <v>414.27254572717237</v>
      </c>
      <c r="R24" s="79">
        <f t="shared" si="13"/>
        <v>455.69980029988966</v>
      </c>
      <c r="S24" s="79">
        <f t="shared" si="13"/>
        <v>501.26978032987864</v>
      </c>
      <c r="T24" s="79">
        <f t="shared" si="13"/>
        <v>551.39675836286654</v>
      </c>
      <c r="U24" s="79">
        <f t="shared" si="13"/>
        <v>606.53643419915329</v>
      </c>
      <c r="V24" s="79">
        <f t="shared" si="13"/>
        <v>667.19007761906869</v>
      </c>
      <c r="W24" s="79">
        <f t="shared" si="13"/>
        <v>733.90908538097563</v>
      </c>
      <c r="X24" s="79">
        <f t="shared" si="13"/>
        <v>807.29999391907324</v>
      </c>
      <c r="Y24" s="79">
        <f t="shared" si="13"/>
        <v>888.02999331098067</v>
      </c>
      <c r="Z24" s="1"/>
      <c r="AA24" s="57">
        <f t="shared" ref="AA24:AA30" si="14">IFERROR((E24/D24)-1,"")</f>
        <v>0.10000000000000009</v>
      </c>
      <c r="AB24" s="57">
        <f t="shared" ref="AB24:AB30" si="15">IFERROR((J24/D24)^(1/6)-1,"")</f>
        <v>0.10000000000000009</v>
      </c>
      <c r="AC24" s="57">
        <f t="shared" ref="AC24:AC30" si="16">IFERROR((O24/D24)^(1/11)-1,"")</f>
        <v>0.10000000000000009</v>
      </c>
      <c r="AD24" s="57">
        <f t="shared" ref="AD24:AD30" si="17">IFERROR((T24/D24)^(1/16)-1,"")</f>
        <v>0.10000000000000009</v>
      </c>
      <c r="AE24" s="57">
        <f t="shared" ref="AE24:AE30" si="18">IFERROR((Y24/D24)^(1/21)-1,"")</f>
        <v>0.10000000000000009</v>
      </c>
      <c r="AF24" s="57"/>
      <c r="AG24" s="245"/>
      <c r="AH24" s="245"/>
      <c r="AI24" s="245"/>
      <c r="AJ24" s="1">
        <v>2041</v>
      </c>
      <c r="AK24" s="150">
        <f t="shared" si="0"/>
        <v>11.683976122500775</v>
      </c>
      <c r="AL24" s="150">
        <f t="shared" si="1"/>
        <v>-3.974944603288161</v>
      </c>
      <c r="AM24" s="150">
        <f t="shared" si="2"/>
        <v>7.7090315192126146</v>
      </c>
      <c r="AN24" s="142">
        <f t="shared" si="3"/>
        <v>1808.1102515736347</v>
      </c>
      <c r="AP24" s="52"/>
    </row>
    <row r="25" spans="2:42" ht="15" customHeight="1">
      <c r="B25" s="98" t="s">
        <v>231</v>
      </c>
      <c r="C25" s="98"/>
      <c r="D25" s="79">
        <f>MIN(D6,0)</f>
        <v>-135</v>
      </c>
      <c r="E25" s="79">
        <f t="shared" ref="E25:Y25" si="19">D25*(1+$AE$6)</f>
        <v>-148.5</v>
      </c>
      <c r="F25" s="79">
        <f t="shared" si="19"/>
        <v>-163.35000000000002</v>
      </c>
      <c r="G25" s="79">
        <f t="shared" si="19"/>
        <v>-179.68500000000003</v>
      </c>
      <c r="H25" s="79">
        <f t="shared" si="19"/>
        <v>-197.65350000000004</v>
      </c>
      <c r="I25" s="79">
        <f t="shared" si="19"/>
        <v>-217.41885000000005</v>
      </c>
      <c r="J25" s="79">
        <f t="shared" si="19"/>
        <v>-239.16073500000007</v>
      </c>
      <c r="K25" s="79">
        <f t="shared" si="19"/>
        <v>-263.07680850000008</v>
      </c>
      <c r="L25" s="79">
        <f t="shared" si="19"/>
        <v>-289.38448935000014</v>
      </c>
      <c r="M25" s="79">
        <f t="shared" si="19"/>
        <v>-318.32293828500019</v>
      </c>
      <c r="N25" s="79">
        <f t="shared" si="19"/>
        <v>-350.15523211350023</v>
      </c>
      <c r="O25" s="79">
        <f t="shared" si="19"/>
        <v>-385.17075532485029</v>
      </c>
      <c r="P25" s="79">
        <f t="shared" si="19"/>
        <v>-423.68783085733537</v>
      </c>
      <c r="Q25" s="79">
        <f t="shared" si="19"/>
        <v>-466.05661394306895</v>
      </c>
      <c r="R25" s="79">
        <f t="shared" si="19"/>
        <v>-512.66227533737595</v>
      </c>
      <c r="S25" s="79">
        <f t="shared" si="19"/>
        <v>-563.92850287111355</v>
      </c>
      <c r="T25" s="79">
        <f t="shared" si="19"/>
        <v>-620.32135315822495</v>
      </c>
      <c r="U25" s="79">
        <f t="shared" si="19"/>
        <v>-682.35348847404748</v>
      </c>
      <c r="V25" s="79">
        <f t="shared" si="19"/>
        <v>-750.58883732145227</v>
      </c>
      <c r="W25" s="79">
        <f t="shared" si="19"/>
        <v>-825.64772105359759</v>
      </c>
      <c r="X25" s="79">
        <f t="shared" si="19"/>
        <v>-908.21249315895739</v>
      </c>
      <c r="Y25" s="79">
        <f t="shared" si="19"/>
        <v>-999.03374247485317</v>
      </c>
      <c r="AA25" s="57">
        <f t="shared" si="14"/>
        <v>0.10000000000000009</v>
      </c>
      <c r="AB25" s="57">
        <f t="shared" si="15"/>
        <v>0.10000000000000009</v>
      </c>
      <c r="AC25" s="57">
        <f t="shared" si="16"/>
        <v>0.10000000000000009</v>
      </c>
      <c r="AD25" s="57">
        <f t="shared" si="17"/>
        <v>0.10000000000000009</v>
      </c>
      <c r="AE25" s="57">
        <f t="shared" si="18"/>
        <v>0.10000000000000009</v>
      </c>
      <c r="AF25" s="57"/>
      <c r="AG25" s="245"/>
      <c r="AH25" s="245"/>
      <c r="AI25" s="245"/>
      <c r="AJ25" s="1">
        <v>2042</v>
      </c>
      <c r="AK25" s="150">
        <f t="shared" si="0"/>
        <v>14.154209362524742</v>
      </c>
      <c r="AL25" s="150">
        <f t="shared" si="1"/>
        <v>-4.4700275007445294</v>
      </c>
      <c r="AM25" s="150">
        <f t="shared" si="2"/>
        <v>9.6841818617802122</v>
      </c>
      <c r="AN25" s="142">
        <f t="shared" si="3"/>
        <v>1825.3183379083328</v>
      </c>
    </row>
    <row r="26" spans="2:42" ht="15.75" customHeight="1">
      <c r="B26" s="98" t="s">
        <v>178</v>
      </c>
      <c r="C26" s="98"/>
      <c r="D26" s="79">
        <f t="shared" ref="D26:Y26" si="20">$D$8*D41</f>
        <v>-25.200000000000003</v>
      </c>
      <c r="E26" s="79">
        <f t="shared" si="20"/>
        <v>-28.014000000000003</v>
      </c>
      <c r="F26" s="79">
        <f t="shared" si="20"/>
        <v>-32.977980000000002</v>
      </c>
      <c r="G26" s="79">
        <f t="shared" si="20"/>
        <v>-38.589738600000004</v>
      </c>
      <c r="H26" s="79">
        <f t="shared" si="20"/>
        <v>-44.924650302000003</v>
      </c>
      <c r="I26" s="79">
        <f t="shared" si="20"/>
        <v>-52.06636882314001</v>
      </c>
      <c r="J26" s="79">
        <f t="shared" si="20"/>
        <v>-60.107706940759812</v>
      </c>
      <c r="K26" s="79">
        <f t="shared" si="20"/>
        <v>-69.151607956613006</v>
      </c>
      <c r="L26" s="79">
        <f t="shared" si="20"/>
        <v>-79.312218196575913</v>
      </c>
      <c r="M26" s="79">
        <f t="shared" si="20"/>
        <v>-90.716070921636231</v>
      </c>
      <c r="N26" s="79">
        <f t="shared" si="20"/>
        <v>-103.50339308258079</v>
      </c>
      <c r="O26" s="79">
        <f t="shared" si="20"/>
        <v>-117.82954751443444</v>
      </c>
      <c r="P26" s="79">
        <f t="shared" si="20"/>
        <v>-133.86662444812515</v>
      </c>
      <c r="Q26" s="79">
        <f t="shared" si="20"/>
        <v>-151.80519762794228</v>
      </c>
      <c r="R26" s="79">
        <f t="shared" si="20"/>
        <v>-171.8562618771914</v>
      </c>
      <c r="S26" s="79">
        <f t="shared" si="20"/>
        <v>-194.25337066541729</v>
      </c>
      <c r="T26" s="79">
        <f t="shared" si="20"/>
        <v>-219.25499411450124</v>
      </c>
      <c r="U26" s="79">
        <f t="shared" si="20"/>
        <v>-247.14711995527156</v>
      </c>
      <c r="V26" s="79">
        <f t="shared" si="20"/>
        <v>-278.2461222301713</v>
      </c>
      <c r="W26" s="79">
        <f t="shared" si="20"/>
        <v>-312.90192505211712</v>
      </c>
      <c r="X26" s="79">
        <f t="shared" si="20"/>
        <v>-351.50149149818253</v>
      </c>
      <c r="Y26" s="79">
        <f t="shared" si="20"/>
        <v>-394.47267076471422</v>
      </c>
      <c r="AA26" s="57">
        <f t="shared" si="14"/>
        <v>0.11166666666666658</v>
      </c>
      <c r="AB26" s="57">
        <f t="shared" si="15"/>
        <v>0.15590356522127169</v>
      </c>
      <c r="AC26" s="57">
        <f t="shared" si="16"/>
        <v>0.15052427974074645</v>
      </c>
      <c r="AD26" s="57">
        <f t="shared" si="17"/>
        <v>0.1447794099903208</v>
      </c>
      <c r="AE26" s="57">
        <f t="shared" si="18"/>
        <v>0.13995181469528561</v>
      </c>
      <c r="AF26" s="57"/>
      <c r="AH26" s="57"/>
      <c r="AI26" s="57"/>
      <c r="AJ26" s="1">
        <v>2043</v>
      </c>
      <c r="AK26" s="150">
        <f t="shared" si="0"/>
        <v>17.13183305210589</v>
      </c>
      <c r="AL26" s="150">
        <f t="shared" si="1"/>
        <v>-5.0214498785454644</v>
      </c>
      <c r="AM26" s="150">
        <f t="shared" si="2"/>
        <v>12.110383173560425</v>
      </c>
      <c r="AN26" s="142">
        <f t="shared" si="3"/>
        <v>1841.0924170484725</v>
      </c>
    </row>
    <row r="27" spans="2:42" ht="15.75" customHeight="1">
      <c r="B27" s="82" t="s">
        <v>232</v>
      </c>
      <c r="C27" s="82"/>
      <c r="D27" s="83">
        <f t="shared" ref="D27:Y27" si="21">SUM(D24:D26)</f>
        <v>-40.200000000000003</v>
      </c>
      <c r="E27" s="83">
        <f t="shared" si="21"/>
        <v>-44.514000000000003</v>
      </c>
      <c r="F27" s="83">
        <f t="shared" si="21"/>
        <v>-51.127980000000008</v>
      </c>
      <c r="G27" s="83">
        <f t="shared" si="21"/>
        <v>-58.554738600000007</v>
      </c>
      <c r="H27" s="83">
        <f t="shared" si="21"/>
        <v>-66.886150302000004</v>
      </c>
      <c r="I27" s="83">
        <f t="shared" si="21"/>
        <v>-76.22401882314</v>
      </c>
      <c r="J27" s="83">
        <f t="shared" si="21"/>
        <v>-86.681121940759795</v>
      </c>
      <c r="K27" s="83">
        <f t="shared" si="21"/>
        <v>-98.382364456612962</v>
      </c>
      <c r="L27" s="83">
        <f t="shared" si="21"/>
        <v>-111.46605034657588</v>
      </c>
      <c r="M27" s="83">
        <f t="shared" si="21"/>
        <v>-126.08528628663623</v>
      </c>
      <c r="N27" s="83">
        <f t="shared" si="21"/>
        <v>-142.40952998408079</v>
      </c>
      <c r="O27" s="83">
        <f t="shared" si="21"/>
        <v>-160.62629810608448</v>
      </c>
      <c r="P27" s="83">
        <f t="shared" si="21"/>
        <v>-180.9430500989402</v>
      </c>
      <c r="Q27" s="83">
        <f t="shared" si="21"/>
        <v>-203.58926584383886</v>
      </c>
      <c r="R27" s="83">
        <f t="shared" si="21"/>
        <v>-228.81873691467769</v>
      </c>
      <c r="S27" s="83">
        <f t="shared" si="21"/>
        <v>-256.91209320665223</v>
      </c>
      <c r="T27" s="83">
        <f t="shared" si="21"/>
        <v>-288.17958890985966</v>
      </c>
      <c r="U27" s="83">
        <f t="shared" si="21"/>
        <v>-322.96417423016578</v>
      </c>
      <c r="V27" s="83">
        <f t="shared" si="21"/>
        <v>-361.64488193255488</v>
      </c>
      <c r="W27" s="83">
        <f t="shared" si="21"/>
        <v>-404.64056072473909</v>
      </c>
      <c r="X27" s="83">
        <f t="shared" si="21"/>
        <v>-452.41399073806667</v>
      </c>
      <c r="Y27" s="83">
        <f t="shared" si="21"/>
        <v>-505.47641992858672</v>
      </c>
      <c r="Z27" s="201"/>
      <c r="AA27" s="203">
        <f t="shared" si="14"/>
        <v>0.10731343283582095</v>
      </c>
      <c r="AB27" s="203">
        <f t="shared" si="15"/>
        <v>0.13662292642939344</v>
      </c>
      <c r="AC27" s="203">
        <f t="shared" si="16"/>
        <v>0.13420107429520511</v>
      </c>
      <c r="AD27" s="203">
        <f t="shared" si="17"/>
        <v>0.13100577579355255</v>
      </c>
      <c r="AE27" s="84">
        <f t="shared" si="18"/>
        <v>0.12812167909501571</v>
      </c>
      <c r="AF27" s="86"/>
      <c r="AH27" s="57"/>
      <c r="AI27" s="57"/>
      <c r="AJ27" s="1">
        <v>2044</v>
      </c>
      <c r="AK27" s="150">
        <f t="shared" si="0"/>
        <v>20.719659661310878</v>
      </c>
      <c r="AL27" s="150">
        <f t="shared" si="1"/>
        <v>-5.6353238680673456</v>
      </c>
      <c r="AM27" s="150">
        <f t="shared" si="2"/>
        <v>15.084335793243532</v>
      </c>
      <c r="AN27" s="142">
        <f t="shared" si="3"/>
        <v>1855.5519895936004</v>
      </c>
    </row>
    <row r="28" spans="2:42" ht="15.75" hidden="1" customHeight="1" outlineLevel="1">
      <c r="B28" s="98" t="s">
        <v>233</v>
      </c>
      <c r="C28" s="98"/>
      <c r="D28" s="79">
        <f t="shared" ref="D28:Y28" si="22">MAX(-D27,0)</f>
        <v>40.200000000000003</v>
      </c>
      <c r="E28" s="79">
        <f t="shared" si="22"/>
        <v>44.514000000000003</v>
      </c>
      <c r="F28" s="79">
        <f t="shared" si="22"/>
        <v>51.127980000000008</v>
      </c>
      <c r="G28" s="79">
        <f t="shared" si="22"/>
        <v>58.554738600000007</v>
      </c>
      <c r="H28" s="79">
        <f t="shared" si="22"/>
        <v>66.886150302000004</v>
      </c>
      <c r="I28" s="79">
        <f t="shared" si="22"/>
        <v>76.22401882314</v>
      </c>
      <c r="J28" s="79">
        <f t="shared" si="22"/>
        <v>86.681121940759795</v>
      </c>
      <c r="K28" s="79">
        <f t="shared" si="22"/>
        <v>98.382364456612962</v>
      </c>
      <c r="L28" s="79">
        <f t="shared" si="22"/>
        <v>111.46605034657588</v>
      </c>
      <c r="M28" s="79">
        <f t="shared" si="22"/>
        <v>126.08528628663623</v>
      </c>
      <c r="N28" s="79">
        <f t="shared" si="22"/>
        <v>142.40952998408079</v>
      </c>
      <c r="O28" s="79">
        <f t="shared" si="22"/>
        <v>160.62629810608448</v>
      </c>
      <c r="P28" s="79">
        <f t="shared" si="22"/>
        <v>180.9430500989402</v>
      </c>
      <c r="Q28" s="79">
        <f t="shared" si="22"/>
        <v>203.58926584383886</v>
      </c>
      <c r="R28" s="79">
        <f t="shared" si="22"/>
        <v>228.81873691467769</v>
      </c>
      <c r="S28" s="79">
        <f t="shared" si="22"/>
        <v>256.91209320665223</v>
      </c>
      <c r="T28" s="79">
        <f t="shared" si="22"/>
        <v>288.17958890985966</v>
      </c>
      <c r="U28" s="79">
        <f t="shared" si="22"/>
        <v>322.96417423016578</v>
      </c>
      <c r="V28" s="79">
        <f t="shared" si="22"/>
        <v>361.64488193255488</v>
      </c>
      <c r="W28" s="79">
        <f t="shared" si="22"/>
        <v>404.64056072473909</v>
      </c>
      <c r="X28" s="79">
        <f t="shared" si="22"/>
        <v>452.41399073806667</v>
      </c>
      <c r="Y28" s="79">
        <f t="shared" si="22"/>
        <v>505.47641992858672</v>
      </c>
      <c r="AA28" s="57">
        <f t="shared" si="14"/>
        <v>0.10731343283582095</v>
      </c>
      <c r="AB28" s="57">
        <f t="shared" si="15"/>
        <v>0.13662292642939344</v>
      </c>
      <c r="AC28" s="57">
        <f t="shared" si="16"/>
        <v>0.13420107429520511</v>
      </c>
      <c r="AD28" s="57">
        <f t="shared" si="17"/>
        <v>0.13100577579355255</v>
      </c>
      <c r="AE28" s="57">
        <f t="shared" si="18"/>
        <v>0.12812167909501571</v>
      </c>
      <c r="AF28" s="57"/>
      <c r="AH28" s="57"/>
      <c r="AI28" s="57"/>
      <c r="AK28" s="8" t="e">
        <f t="shared" si="0"/>
        <v>#N/A</v>
      </c>
      <c r="AL28" s="8" t="e">
        <f t="shared" si="1"/>
        <v>#N/A</v>
      </c>
      <c r="AM28" s="8" t="e">
        <f t="shared" si="2"/>
        <v>#N/A</v>
      </c>
      <c r="AN28" s="148" t="e">
        <f t="shared" si="3"/>
        <v>#N/A</v>
      </c>
      <c r="AO28" s="119"/>
    </row>
    <row r="29" spans="2:42" ht="15.75" hidden="1" customHeight="1" outlineLevel="1">
      <c r="B29" s="98" t="s">
        <v>234</v>
      </c>
      <c r="C29" s="98"/>
      <c r="D29" s="79"/>
      <c r="E29" s="79">
        <f t="shared" ref="E29:Y29" si="23">+$V$15*E24</f>
        <v>26.400000000000002</v>
      </c>
      <c r="F29" s="79">
        <f t="shared" si="23"/>
        <v>29.040000000000006</v>
      </c>
      <c r="G29" s="79">
        <f t="shared" si="23"/>
        <v>31.944000000000006</v>
      </c>
      <c r="H29" s="79">
        <f t="shared" si="23"/>
        <v>35.138400000000011</v>
      </c>
      <c r="I29" s="79">
        <f t="shared" si="23"/>
        <v>38.652240000000013</v>
      </c>
      <c r="J29" s="79">
        <f t="shared" si="23"/>
        <v>42.517464000000018</v>
      </c>
      <c r="K29" s="79">
        <f t="shared" si="23"/>
        <v>46.769210400000027</v>
      </c>
      <c r="L29" s="79">
        <f t="shared" si="23"/>
        <v>51.446131440000038</v>
      </c>
      <c r="M29" s="79">
        <f t="shared" si="23"/>
        <v>56.590744584000042</v>
      </c>
      <c r="N29" s="79">
        <f t="shared" si="23"/>
        <v>62.249819042400048</v>
      </c>
      <c r="O29" s="79">
        <f t="shared" si="23"/>
        <v>68.474800946640059</v>
      </c>
      <c r="P29" s="79">
        <f t="shared" si="23"/>
        <v>75.322281041304066</v>
      </c>
      <c r="Q29" s="79">
        <f t="shared" si="23"/>
        <v>82.854509145434477</v>
      </c>
      <c r="R29" s="79">
        <f t="shared" si="23"/>
        <v>91.139960059977938</v>
      </c>
      <c r="S29" s="79">
        <f t="shared" si="23"/>
        <v>100.25395606597573</v>
      </c>
      <c r="T29" s="79">
        <f t="shared" si="23"/>
        <v>110.27935167257331</v>
      </c>
      <c r="U29" s="79">
        <f t="shared" si="23"/>
        <v>121.30728683983067</v>
      </c>
      <c r="V29" s="79">
        <f t="shared" si="23"/>
        <v>133.43801552381373</v>
      </c>
      <c r="W29" s="79">
        <f t="shared" si="23"/>
        <v>146.78181707619513</v>
      </c>
      <c r="X29" s="79">
        <f t="shared" si="23"/>
        <v>161.45999878381465</v>
      </c>
      <c r="Y29" s="79">
        <f t="shared" si="23"/>
        <v>177.60599866219616</v>
      </c>
      <c r="AA29" s="57" t="str">
        <f t="shared" si="14"/>
        <v/>
      </c>
      <c r="AB29" s="57" t="str">
        <f t="shared" si="15"/>
        <v/>
      </c>
      <c r="AC29" s="57" t="str">
        <f t="shared" si="16"/>
        <v/>
      </c>
      <c r="AD29" s="57" t="str">
        <f t="shared" si="17"/>
        <v/>
      </c>
      <c r="AE29" s="57" t="str">
        <f t="shared" si="18"/>
        <v/>
      </c>
      <c r="AF29" s="57"/>
      <c r="AH29" s="57"/>
      <c r="AI29" s="57"/>
      <c r="AK29" s="52" t="e">
        <f t="shared" si="0"/>
        <v>#N/A</v>
      </c>
      <c r="AL29" s="8" t="e">
        <f t="shared" si="1"/>
        <v>#N/A</v>
      </c>
      <c r="AM29" s="52" t="e">
        <f t="shared" si="2"/>
        <v>#N/A</v>
      </c>
      <c r="AN29" s="148" t="e">
        <f t="shared" si="3"/>
        <v>#N/A</v>
      </c>
      <c r="AO29" s="52"/>
      <c r="AP29" s="52"/>
    </row>
    <row r="30" spans="2:42" ht="15.75" hidden="1" customHeight="1" outlineLevel="1">
      <c r="B30" s="241" t="s">
        <v>235</v>
      </c>
      <c r="C30" s="241"/>
      <c r="D30" s="202">
        <f t="shared" ref="D30:Y30" si="24">D27+D28+D29</f>
        <v>0</v>
      </c>
      <c r="E30" s="202">
        <f t="shared" si="24"/>
        <v>26.400000000000002</v>
      </c>
      <c r="F30" s="202">
        <f t="shared" si="24"/>
        <v>29.040000000000006</v>
      </c>
      <c r="G30" s="202">
        <f t="shared" si="24"/>
        <v>31.944000000000006</v>
      </c>
      <c r="H30" s="202">
        <f t="shared" si="24"/>
        <v>35.138400000000011</v>
      </c>
      <c r="I30" s="202">
        <f t="shared" si="24"/>
        <v>38.652240000000013</v>
      </c>
      <c r="J30" s="202">
        <f t="shared" si="24"/>
        <v>42.517464000000018</v>
      </c>
      <c r="K30" s="202">
        <f t="shared" si="24"/>
        <v>46.769210400000027</v>
      </c>
      <c r="L30" s="202">
        <f t="shared" si="24"/>
        <v>51.446131440000038</v>
      </c>
      <c r="M30" s="202">
        <f t="shared" si="24"/>
        <v>56.590744584000042</v>
      </c>
      <c r="N30" s="202">
        <f t="shared" si="24"/>
        <v>62.249819042400048</v>
      </c>
      <c r="O30" s="202">
        <f t="shared" si="24"/>
        <v>68.474800946640059</v>
      </c>
      <c r="P30" s="202">
        <f t="shared" si="24"/>
        <v>75.322281041304066</v>
      </c>
      <c r="Q30" s="202">
        <f t="shared" si="24"/>
        <v>82.854509145434477</v>
      </c>
      <c r="R30" s="202">
        <f t="shared" si="24"/>
        <v>91.139960059977938</v>
      </c>
      <c r="S30" s="202">
        <f t="shared" si="24"/>
        <v>100.25395606597573</v>
      </c>
      <c r="T30" s="202">
        <f t="shared" si="24"/>
        <v>110.27935167257331</v>
      </c>
      <c r="U30" s="202">
        <f t="shared" si="24"/>
        <v>121.30728683983067</v>
      </c>
      <c r="V30" s="202">
        <f t="shared" si="24"/>
        <v>133.43801552381373</v>
      </c>
      <c r="W30" s="202">
        <f t="shared" si="24"/>
        <v>146.78181707619513</v>
      </c>
      <c r="X30" s="202">
        <f t="shared" si="24"/>
        <v>161.45999878381465</v>
      </c>
      <c r="Y30" s="202">
        <f t="shared" si="24"/>
        <v>177.60599866219616</v>
      </c>
      <c r="Z30" s="66"/>
      <c r="AA30" s="203" t="str">
        <f t="shared" si="14"/>
        <v/>
      </c>
      <c r="AB30" s="203" t="str">
        <f t="shared" si="15"/>
        <v/>
      </c>
      <c r="AC30" s="203" t="str">
        <f t="shared" si="16"/>
        <v/>
      </c>
      <c r="AD30" s="203" t="str">
        <f t="shared" si="17"/>
        <v/>
      </c>
      <c r="AE30" s="203" t="str">
        <f t="shared" si="18"/>
        <v/>
      </c>
      <c r="AF30" s="86"/>
      <c r="AH30" s="57"/>
      <c r="AI30" s="57"/>
      <c r="AK30" s="52" t="e">
        <f t="shared" si="0"/>
        <v>#N/A</v>
      </c>
      <c r="AL30" s="8" t="e">
        <f t="shared" si="1"/>
        <v>#N/A</v>
      </c>
      <c r="AM30" s="52" t="e">
        <f t="shared" si="2"/>
        <v>#N/A</v>
      </c>
      <c r="AN30" s="148" t="e">
        <f t="shared" si="3"/>
        <v>#N/A</v>
      </c>
      <c r="AO30" s="52"/>
      <c r="AP30" s="52"/>
    </row>
    <row r="31" spans="2:42" ht="15.75" hidden="1" customHeight="1" outlineLevel="1">
      <c r="B31" s="74" t="s">
        <v>236</v>
      </c>
      <c r="C31" s="74"/>
      <c r="D31" s="151"/>
      <c r="E31" s="152">
        <f t="shared" ref="E31:Y31" si="25">IFERROR(IF(E19&lt;=$D$19+$V$12,$V$13/(1-$V$13*(E19-$D$19-1)),0),0)</f>
        <v>0.25</v>
      </c>
      <c r="F31" s="152">
        <f t="shared" si="25"/>
        <v>0.33333333333333331</v>
      </c>
      <c r="G31" s="152">
        <f t="shared" si="25"/>
        <v>0.5</v>
      </c>
      <c r="H31" s="152">
        <f t="shared" si="25"/>
        <v>1</v>
      </c>
      <c r="I31" s="152">
        <f t="shared" si="25"/>
        <v>0</v>
      </c>
      <c r="J31" s="152">
        <f t="shared" si="25"/>
        <v>0</v>
      </c>
      <c r="K31" s="152">
        <f t="shared" si="25"/>
        <v>0</v>
      </c>
      <c r="L31" s="152">
        <f t="shared" si="25"/>
        <v>0</v>
      </c>
      <c r="M31" s="152">
        <f t="shared" si="25"/>
        <v>0</v>
      </c>
      <c r="N31" s="152">
        <f t="shared" si="25"/>
        <v>0</v>
      </c>
      <c r="O31" s="152">
        <f t="shared" si="25"/>
        <v>0</v>
      </c>
      <c r="P31" s="152">
        <f t="shared" si="25"/>
        <v>0</v>
      </c>
      <c r="Q31" s="152">
        <f t="shared" si="25"/>
        <v>0</v>
      </c>
      <c r="R31" s="152">
        <f t="shared" si="25"/>
        <v>0</v>
      </c>
      <c r="S31" s="152">
        <f t="shared" si="25"/>
        <v>0</v>
      </c>
      <c r="T31" s="152">
        <f t="shared" si="25"/>
        <v>0</v>
      </c>
      <c r="U31" s="152">
        <f t="shared" si="25"/>
        <v>0</v>
      </c>
      <c r="V31" s="152">
        <f t="shared" si="25"/>
        <v>0</v>
      </c>
      <c r="W31" s="152">
        <f t="shared" si="25"/>
        <v>0</v>
      </c>
      <c r="X31" s="152">
        <f t="shared" si="25"/>
        <v>0</v>
      </c>
      <c r="Y31" s="152">
        <f t="shared" si="25"/>
        <v>0</v>
      </c>
      <c r="AH31" s="57"/>
      <c r="AI31" s="57"/>
      <c r="AK31" s="52" t="e">
        <f t="shared" si="0"/>
        <v>#N/A</v>
      </c>
      <c r="AL31" s="8" t="e">
        <f t="shared" si="1"/>
        <v>#N/A</v>
      </c>
      <c r="AM31" s="52" t="e">
        <f t="shared" si="2"/>
        <v>#N/A</v>
      </c>
      <c r="AN31" s="148" t="e">
        <f t="shared" si="3"/>
        <v>#N/A</v>
      </c>
      <c r="AO31" s="52"/>
      <c r="AP31" s="52"/>
    </row>
    <row r="32" spans="2:42" ht="15.75" hidden="1" customHeight="1" outlineLevel="1">
      <c r="B32" s="98" t="s">
        <v>237</v>
      </c>
      <c r="C32" s="74"/>
      <c r="D32" s="79"/>
      <c r="E32" s="79">
        <f t="shared" ref="E32:Y32" si="26">SUM(D36:D38)*E31</f>
        <v>20</v>
      </c>
      <c r="F32" s="79">
        <f t="shared" si="26"/>
        <v>20.924262899262899</v>
      </c>
      <c r="G32" s="79">
        <f t="shared" si="26"/>
        <v>21.898028667544025</v>
      </c>
      <c r="H32" s="79">
        <f t="shared" si="26"/>
        <v>22.924277144640023</v>
      </c>
      <c r="I32" s="79">
        <f t="shared" si="26"/>
        <v>0</v>
      </c>
      <c r="J32" s="79">
        <f t="shared" si="26"/>
        <v>0</v>
      </c>
      <c r="K32" s="79">
        <f t="shared" si="26"/>
        <v>0</v>
      </c>
      <c r="L32" s="79">
        <f t="shared" si="26"/>
        <v>0</v>
      </c>
      <c r="M32" s="79">
        <f t="shared" si="26"/>
        <v>0</v>
      </c>
      <c r="N32" s="79">
        <f t="shared" si="26"/>
        <v>0</v>
      </c>
      <c r="O32" s="79">
        <f t="shared" si="26"/>
        <v>0</v>
      </c>
      <c r="P32" s="79">
        <f t="shared" si="26"/>
        <v>0</v>
      </c>
      <c r="Q32" s="79">
        <f t="shared" si="26"/>
        <v>0</v>
      </c>
      <c r="R32" s="79">
        <f t="shared" si="26"/>
        <v>0</v>
      </c>
      <c r="S32" s="79">
        <f t="shared" si="26"/>
        <v>0</v>
      </c>
      <c r="T32" s="79">
        <f t="shared" si="26"/>
        <v>0</v>
      </c>
      <c r="U32" s="79">
        <f t="shared" si="26"/>
        <v>0</v>
      </c>
      <c r="V32" s="79">
        <f t="shared" si="26"/>
        <v>0</v>
      </c>
      <c r="W32" s="79">
        <f t="shared" si="26"/>
        <v>0</v>
      </c>
      <c r="X32" s="79">
        <f t="shared" si="26"/>
        <v>0</v>
      </c>
      <c r="Y32" s="79">
        <f t="shared" si="26"/>
        <v>0</v>
      </c>
      <c r="AE32" s="8" t="str">
        <f t="shared" ref="AE32:AE33" si="27">IFERROR((Y32/D32)^(1/21)-1,"")</f>
        <v/>
      </c>
      <c r="AH32" s="57"/>
      <c r="AI32" s="57"/>
      <c r="AK32" s="52" t="e">
        <f t="shared" si="0"/>
        <v>#N/A</v>
      </c>
      <c r="AL32" s="8" t="e">
        <f t="shared" si="1"/>
        <v>#N/A</v>
      </c>
      <c r="AM32" s="52" t="e">
        <f t="shared" si="2"/>
        <v>#N/A</v>
      </c>
      <c r="AN32" s="148" t="e">
        <f t="shared" si="3"/>
        <v>#N/A</v>
      </c>
      <c r="AO32" s="52"/>
      <c r="AP32" s="52"/>
    </row>
    <row r="33" spans="2:42" ht="15.75" hidden="1" customHeight="1" outlineLevel="1">
      <c r="B33" s="98" t="s">
        <v>183</v>
      </c>
      <c r="C33" s="74"/>
      <c r="D33" s="79">
        <f t="shared" ref="D33:Y33" si="28">-D20*D22/10^6</f>
        <v>0</v>
      </c>
      <c r="E33" s="79">
        <f t="shared" si="28"/>
        <v>-46.4</v>
      </c>
      <c r="F33" s="79">
        <f t="shared" si="28"/>
        <v>-49.964262899262899</v>
      </c>
      <c r="G33" s="79">
        <f t="shared" si="28"/>
        <v>-53.842028667544028</v>
      </c>
      <c r="H33" s="79">
        <f t="shared" si="28"/>
        <v>-58.062677144640034</v>
      </c>
      <c r="I33" s="79">
        <f t="shared" si="28"/>
        <v>-38.652240000000013</v>
      </c>
      <c r="J33" s="79">
        <f t="shared" si="28"/>
        <v>-42.517464000000018</v>
      </c>
      <c r="K33" s="79">
        <f t="shared" si="28"/>
        <v>-46.769210400000027</v>
      </c>
      <c r="L33" s="79">
        <f t="shared" si="28"/>
        <v>-51.446131440000045</v>
      </c>
      <c r="M33" s="79">
        <f t="shared" si="28"/>
        <v>-56.590744584000042</v>
      </c>
      <c r="N33" s="79">
        <f t="shared" si="28"/>
        <v>-62.249819042400048</v>
      </c>
      <c r="O33" s="79">
        <f t="shared" si="28"/>
        <v>-68.474800946640059</v>
      </c>
      <c r="P33" s="79">
        <f t="shared" si="28"/>
        <v>-75.322281041304066</v>
      </c>
      <c r="Q33" s="79">
        <f t="shared" si="28"/>
        <v>-82.854509145434477</v>
      </c>
      <c r="R33" s="79">
        <f t="shared" si="28"/>
        <v>-91.139960059977952</v>
      </c>
      <c r="S33" s="79">
        <f t="shared" si="28"/>
        <v>-100.25395606597573</v>
      </c>
      <c r="T33" s="79">
        <f t="shared" si="28"/>
        <v>-110.27935167257331</v>
      </c>
      <c r="U33" s="79">
        <f t="shared" si="28"/>
        <v>-121.30728683983067</v>
      </c>
      <c r="V33" s="79">
        <f t="shared" si="28"/>
        <v>-133.43801552381373</v>
      </c>
      <c r="W33" s="79">
        <f t="shared" si="28"/>
        <v>-146.78181707619513</v>
      </c>
      <c r="X33" s="79">
        <f t="shared" si="28"/>
        <v>-161.45999878381465</v>
      </c>
      <c r="Y33" s="79">
        <f t="shared" si="28"/>
        <v>-177.60599866219616</v>
      </c>
      <c r="AA33" s="8" t="str">
        <f>IFERROR((E33/D33)-1,"")</f>
        <v/>
      </c>
      <c r="AB33" s="8" t="str">
        <f>IFERROR((J33/D33)^(1/6)-1,"")</f>
        <v/>
      </c>
      <c r="AC33" s="8" t="str">
        <f>IFERROR((O33/D33)^(1/11)-1,"")</f>
        <v/>
      </c>
      <c r="AD33" s="8" t="str">
        <f>IFERROR((T33/D33)^(1/16)-1,"")</f>
        <v/>
      </c>
      <c r="AE33" s="8" t="str">
        <f t="shared" si="27"/>
        <v/>
      </c>
      <c r="AF33" s="57"/>
      <c r="AH33" s="57">
        <f>D35/D$39</f>
        <v>0</v>
      </c>
      <c r="AI33" s="57">
        <f>Y35/Y$39</f>
        <v>1</v>
      </c>
      <c r="AK33" s="52" t="e">
        <f t="shared" si="0"/>
        <v>#N/A</v>
      </c>
      <c r="AL33" s="8" t="e">
        <f t="shared" si="1"/>
        <v>#N/A</v>
      </c>
      <c r="AM33" s="52" t="e">
        <f t="shared" si="2"/>
        <v>#N/A</v>
      </c>
      <c r="AN33" s="148" t="e">
        <f t="shared" si="3"/>
        <v>#N/A</v>
      </c>
      <c r="AO33" s="52"/>
      <c r="AP33" s="52"/>
    </row>
    <row r="34" spans="2:42" ht="15.75" customHeight="1" collapsed="1">
      <c r="B34" s="197" t="s">
        <v>238</v>
      </c>
      <c r="C34" s="197"/>
      <c r="D34" s="198"/>
      <c r="E34" s="198"/>
      <c r="F34" s="198"/>
      <c r="G34" s="198"/>
      <c r="H34" s="198"/>
      <c r="I34" s="198"/>
      <c r="J34" s="198"/>
      <c r="K34" s="198"/>
      <c r="L34" s="198"/>
      <c r="M34" s="198"/>
      <c r="N34" s="198"/>
      <c r="O34" s="198"/>
      <c r="P34" s="198"/>
      <c r="Q34" s="198"/>
      <c r="R34" s="198"/>
      <c r="S34" s="198"/>
      <c r="T34" s="198"/>
      <c r="U34" s="198"/>
      <c r="V34" s="198"/>
      <c r="W34" s="198"/>
      <c r="X34" s="198"/>
      <c r="Y34" s="198"/>
      <c r="AE34" s="198"/>
      <c r="AJ34" s="54">
        <v>2045</v>
      </c>
      <c r="AK34" s="149">
        <f t="shared" si="0"/>
        <v>25.04119759223525</v>
      </c>
      <c r="AL34" s="149">
        <f t="shared" si="1"/>
        <v>-6.3184062866581288</v>
      </c>
      <c r="AM34" s="149">
        <f t="shared" si="2"/>
        <v>18.722791305577122</v>
      </c>
      <c r="AN34" s="144">
        <f t="shared" si="3"/>
        <v>1868.8065977599676</v>
      </c>
      <c r="AO34" s="57"/>
    </row>
    <row r="35" spans="2:42" ht="15.75" customHeight="1">
      <c r="B35" s="8" t="s">
        <v>57</v>
      </c>
      <c r="D35" s="109">
        <f t="shared" ref="D35:Y35" si="29">D21*D22/10^6</f>
        <v>0</v>
      </c>
      <c r="E35" s="79">
        <f t="shared" si="29"/>
        <v>46.4</v>
      </c>
      <c r="F35" s="79">
        <f t="shared" si="29"/>
        <v>118.40426289926292</v>
      </c>
      <c r="G35" s="79">
        <f t="shared" si="29"/>
        <v>225.52820987147524</v>
      </c>
      <c r="H35" s="79">
        <f t="shared" si="29"/>
        <v>379.44037621149226</v>
      </c>
      <c r="I35" s="79">
        <f t="shared" si="29"/>
        <v>569.8687666960891</v>
      </c>
      <c r="J35" s="79">
        <f t="shared" si="29"/>
        <v>826.08701820712247</v>
      </c>
      <c r="K35" s="79">
        <f t="shared" si="29"/>
        <v>1161.9866849796151</v>
      </c>
      <c r="L35" s="79">
        <f t="shared" si="29"/>
        <v>1591.0784890379896</v>
      </c>
      <c r="M35" s="79">
        <f t="shared" si="29"/>
        <v>2124.9927803333862</v>
      </c>
      <c r="N35" s="79">
        <f t="shared" si="29"/>
        <v>2771.6156139674672</v>
      </c>
      <c r="O35" s="79">
        <f t="shared" si="29"/>
        <v>3532.9943184059739</v>
      </c>
      <c r="P35" s="79">
        <f t="shared" si="29"/>
        <v>4403.2403210886214</v>
      </c>
      <c r="Q35" s="79">
        <f t="shared" si="29"/>
        <v>5366.7428944517806</v>
      </c>
      <c r="R35" s="79">
        <f t="shared" si="29"/>
        <v>6531.231433402113</v>
      </c>
      <c r="S35" s="79">
        <f t="shared" si="29"/>
        <v>7937.7316761485108</v>
      </c>
      <c r="T35" s="79">
        <f t="shared" si="29"/>
        <v>9635.5573630507861</v>
      </c>
      <c r="U35" s="79">
        <f t="shared" si="29"/>
        <v>11683.976122500775</v>
      </c>
      <c r="V35" s="79">
        <f t="shared" si="29"/>
        <v>14154.209362524742</v>
      </c>
      <c r="W35" s="79">
        <f t="shared" si="29"/>
        <v>17131.833052105889</v>
      </c>
      <c r="X35" s="79">
        <f t="shared" si="29"/>
        <v>20719.659661310878</v>
      </c>
      <c r="Y35" s="79">
        <f t="shared" si="29"/>
        <v>25041.19759223525</v>
      </c>
      <c r="AA35" s="57" t="str">
        <f t="shared" ref="AA35:AA39" si="30">IFERROR((E35/D35)-1,"")</f>
        <v/>
      </c>
      <c r="AB35" s="57" t="str">
        <f t="shared" ref="AB35:AB39" si="31">IFERROR((J35/D35)^(1/6)-1,"")</f>
        <v/>
      </c>
      <c r="AC35" s="57" t="str">
        <f t="shared" ref="AC35:AC39" si="32">IFERROR((O35/D35)^(1/11)-1,"")</f>
        <v/>
      </c>
      <c r="AD35" s="57" t="str">
        <f t="shared" ref="AD35:AD39" si="33">IFERROR((T35/D35)^(1/16)-1,"")</f>
        <v/>
      </c>
      <c r="AE35" s="57" t="str">
        <f t="shared" ref="AE35:AE39" si="34">IFERROR((Y35/D35)^(1/21)-1,"")</f>
        <v/>
      </c>
      <c r="AF35" s="57"/>
      <c r="AL35" s="52"/>
      <c r="AM35" s="52"/>
      <c r="AN35" s="52"/>
      <c r="AO35" s="52"/>
      <c r="AP35" s="52"/>
    </row>
    <row r="36" spans="2:42" ht="15.75" customHeight="1">
      <c r="B36" s="8" t="s">
        <v>49</v>
      </c>
      <c r="D36" s="109">
        <f t="shared" ref="D36:D38" si="35">O5*$D$9+MAX(D$27,0)*O5</f>
        <v>50</v>
      </c>
      <c r="E36" s="79">
        <f>D36*(1+Macro!D69)*(1-E31)+MAX(E$27,0)*$O5*(1-$V$14)</f>
        <v>38.697788697788695</v>
      </c>
      <c r="F36" s="79">
        <f>E36*(1+Macro!E69)*(1-F31)+MAX(F$27,0)*$O5*(1-$V$14)</f>
        <v>26.622557335088043</v>
      </c>
      <c r="G36" s="79">
        <f>F36*(1+Macro!F69)*(1-G31)+MAX(G$27,0)*$O5*(1-$V$14)</f>
        <v>13.73645464464002</v>
      </c>
      <c r="H36" s="79">
        <f>G36*(1+Macro!G69)*(1-H31)+MAX(H$27,0)*$O5*(1-$V$14)</f>
        <v>0</v>
      </c>
      <c r="I36" s="79">
        <f>H36*(1+Macro!H69)*(1-I31)+MAX(I$27,0)*$O5*(1-$V$14)</f>
        <v>0</v>
      </c>
      <c r="J36" s="79">
        <f>I36*(1+Macro!I69)*(1-J31)+MAX(J$27,0)*$O5*(1-$V$14)</f>
        <v>0</v>
      </c>
      <c r="K36" s="79">
        <f>J36*(1+Macro!J69)*(1-K31)+MAX(K$27,0)*$O5*(1-$V$14)</f>
        <v>0</v>
      </c>
      <c r="L36" s="79">
        <f>K36*(1+Macro!K69)*(1-L31)+MAX(L$27,0)*$O5*(1-$V$14)</f>
        <v>0</v>
      </c>
      <c r="M36" s="79">
        <f>L36*(1+Macro!L69)*(1-M31)+MAX(M$27,0)*$O5*(1-$V$14)</f>
        <v>0</v>
      </c>
      <c r="N36" s="79">
        <f>M36*(1+Macro!M69)*(1-N31)+MAX(N$27,0)*$O5*(1-$V$14)</f>
        <v>0</v>
      </c>
      <c r="O36" s="79">
        <f>N36*(1+Macro!N69)*(1-O31)+MAX(O$27,0)*$O5*(1-$V$14)</f>
        <v>0</v>
      </c>
      <c r="P36" s="79">
        <f>O36*(1+Macro!O69)*(1-P31)+MAX(P$27,0)*$O5*(1-$V$14)</f>
        <v>0</v>
      </c>
      <c r="Q36" s="79">
        <f>P36*(1+Macro!P69)*(1-Q31)+MAX(Q$27,0)*$O5*(1-$V$14)</f>
        <v>0</v>
      </c>
      <c r="R36" s="79">
        <f>Q36*(1+Macro!Q69)*(1-R31)+MAX(R$27,0)*$O5*(1-$V$14)</f>
        <v>0</v>
      </c>
      <c r="S36" s="79">
        <f>R36*(1+Macro!R69)*(1-S31)+MAX(S$27,0)*$O5*(1-$V$14)</f>
        <v>0</v>
      </c>
      <c r="T36" s="79">
        <f>S36*(1+Macro!S69)*(1-T31)+MAX(T$27,0)*$O5*(1-$V$14)</f>
        <v>0</v>
      </c>
      <c r="U36" s="79">
        <f>T36*(1+Macro!T69)*(1-U31)+MAX(U$27,0)*$O5*(1-$V$14)</f>
        <v>0</v>
      </c>
      <c r="V36" s="79">
        <f>U36*(1+Macro!U69)*(1-V31)+MAX(V$27,0)*$O5*(1-$V$14)</f>
        <v>0</v>
      </c>
      <c r="W36" s="79">
        <f>V36*(1+Macro!V69)*(1-W31)+MAX(W$27,0)*$O5*(1-$V$14)</f>
        <v>0</v>
      </c>
      <c r="X36" s="79">
        <f>W36*(1+Macro!W69)*(1-X31)+MAX(X$27,0)*$O5*(1-$V$14)</f>
        <v>0</v>
      </c>
      <c r="Y36" s="79">
        <f>X36*(1+Macro!X69)*(1-Y31)+MAX(Y$27,0)*$O5*(1-$V$14)</f>
        <v>0</v>
      </c>
      <c r="AA36" s="57">
        <f t="shared" si="30"/>
        <v>-0.22604422604422614</v>
      </c>
      <c r="AB36" s="57">
        <f t="shared" si="31"/>
        <v>-1</v>
      </c>
      <c r="AC36" s="57">
        <f t="shared" si="32"/>
        <v>-1</v>
      </c>
      <c r="AD36" s="57">
        <f t="shared" si="33"/>
        <v>-1</v>
      </c>
      <c r="AE36" s="57">
        <f t="shared" si="34"/>
        <v>-1</v>
      </c>
      <c r="AF36" s="57"/>
      <c r="AH36" s="86"/>
      <c r="AI36" s="86"/>
      <c r="AL36" s="57"/>
      <c r="AM36" s="57"/>
      <c r="AN36" s="57"/>
      <c r="AO36" s="57"/>
    </row>
    <row r="37" spans="2:42" ht="15.75" customHeight="1">
      <c r="B37" s="8" t="s">
        <v>53</v>
      </c>
      <c r="D37" s="109">
        <f t="shared" si="35"/>
        <v>0</v>
      </c>
      <c r="E37" s="79">
        <f>D37*(1+Macro!D71)*(1-E31)+MAX(E$27,0)*$O6*(1-$V$14)</f>
        <v>0</v>
      </c>
      <c r="F37" s="79">
        <f>E37*(1+Macro!E71)*(1-F31)+MAX(F$27,0)*$O6*(1-$V$14)</f>
        <v>0</v>
      </c>
      <c r="G37" s="79">
        <f>F37*(1+Macro!F71)*(1-G31)+MAX(G$27,0)*$O6*(1-$V$14)</f>
        <v>0</v>
      </c>
      <c r="H37" s="79">
        <f>G37*(1+Macro!G71)*(1-H31)+MAX(H$27,0)*$O6*(1-$V$14)</f>
        <v>0</v>
      </c>
      <c r="I37" s="79">
        <f>H37*(1+Macro!H71)*(1-I31)+MAX(I$27,0)*$O6*(1-$V$14)</f>
        <v>0</v>
      </c>
      <c r="J37" s="79">
        <f>I37*(1+Macro!I71)*(1-J31)+MAX(J$27,0)*$O6*(1-$V$14)</f>
        <v>0</v>
      </c>
      <c r="K37" s="79">
        <f>J37*(1+Macro!J71)*(1-K31)+MAX(K$27,0)*$O6*(1-$V$14)</f>
        <v>0</v>
      </c>
      <c r="L37" s="79">
        <f>K37*(1+Macro!K71)*(1-L31)+MAX(L$27,0)*$O6*(1-$V$14)</f>
        <v>0</v>
      </c>
      <c r="M37" s="79">
        <f>L37*(1+Macro!L71)*(1-M31)+MAX(M$27,0)*$O6*(1-$V$14)</f>
        <v>0</v>
      </c>
      <c r="N37" s="79">
        <f>M37*(1+Macro!M71)*(1-N31)+MAX(N$27,0)*$O6*(1-$V$14)</f>
        <v>0</v>
      </c>
      <c r="O37" s="79">
        <f>N37*(1+Macro!N71)*(1-O31)+MAX(O$27,0)*$O6*(1-$V$14)</f>
        <v>0</v>
      </c>
      <c r="P37" s="79">
        <f>O37*(1+Macro!O71)*(1-P31)+MAX(P$27,0)*$O6*(1-$V$14)</f>
        <v>0</v>
      </c>
      <c r="Q37" s="79">
        <f>P37*(1+Macro!P71)*(1-Q31)+MAX(Q$27,0)*$O6*(1-$V$14)</f>
        <v>0</v>
      </c>
      <c r="R37" s="79">
        <f>Q37*(1+Macro!Q71)*(1-R31)+MAX(R$27,0)*$O6*(1-$V$14)</f>
        <v>0</v>
      </c>
      <c r="S37" s="79">
        <f>R37*(1+Macro!R71)*(1-S31)+MAX(S$27,0)*$O6*(1-$V$14)</f>
        <v>0</v>
      </c>
      <c r="T37" s="79">
        <f>S37*(1+Macro!S71)*(1-T31)+MAX(T$27,0)*$O6*(1-$V$14)</f>
        <v>0</v>
      </c>
      <c r="U37" s="79">
        <f>T37*(1+Macro!T71)*(1-U31)+MAX(U$27,0)*$O6*(1-$V$14)</f>
        <v>0</v>
      </c>
      <c r="V37" s="79">
        <f>U37*(1+Macro!U71)*(1-V31)+MAX(V$27,0)*$O6*(1-$V$14)</f>
        <v>0</v>
      </c>
      <c r="W37" s="79">
        <f>V37*(1+Macro!V71)*(1-W31)+MAX(W$27,0)*$O6*(1-$V$14)</f>
        <v>0</v>
      </c>
      <c r="X37" s="79">
        <f>W37*(1+Macro!W71)*(1-X31)+MAX(X$27,0)*$O6*(1-$V$14)</f>
        <v>0</v>
      </c>
      <c r="Y37" s="79">
        <f>X37*(1+Macro!X71)*(1-Y31)+MAX(Y$27,0)*$O6*(1-$V$14)</f>
        <v>0</v>
      </c>
      <c r="AA37" s="57" t="str">
        <f t="shared" si="30"/>
        <v/>
      </c>
      <c r="AB37" s="57" t="str">
        <f t="shared" si="31"/>
        <v/>
      </c>
      <c r="AC37" s="57" t="str">
        <f t="shared" si="32"/>
        <v/>
      </c>
      <c r="AD37" s="57" t="str">
        <f t="shared" si="33"/>
        <v/>
      </c>
      <c r="AE37" s="57" t="str">
        <f t="shared" si="34"/>
        <v/>
      </c>
      <c r="AF37" s="57"/>
    </row>
    <row r="38" spans="2:42" ht="15.75" customHeight="1">
      <c r="B38" s="8" t="s">
        <v>58</v>
      </c>
      <c r="D38" s="109">
        <f t="shared" si="35"/>
        <v>30</v>
      </c>
      <c r="E38" s="79">
        <f>D38*(1+Macro!D75)*(1-E31)+MAX(E$27,0)*$O7*(1-$V$14)</f>
        <v>24.075000000000003</v>
      </c>
      <c r="F38" s="79">
        <f>E38*(1+Macro!E75)*(1-F31)+MAX(F$27,0)*$O7*(1-$V$14)</f>
        <v>17.173500000000008</v>
      </c>
      <c r="G38" s="79">
        <f>F38*(1+Macro!F75)*(1-G31)+MAX(G$27,0)*$O7*(1-$V$14)</f>
        <v>9.1878225000000047</v>
      </c>
      <c r="H38" s="79">
        <f>G38*(1+Macro!G75)*(1-H31)+MAX(H$27,0)*$O7*(1-$V$14)</f>
        <v>0</v>
      </c>
      <c r="I38" s="79">
        <f>H38*(1+Macro!H75)*(1-I31)+MAX(I$27,0)*$O7*(1-$V$14)</f>
        <v>0</v>
      </c>
      <c r="J38" s="79">
        <f>I38*(1+Macro!I75)*(1-J31)+MAX(J$27,0)*$O7*(1-$V$14)</f>
        <v>0</v>
      </c>
      <c r="K38" s="79">
        <f>J38*(1+Macro!J75)*(1-K31)+MAX(K$27,0)*$O7*(1-$V$14)</f>
        <v>0</v>
      </c>
      <c r="L38" s="79">
        <f>K38*(1+Macro!K75)*(1-L31)+MAX(L$27,0)*$O7*(1-$V$14)</f>
        <v>0</v>
      </c>
      <c r="M38" s="79">
        <f>L38*(1+Macro!L75)*(1-M31)+MAX(M$27,0)*$O7*(1-$V$14)</f>
        <v>0</v>
      </c>
      <c r="N38" s="79">
        <f>M38*(1+Macro!M75)*(1-N31)+MAX(N$27,0)*$O7*(1-$V$14)</f>
        <v>0</v>
      </c>
      <c r="O38" s="79">
        <f>N38*(1+Macro!N75)*(1-O31)+MAX(O$27,0)*$O7*(1-$V$14)</f>
        <v>0</v>
      </c>
      <c r="P38" s="79">
        <f>O38*(1+Macro!O75)*(1-P31)+MAX(P$27,0)*$O7*(1-$V$14)</f>
        <v>0</v>
      </c>
      <c r="Q38" s="79">
        <f>P38*(1+Macro!P75)*(1-Q31)+MAX(Q$27,0)*$O7*(1-$V$14)</f>
        <v>0</v>
      </c>
      <c r="R38" s="79">
        <f>Q38*(1+Macro!Q75)*(1-R31)+MAX(R$27,0)*$O7*(1-$V$14)</f>
        <v>0</v>
      </c>
      <c r="S38" s="79">
        <f>R38*(1+Macro!R75)*(1-S31)+MAX(S$27,0)*$O7*(1-$V$14)</f>
        <v>0</v>
      </c>
      <c r="T38" s="79">
        <f>S38*(1+Macro!S75)*(1-T31)+MAX(T$27,0)*$O7*(1-$V$14)</f>
        <v>0</v>
      </c>
      <c r="U38" s="79">
        <f>T38*(1+Macro!T75)*(1-U31)+MAX(U$27,0)*$O7*(1-$V$14)</f>
        <v>0</v>
      </c>
      <c r="V38" s="79">
        <f>U38*(1+Macro!U75)*(1-V31)+MAX(V$27,0)*$O7*(1-$V$14)</f>
        <v>0</v>
      </c>
      <c r="W38" s="79">
        <f>V38*(1+Macro!V75)*(1-W31)+MAX(W$27,0)*$O7*(1-$V$14)</f>
        <v>0</v>
      </c>
      <c r="X38" s="79">
        <f>W38*(1+Macro!W75)*(1-X31)+MAX(X$27,0)*$O7*(1-$V$14)</f>
        <v>0</v>
      </c>
      <c r="Y38" s="79">
        <f>X38*(1+Macro!X75)*(1-Y31)+MAX(Y$27,0)*$O7*(1-$V$14)</f>
        <v>0</v>
      </c>
      <c r="AA38" s="57">
        <f t="shared" si="30"/>
        <v>-0.1974999999999999</v>
      </c>
      <c r="AB38" s="57">
        <f t="shared" si="31"/>
        <v>-1</v>
      </c>
      <c r="AC38" s="57">
        <f t="shared" si="32"/>
        <v>-1</v>
      </c>
      <c r="AD38" s="57">
        <f t="shared" si="33"/>
        <v>-1</v>
      </c>
      <c r="AE38" s="57">
        <f t="shared" si="34"/>
        <v>-1</v>
      </c>
      <c r="AF38" s="57"/>
    </row>
    <row r="39" spans="2:42" ht="15.75" customHeight="1">
      <c r="B39" s="82" t="s">
        <v>239</v>
      </c>
      <c r="C39" s="82"/>
      <c r="D39" s="110">
        <f t="shared" ref="D39:Y39" si="36">SUM(D35:D38)</f>
        <v>80</v>
      </c>
      <c r="E39" s="110">
        <f t="shared" si="36"/>
        <v>109.1727886977887</v>
      </c>
      <c r="F39" s="110">
        <f t="shared" si="36"/>
        <v>162.20032023435098</v>
      </c>
      <c r="G39" s="110">
        <f t="shared" si="36"/>
        <v>248.45248701611527</v>
      </c>
      <c r="H39" s="110">
        <f t="shared" si="36"/>
        <v>379.44037621149226</v>
      </c>
      <c r="I39" s="110">
        <f t="shared" si="36"/>
        <v>569.8687666960891</v>
      </c>
      <c r="J39" s="110">
        <f t="shared" si="36"/>
        <v>826.08701820712247</v>
      </c>
      <c r="K39" s="110">
        <f t="shared" si="36"/>
        <v>1161.9866849796151</v>
      </c>
      <c r="L39" s="110">
        <f t="shared" si="36"/>
        <v>1591.0784890379896</v>
      </c>
      <c r="M39" s="110">
        <f t="shared" si="36"/>
        <v>2124.9927803333862</v>
      </c>
      <c r="N39" s="110">
        <f t="shared" si="36"/>
        <v>2771.6156139674672</v>
      </c>
      <c r="O39" s="110">
        <f t="shared" si="36"/>
        <v>3532.9943184059739</v>
      </c>
      <c r="P39" s="110">
        <f t="shared" si="36"/>
        <v>4403.2403210886214</v>
      </c>
      <c r="Q39" s="110">
        <f t="shared" si="36"/>
        <v>5366.7428944517806</v>
      </c>
      <c r="R39" s="110">
        <f t="shared" si="36"/>
        <v>6531.231433402113</v>
      </c>
      <c r="S39" s="110">
        <f t="shared" si="36"/>
        <v>7937.7316761485108</v>
      </c>
      <c r="T39" s="110">
        <f t="shared" si="36"/>
        <v>9635.5573630507861</v>
      </c>
      <c r="U39" s="110">
        <f t="shared" si="36"/>
        <v>11683.976122500775</v>
      </c>
      <c r="V39" s="110">
        <f t="shared" si="36"/>
        <v>14154.209362524742</v>
      </c>
      <c r="W39" s="110">
        <f t="shared" si="36"/>
        <v>17131.833052105889</v>
      </c>
      <c r="X39" s="110">
        <f t="shared" si="36"/>
        <v>20719.659661310878</v>
      </c>
      <c r="Y39" s="110">
        <f t="shared" si="36"/>
        <v>25041.19759223525</v>
      </c>
      <c r="AA39" s="203">
        <f t="shared" si="30"/>
        <v>0.36465985872235884</v>
      </c>
      <c r="AB39" s="203">
        <f t="shared" si="31"/>
        <v>0.47567018164145369</v>
      </c>
      <c r="AC39" s="203">
        <f t="shared" si="32"/>
        <v>0.41107555503840887</v>
      </c>
      <c r="AD39" s="203">
        <f t="shared" si="33"/>
        <v>0.3491156443257406</v>
      </c>
      <c r="AE39" s="84">
        <f t="shared" si="34"/>
        <v>0.31472957854307659</v>
      </c>
      <c r="AF39" s="86"/>
    </row>
    <row r="40" spans="2:42" ht="3.75" customHeight="1">
      <c r="B40" s="153"/>
      <c r="C40" s="153"/>
      <c r="D40" s="85"/>
      <c r="E40" s="85"/>
      <c r="F40" s="85"/>
      <c r="G40" s="85"/>
      <c r="H40" s="85"/>
      <c r="I40" s="85"/>
      <c r="J40" s="85"/>
      <c r="K40" s="85"/>
      <c r="L40" s="85"/>
      <c r="M40" s="85"/>
      <c r="N40" s="85"/>
      <c r="O40" s="85"/>
      <c r="P40" s="85"/>
      <c r="Q40" s="85"/>
      <c r="R40" s="85"/>
      <c r="S40" s="85"/>
      <c r="T40" s="85"/>
      <c r="U40" s="85"/>
      <c r="V40" s="85"/>
      <c r="W40" s="85"/>
      <c r="X40" s="85"/>
      <c r="Y40" s="85"/>
      <c r="Z40" s="66"/>
      <c r="AA40" s="86"/>
      <c r="AB40" s="86"/>
      <c r="AC40" s="86"/>
      <c r="AD40" s="86"/>
      <c r="AE40" s="86"/>
      <c r="AF40" s="86"/>
      <c r="AH40" s="57">
        <f t="shared" ref="AH40:AH41" si="37">D36/D$39</f>
        <v>0.625</v>
      </c>
      <c r="AI40" s="57">
        <f t="shared" ref="AI40:AI41" si="38">Y36/Y$39</f>
        <v>0</v>
      </c>
      <c r="AL40" s="52"/>
      <c r="AM40" s="52"/>
      <c r="AN40" s="52"/>
      <c r="AO40" s="52"/>
      <c r="AP40" s="52"/>
    </row>
    <row r="41" spans="2:42" ht="15.75" hidden="1" customHeight="1" outlineLevel="1">
      <c r="B41" s="8" t="s">
        <v>240</v>
      </c>
      <c r="D41" s="79">
        <f>MIN(D7,0)</f>
        <v>-360</v>
      </c>
      <c r="E41" s="79">
        <f t="shared" ref="E41:Y41" si="39">D43</f>
        <v>-400.2</v>
      </c>
      <c r="F41" s="79">
        <f t="shared" si="39"/>
        <v>-471.11399999999998</v>
      </c>
      <c r="G41" s="79">
        <f t="shared" si="39"/>
        <v>-551.28197999999998</v>
      </c>
      <c r="H41" s="79">
        <f t="shared" si="39"/>
        <v>-641.7807186</v>
      </c>
      <c r="I41" s="79">
        <f t="shared" si="39"/>
        <v>-743.80526890200008</v>
      </c>
      <c r="J41" s="79">
        <f t="shared" si="39"/>
        <v>-858.68152772514009</v>
      </c>
      <c r="K41" s="79">
        <f t="shared" si="39"/>
        <v>-987.8801136658999</v>
      </c>
      <c r="L41" s="79">
        <f t="shared" si="39"/>
        <v>-1133.0316885225129</v>
      </c>
      <c r="M41" s="79">
        <f t="shared" si="39"/>
        <v>-1295.9438703090889</v>
      </c>
      <c r="N41" s="79">
        <f t="shared" si="39"/>
        <v>-1478.6199011797253</v>
      </c>
      <c r="O41" s="79">
        <f t="shared" si="39"/>
        <v>-1683.2792502062061</v>
      </c>
      <c r="P41" s="79">
        <f t="shared" si="39"/>
        <v>-1912.3803492589307</v>
      </c>
      <c r="Q41" s="79">
        <f t="shared" si="39"/>
        <v>-2168.645680399175</v>
      </c>
      <c r="R41" s="79">
        <f t="shared" si="39"/>
        <v>-2455.0894553884482</v>
      </c>
      <c r="S41" s="79">
        <f t="shared" si="39"/>
        <v>-2775.0481523631038</v>
      </c>
      <c r="T41" s="79">
        <f t="shared" si="39"/>
        <v>-3132.2142016357316</v>
      </c>
      <c r="U41" s="79">
        <f t="shared" si="39"/>
        <v>-3530.6731422181647</v>
      </c>
      <c r="V41" s="79">
        <f t="shared" si="39"/>
        <v>-3974.944603288161</v>
      </c>
      <c r="W41" s="79">
        <f t="shared" si="39"/>
        <v>-4470.0275007445298</v>
      </c>
      <c r="X41" s="79">
        <f t="shared" si="39"/>
        <v>-5021.4498785454643</v>
      </c>
      <c r="Y41" s="79">
        <f t="shared" si="39"/>
        <v>-5635.3238680673458</v>
      </c>
      <c r="AA41" s="57">
        <f>IFERROR((E41/D41)-1,"")</f>
        <v>0.11166666666666658</v>
      </c>
      <c r="AB41" s="57">
        <f>IFERROR((J41/D41)^(1/6)-1,"")</f>
        <v>0.15590356522127169</v>
      </c>
      <c r="AC41" s="57">
        <f>IFERROR((O41/D41)^(1/11)-1,"")</f>
        <v>0.15052427974074645</v>
      </c>
      <c r="AD41" s="57">
        <f>IFERROR((T41/D41)^(1/16)-1,"")</f>
        <v>0.1447794099903208</v>
      </c>
      <c r="AE41" s="57">
        <f>IFERROR((Y41/D41)^(1/21)-1,"")</f>
        <v>0.13995181469528561</v>
      </c>
      <c r="AF41" s="57"/>
      <c r="AH41" s="57">
        <f t="shared" si="37"/>
        <v>0</v>
      </c>
      <c r="AI41" s="57">
        <f t="shared" si="38"/>
        <v>0</v>
      </c>
      <c r="AL41" s="57"/>
      <c r="AM41" s="57"/>
      <c r="AN41" s="57"/>
      <c r="AO41" s="57"/>
    </row>
    <row r="42" spans="2:42" ht="15.75" hidden="1" customHeight="1" outlineLevel="1">
      <c r="B42" s="98" t="s">
        <v>177</v>
      </c>
      <c r="C42" s="98"/>
      <c r="D42" s="79">
        <f t="shared" ref="D42:Y42" si="40">-D28-D29</f>
        <v>-40.200000000000003</v>
      </c>
      <c r="E42" s="79">
        <f t="shared" si="40"/>
        <v>-70.914000000000001</v>
      </c>
      <c r="F42" s="79">
        <f t="shared" si="40"/>
        <v>-80.167980000000014</v>
      </c>
      <c r="G42" s="79">
        <f t="shared" si="40"/>
        <v>-90.49873860000001</v>
      </c>
      <c r="H42" s="79">
        <f t="shared" si="40"/>
        <v>-102.02455030200002</v>
      </c>
      <c r="I42" s="79">
        <f t="shared" si="40"/>
        <v>-114.87625882314001</v>
      </c>
      <c r="J42" s="79">
        <f t="shared" si="40"/>
        <v>-129.19858594075981</v>
      </c>
      <c r="K42" s="79">
        <f t="shared" si="40"/>
        <v>-145.151574856613</v>
      </c>
      <c r="L42" s="79">
        <f t="shared" si="40"/>
        <v>-162.91218178657593</v>
      </c>
      <c r="M42" s="79">
        <f t="shared" si="40"/>
        <v>-182.67603087063628</v>
      </c>
      <c r="N42" s="79">
        <f t="shared" si="40"/>
        <v>-204.65934902648084</v>
      </c>
      <c r="O42" s="79">
        <f t="shared" si="40"/>
        <v>-229.10109905272452</v>
      </c>
      <c r="P42" s="79">
        <f t="shared" si="40"/>
        <v>-256.26533114024426</v>
      </c>
      <c r="Q42" s="79">
        <f t="shared" si="40"/>
        <v>-286.44377498927332</v>
      </c>
      <c r="R42" s="79">
        <f t="shared" si="40"/>
        <v>-319.9586969746556</v>
      </c>
      <c r="S42" s="79">
        <f t="shared" si="40"/>
        <v>-357.16604927262796</v>
      </c>
      <c r="T42" s="79">
        <f t="shared" si="40"/>
        <v>-398.458940582433</v>
      </c>
      <c r="U42" s="79">
        <f t="shared" si="40"/>
        <v>-444.27146106999646</v>
      </c>
      <c r="V42" s="79">
        <f t="shared" si="40"/>
        <v>-495.08289745636864</v>
      </c>
      <c r="W42" s="79">
        <f t="shared" si="40"/>
        <v>-551.42237780093421</v>
      </c>
      <c r="X42" s="79">
        <f t="shared" si="40"/>
        <v>-613.8739895218813</v>
      </c>
      <c r="Y42" s="79">
        <f t="shared" si="40"/>
        <v>-683.08241859078294</v>
      </c>
      <c r="AH42" s="57" t="e">
        <f>#REF!/D$39</f>
        <v>#REF!</v>
      </c>
      <c r="AI42" s="57" t="e">
        <f>#REF!/Y$39</f>
        <v>#REF!</v>
      </c>
      <c r="AL42" s="57"/>
      <c r="AM42" s="57"/>
      <c r="AN42" s="57"/>
      <c r="AO42" s="57"/>
    </row>
    <row r="43" spans="2:42" ht="15.75" customHeight="1" collapsed="1">
      <c r="B43" s="204" t="s">
        <v>221</v>
      </c>
      <c r="C43" s="204"/>
      <c r="D43" s="205">
        <f t="shared" ref="D43:Y43" si="41">SUM(D41:D42)</f>
        <v>-400.2</v>
      </c>
      <c r="E43" s="205">
        <f t="shared" si="41"/>
        <v>-471.11399999999998</v>
      </c>
      <c r="F43" s="205">
        <f t="shared" si="41"/>
        <v>-551.28197999999998</v>
      </c>
      <c r="G43" s="205">
        <f t="shared" si="41"/>
        <v>-641.7807186</v>
      </c>
      <c r="H43" s="205">
        <f t="shared" si="41"/>
        <v>-743.80526890200008</v>
      </c>
      <c r="I43" s="205">
        <f t="shared" si="41"/>
        <v>-858.68152772514009</v>
      </c>
      <c r="J43" s="205">
        <f t="shared" si="41"/>
        <v>-987.8801136658999</v>
      </c>
      <c r="K43" s="205">
        <f t="shared" si="41"/>
        <v>-1133.0316885225129</v>
      </c>
      <c r="L43" s="205">
        <f t="shared" si="41"/>
        <v>-1295.9438703090889</v>
      </c>
      <c r="M43" s="205">
        <f t="shared" si="41"/>
        <v>-1478.6199011797253</v>
      </c>
      <c r="N43" s="205">
        <f t="shared" si="41"/>
        <v>-1683.2792502062061</v>
      </c>
      <c r="O43" s="205">
        <f t="shared" si="41"/>
        <v>-1912.3803492589307</v>
      </c>
      <c r="P43" s="205">
        <f t="shared" si="41"/>
        <v>-2168.645680399175</v>
      </c>
      <c r="Q43" s="205">
        <f t="shared" si="41"/>
        <v>-2455.0894553884482</v>
      </c>
      <c r="R43" s="205">
        <f t="shared" si="41"/>
        <v>-2775.0481523631038</v>
      </c>
      <c r="S43" s="205">
        <f t="shared" si="41"/>
        <v>-3132.2142016357316</v>
      </c>
      <c r="T43" s="205">
        <f t="shared" si="41"/>
        <v>-3530.6731422181647</v>
      </c>
      <c r="U43" s="205">
        <f t="shared" si="41"/>
        <v>-3974.944603288161</v>
      </c>
      <c r="V43" s="205">
        <f t="shared" si="41"/>
        <v>-4470.0275007445298</v>
      </c>
      <c r="W43" s="205">
        <f t="shared" si="41"/>
        <v>-5021.4498785454643</v>
      </c>
      <c r="X43" s="205">
        <f t="shared" si="41"/>
        <v>-5635.3238680673458</v>
      </c>
      <c r="Y43" s="205">
        <f t="shared" si="41"/>
        <v>-6318.4062866581289</v>
      </c>
      <c r="Z43" s="66"/>
      <c r="AA43" s="86">
        <f>IFERROR((E43/D43)-1,"")</f>
        <v>0.17719640179910034</v>
      </c>
      <c r="AB43" s="86">
        <f>IFERROR((J43/D43)^(1/6)-1,"")</f>
        <v>0.16253095680214558</v>
      </c>
      <c r="AC43" s="86">
        <f>IFERROR((O43/D43)^(1/11)-1,"")</f>
        <v>0.15280085478894367</v>
      </c>
      <c r="AD43" s="86">
        <f>IFERROR((T43/D43)^(1/16)-1,"")</f>
        <v>0.14577350894958774</v>
      </c>
      <c r="AE43" s="206">
        <f>IFERROR((Y43/D43)^(1/21)-1,"")</f>
        <v>0.14041614080225617</v>
      </c>
      <c r="AF43" s="86"/>
      <c r="AH43" s="57">
        <f t="shared" ref="AH43:AH44" si="42">D38/D$39</f>
        <v>0.375</v>
      </c>
      <c r="AI43" s="57">
        <f t="shared" ref="AI43:AI44" si="43">Y38/Y$39</f>
        <v>0</v>
      </c>
      <c r="AL43" s="57"/>
      <c r="AM43" s="57"/>
      <c r="AN43" s="57"/>
      <c r="AO43" s="57"/>
    </row>
    <row r="44" spans="2:42" ht="15.75" customHeight="1">
      <c r="B44" s="74" t="s">
        <v>155</v>
      </c>
      <c r="C44" s="74"/>
      <c r="D44" s="132" t="str">
        <f t="shared" ref="D44:Y44" si="44">IFERROR(-D43/D35,"NM")</f>
        <v>NM</v>
      </c>
      <c r="E44" s="132">
        <f t="shared" si="44"/>
        <v>10.153318965517242</v>
      </c>
      <c r="F44" s="132">
        <f t="shared" si="44"/>
        <v>4.6559301709350178</v>
      </c>
      <c r="G44" s="132">
        <f t="shared" si="44"/>
        <v>2.8456782367302971</v>
      </c>
      <c r="H44" s="132">
        <f t="shared" si="44"/>
        <v>1.9602691635731941</v>
      </c>
      <c r="I44" s="132">
        <f t="shared" si="44"/>
        <v>1.5068057382816258</v>
      </c>
      <c r="J44" s="132">
        <f t="shared" si="44"/>
        <v>1.195854785141063</v>
      </c>
      <c r="K44" s="132">
        <f t="shared" si="44"/>
        <v>0.97508147310860949</v>
      </c>
      <c r="L44" s="132">
        <f t="shared" si="44"/>
        <v>0.81450656220778439</v>
      </c>
      <c r="M44" s="132">
        <f t="shared" si="44"/>
        <v>0.69582349402041133</v>
      </c>
      <c r="N44" s="132">
        <f t="shared" si="44"/>
        <v>0.60732781332424846</v>
      </c>
      <c r="O44" s="132">
        <f t="shared" si="44"/>
        <v>0.54129165713511918</v>
      </c>
      <c r="P44" s="132">
        <f t="shared" si="44"/>
        <v>0.49251131490888433</v>
      </c>
      <c r="Q44" s="132">
        <f t="shared" si="44"/>
        <v>0.45746358707188239</v>
      </c>
      <c r="R44" s="132">
        <f t="shared" si="44"/>
        <v>0.42488896323148412</v>
      </c>
      <c r="S44" s="132">
        <f t="shared" si="44"/>
        <v>0.39459814584656283</v>
      </c>
      <c r="T44" s="132">
        <f t="shared" si="44"/>
        <v>0.36642126751869514</v>
      </c>
      <c r="U44" s="132">
        <f t="shared" si="44"/>
        <v>0.34020478659086695</v>
      </c>
      <c r="V44" s="132">
        <f t="shared" si="44"/>
        <v>0.31580905625004785</v>
      </c>
      <c r="W44" s="132">
        <f t="shared" si="44"/>
        <v>0.2931063980878692</v>
      </c>
      <c r="X44" s="132">
        <f t="shared" si="44"/>
        <v>0.27197955758848663</v>
      </c>
      <c r="Y44" s="132">
        <f t="shared" si="44"/>
        <v>0.2523204516631159</v>
      </c>
      <c r="AA44" s="57"/>
      <c r="AB44" s="57"/>
      <c r="AC44" s="57"/>
      <c r="AD44" s="57"/>
      <c r="AE44" s="57"/>
      <c r="AF44" s="57"/>
      <c r="AH44" s="203">
        <f t="shared" si="42"/>
        <v>1</v>
      </c>
      <c r="AI44" s="203">
        <f t="shared" si="43"/>
        <v>1</v>
      </c>
      <c r="AL44" s="57"/>
      <c r="AM44" s="57"/>
      <c r="AN44" s="57"/>
      <c r="AO44" s="57"/>
    </row>
    <row r="45" spans="2:42" ht="3.75" customHeight="1">
      <c r="B45" s="66"/>
      <c r="C45" s="66"/>
      <c r="D45" s="107"/>
      <c r="E45" s="85"/>
      <c r="F45" s="85"/>
      <c r="G45" s="85"/>
      <c r="H45" s="85"/>
      <c r="I45" s="85"/>
      <c r="J45" s="85"/>
      <c r="K45" s="85"/>
      <c r="L45" s="85"/>
      <c r="M45" s="85"/>
      <c r="N45" s="85"/>
      <c r="O45" s="85"/>
      <c r="P45" s="85"/>
      <c r="Q45" s="85"/>
      <c r="R45" s="85"/>
      <c r="S45" s="85"/>
      <c r="T45" s="85"/>
      <c r="U45" s="85"/>
      <c r="V45" s="85"/>
      <c r="W45" s="85"/>
      <c r="X45" s="85"/>
      <c r="Y45" s="85"/>
      <c r="AA45" s="57"/>
      <c r="AB45" s="57"/>
      <c r="AC45" s="57"/>
      <c r="AD45" s="57"/>
      <c r="AE45" s="57"/>
      <c r="AF45" s="57"/>
    </row>
    <row r="46" spans="2:42" ht="15.75" customHeight="1">
      <c r="B46" s="82" t="s">
        <v>241</v>
      </c>
      <c r="C46" s="82"/>
      <c r="D46" s="110">
        <f t="shared" ref="D46:Y46" si="45">D39+D43</f>
        <v>-320.2</v>
      </c>
      <c r="E46" s="110">
        <f t="shared" si="45"/>
        <v>-361.94121130221129</v>
      </c>
      <c r="F46" s="110">
        <f t="shared" si="45"/>
        <v>-389.08165976564896</v>
      </c>
      <c r="G46" s="110">
        <f t="shared" si="45"/>
        <v>-393.32823158388476</v>
      </c>
      <c r="H46" s="110">
        <f t="shared" si="45"/>
        <v>-364.36489269050782</v>
      </c>
      <c r="I46" s="110">
        <f t="shared" si="45"/>
        <v>-288.81276102905099</v>
      </c>
      <c r="J46" s="110">
        <f t="shared" si="45"/>
        <v>-161.79309545877743</v>
      </c>
      <c r="K46" s="110">
        <f t="shared" si="45"/>
        <v>28.954996457102197</v>
      </c>
      <c r="L46" s="110">
        <f t="shared" si="45"/>
        <v>295.1346187289007</v>
      </c>
      <c r="M46" s="110">
        <f t="shared" si="45"/>
        <v>646.37287915366096</v>
      </c>
      <c r="N46" s="110">
        <f t="shared" si="45"/>
        <v>1088.3363637612611</v>
      </c>
      <c r="O46" s="110">
        <f t="shared" si="45"/>
        <v>1620.6139691470432</v>
      </c>
      <c r="P46" s="110">
        <f t="shared" si="45"/>
        <v>2234.5946406894464</v>
      </c>
      <c r="Q46" s="110">
        <f t="shared" si="45"/>
        <v>2911.6534390633324</v>
      </c>
      <c r="R46" s="110">
        <f t="shared" si="45"/>
        <v>3756.1832810390092</v>
      </c>
      <c r="S46" s="110">
        <f t="shared" si="45"/>
        <v>4805.5174745127788</v>
      </c>
      <c r="T46" s="110">
        <f t="shared" si="45"/>
        <v>6104.8842208326214</v>
      </c>
      <c r="U46" s="110">
        <f t="shared" si="45"/>
        <v>7709.0315192126145</v>
      </c>
      <c r="V46" s="110">
        <f t="shared" si="45"/>
        <v>9684.1818617802128</v>
      </c>
      <c r="W46" s="110">
        <f t="shared" si="45"/>
        <v>12110.383173560425</v>
      </c>
      <c r="X46" s="110">
        <f t="shared" si="45"/>
        <v>15084.335793243532</v>
      </c>
      <c r="Y46" s="110">
        <f t="shared" si="45"/>
        <v>18722.791305577121</v>
      </c>
      <c r="AA46" s="203">
        <f>IFERROR((E46/D46)-1,"")</f>
        <v>0.13035981043788669</v>
      </c>
      <c r="AB46" s="203">
        <f>IFERROR((J46/D46)^(1/6)-1,"")</f>
        <v>-0.10753791232500254</v>
      </c>
      <c r="AC46" s="203">
        <f>IFERROR((O46/D46)^(1/11)-1,"")</f>
        <v>-2.1588399996347603</v>
      </c>
      <c r="AD46" s="203" t="str">
        <f>IFERROR((T46/D46)^(1/16)-1,"")</f>
        <v/>
      </c>
      <c r="AE46" s="84"/>
      <c r="AF46" s="86"/>
    </row>
    <row r="47" spans="2:42" ht="15.75" customHeight="1"/>
    <row r="48" spans="2:42" ht="15.75" customHeight="1">
      <c r="B48" s="272" t="s">
        <v>242</v>
      </c>
      <c r="C48" s="268"/>
      <c r="D48" s="268"/>
      <c r="E48" s="268"/>
      <c r="F48" s="268"/>
      <c r="G48" s="268"/>
      <c r="H48" s="268"/>
      <c r="I48" s="268"/>
      <c r="J48" s="268"/>
      <c r="K48" s="268"/>
      <c r="L48" s="268"/>
      <c r="M48" s="268"/>
      <c r="N48" s="268"/>
      <c r="O48" s="268"/>
      <c r="P48" s="268"/>
      <c r="Q48" s="268"/>
      <c r="R48" s="268"/>
      <c r="S48" s="268"/>
      <c r="T48" s="268"/>
      <c r="U48" s="268"/>
      <c r="V48" s="268"/>
      <c r="W48" s="268"/>
      <c r="X48" s="268"/>
      <c r="Y48" s="268"/>
      <c r="Z48" s="268"/>
      <c r="AA48" s="268"/>
      <c r="AB48" s="268"/>
      <c r="AC48" s="268"/>
      <c r="AD48" s="268"/>
      <c r="AE48" s="268"/>
      <c r="AF48" s="268"/>
      <c r="AG48" s="268"/>
      <c r="AH48" s="268"/>
      <c r="AI48" s="268"/>
      <c r="AJ48" s="268"/>
      <c r="AK48" s="268"/>
      <c r="AL48" s="268"/>
      <c r="AM48" s="268"/>
      <c r="AN48" s="268"/>
    </row>
    <row r="49" spans="36:39" ht="15.75" customHeight="1"/>
    <row r="50" spans="36:39" ht="15.75" customHeight="1"/>
    <row r="51" spans="36:39" ht="15.75" customHeight="1"/>
    <row r="52" spans="36:39" ht="15.75" customHeight="1"/>
    <row r="53" spans="36:39" ht="15.75" customHeight="1"/>
    <row r="54" spans="36:39" ht="15.75" customHeight="1"/>
    <row r="55" spans="36:39" ht="15.75" customHeight="1"/>
    <row r="56" spans="36:39" ht="15.75" customHeight="1"/>
    <row r="57" spans="36:39" ht="15.75" customHeight="1"/>
    <row r="58" spans="36:39" ht="15.75" customHeight="1"/>
    <row r="59" spans="36:39" ht="15.75" customHeight="1"/>
    <row r="60" spans="36:39" ht="15.75" customHeight="1"/>
    <row r="61" spans="36:39" ht="15.75" customHeight="1"/>
    <row r="62" spans="36:39" ht="15.75" customHeight="1">
      <c r="AJ62" s="112"/>
      <c r="AK62" s="112"/>
      <c r="AL62" s="112"/>
      <c r="AM62" s="112"/>
    </row>
    <row r="63" spans="36:39" ht="15.75" customHeight="1">
      <c r="AK63" s="154"/>
    </row>
    <row r="64" spans="36:39" ht="15.75" customHeight="1"/>
    <row r="65" spans="2:40" ht="15.75" customHeight="1"/>
    <row r="66" spans="2:40" ht="15.75" customHeight="1"/>
    <row r="67" spans="2:40" ht="15.75" customHeight="1"/>
    <row r="68" spans="2:40" ht="15.75" customHeight="1"/>
    <row r="69" spans="2:40" ht="15.75" customHeight="1"/>
    <row r="70" spans="2:40" ht="15.75" customHeight="1"/>
    <row r="71" spans="2:40" ht="15.75" customHeight="1"/>
    <row r="72" spans="2:40" ht="15.75" customHeight="1">
      <c r="B72" s="1"/>
      <c r="C72" s="150"/>
      <c r="D72" s="150"/>
      <c r="E72" s="150"/>
      <c r="AK72" s="155"/>
      <c r="AL72" s="155"/>
      <c r="AM72" s="155"/>
    </row>
    <row r="73" spans="2:40" ht="15.75" customHeight="1"/>
    <row r="74" spans="2:40" ht="15.75" customHeight="1"/>
    <row r="75" spans="2:40" ht="15.75" customHeight="1"/>
    <row r="76" spans="2:40" ht="15.75" customHeight="1"/>
    <row r="77" spans="2:40" ht="15.75" customHeight="1"/>
    <row r="78" spans="2:40" ht="15.75" customHeight="1">
      <c r="B78" s="272" t="s">
        <v>129</v>
      </c>
      <c r="C78" s="268"/>
      <c r="D78" s="268"/>
      <c r="E78" s="268"/>
      <c r="F78" s="268"/>
      <c r="G78" s="268"/>
      <c r="H78" s="268"/>
      <c r="I78" s="268"/>
      <c r="J78" s="268"/>
      <c r="K78" s="268"/>
      <c r="L78" s="268"/>
      <c r="M78" s="268"/>
      <c r="N78" s="268"/>
      <c r="O78" s="268"/>
      <c r="P78" s="268"/>
      <c r="Q78" s="268"/>
      <c r="R78" s="268"/>
      <c r="S78" s="268"/>
      <c r="T78" s="268"/>
      <c r="U78" s="268"/>
      <c r="V78" s="268"/>
      <c r="W78" s="268"/>
      <c r="X78" s="268"/>
      <c r="Y78" s="268"/>
      <c r="Z78" s="268"/>
      <c r="AA78" s="268"/>
      <c r="AB78" s="268"/>
      <c r="AC78" s="268"/>
      <c r="AD78" s="268"/>
      <c r="AE78" s="268"/>
      <c r="AF78" s="268"/>
      <c r="AG78" s="268"/>
      <c r="AH78" s="268"/>
      <c r="AI78" s="268"/>
      <c r="AJ78" s="268"/>
      <c r="AK78" s="268"/>
      <c r="AL78" s="268"/>
      <c r="AM78" s="268"/>
      <c r="AN78" s="268"/>
    </row>
    <row r="79" spans="2:40" ht="15.75" customHeight="1">
      <c r="C79" s="79">
        <f>$Y$46/10^3</f>
        <v>18.722791305577122</v>
      </c>
      <c r="D79" s="112">
        <f>$AE$39</f>
        <v>0.31472957854307659</v>
      </c>
      <c r="E79" s="129">
        <f>$Y$21/10^3</f>
        <v>1868.8065977599676</v>
      </c>
    </row>
    <row r="80" spans="2:40" ht="15.75" customHeight="1">
      <c r="B80" s="8" t="s">
        <v>3</v>
      </c>
      <c r="C80" s="79">
        <v>-3.2288984167517865</v>
      </c>
      <c r="D80" s="112">
        <v>4.9573328122859639E-2</v>
      </c>
      <c r="E80" s="129">
        <v>0</v>
      </c>
    </row>
    <row r="81" spans="2:5" ht="15.75" customHeight="1">
      <c r="B81" s="8" t="s">
        <v>4</v>
      </c>
      <c r="C81" s="79">
        <v>-2.1515451176778027</v>
      </c>
      <c r="D81" s="112">
        <v>0.14191347426869294</v>
      </c>
      <c r="E81" s="129">
        <v>82.051282051282044</v>
      </c>
    </row>
    <row r="82" spans="2:5" ht="15.75" customHeight="1">
      <c r="B82" s="8" t="s">
        <v>5</v>
      </c>
      <c r="C82" s="79">
        <v>-1.748605586525764E-2</v>
      </c>
      <c r="D82" s="112">
        <v>0.19602000161001487</v>
      </c>
      <c r="E82" s="129">
        <v>245.43752475955864</v>
      </c>
    </row>
    <row r="83" spans="2:5" ht="15.75" customHeight="1">
      <c r="B83" s="8" t="s">
        <v>6</v>
      </c>
      <c r="C83" s="79">
        <v>8.7846599324530317</v>
      </c>
      <c r="D83" s="112">
        <v>0.27736853817902807</v>
      </c>
      <c r="E83" s="129">
        <v>1014.320879711923</v>
      </c>
    </row>
    <row r="84" spans="2:5" ht="15.75" customHeight="1">
      <c r="B84" s="8" t="s">
        <v>7</v>
      </c>
      <c r="C84" s="79">
        <v>18.722791305577122</v>
      </c>
      <c r="D84" s="112">
        <v>0.31472957854307659</v>
      </c>
      <c r="E84" s="129">
        <v>1868.8065977599676</v>
      </c>
    </row>
    <row r="85" spans="2:5" ht="15.75" customHeight="1"/>
    <row r="86" spans="2:5" ht="15.75" customHeight="1"/>
    <row r="87" spans="2:5" ht="15.75" customHeight="1"/>
    <row r="88" spans="2:5" ht="15.75" customHeight="1"/>
    <row r="89" spans="2:5" ht="15.75" customHeight="1"/>
    <row r="90" spans="2:5" ht="15.75" customHeight="1"/>
    <row r="91" spans="2:5" ht="15.75" customHeight="1"/>
    <row r="92" spans="2:5" ht="15.75" customHeight="1"/>
    <row r="93" spans="2:5" ht="15.75" customHeight="1"/>
    <row r="94" spans="2:5" ht="15.75" customHeight="1"/>
    <row r="95" spans="2:5" ht="15.75" customHeight="1"/>
    <row r="96" spans="2: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8:AN48"/>
    <mergeCell ref="B78:AN78"/>
    <mergeCell ref="B3:AE3"/>
    <mergeCell ref="AJ3:AN3"/>
    <mergeCell ref="B17:AE17"/>
    <mergeCell ref="D18:Y18"/>
    <mergeCell ref="AA18:AE18"/>
    <mergeCell ref="AH18:AI18"/>
  </mergeCells>
  <conditionalFormatting sqref="D10:E10 J10 O10 T10">
    <cfRule type="expression" dxfId="2" priority="1">
      <formula>D10=$T$1</formula>
    </cfRule>
  </conditionalFormatting>
  <hyperlinks>
    <hyperlink ref="AJ1" location="SelectedCase" display="Base" xr:uid="{00000000-0004-0000-0600-000000000000}"/>
  </hyperlinks>
  <pageMargins left="0.7" right="0.7" top="0.75" bottom="0.75" header="0" footer="0"/>
  <pageSetup orientation="portrait"/>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r:uid="{00000000-0002-0000-0600-000000000000}">
          <x14:formula1>
            <xm:f>Cover!$A$5:$E$5</xm:f>
          </x14:formula1>
          <xm:sqref>T1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AE2D5"/>
    <pageSetUpPr fitToPage="1"/>
  </sheetPr>
  <dimension ref="B1:AS1000"/>
  <sheetViews>
    <sheetView showGridLines="0" workbookViewId="0">
      <pane ySplit="1" topLeftCell="A2" activePane="bottomLeft" state="frozen"/>
      <selection pane="bottomLeft" activeCell="B3" sqref="B3"/>
    </sheetView>
  </sheetViews>
  <sheetFormatPr defaultColWidth="12.5703125" defaultRowHeight="15" customHeight="1" outlineLevelRow="1" outlineLevelCol="1"/>
  <cols>
    <col min="1" max="1" width="0.85546875" customWidth="1"/>
    <col min="2" max="5" width="12.42578125" customWidth="1"/>
    <col min="6" max="9" width="14.42578125" hidden="1" customWidth="1" outlineLevel="1"/>
    <col min="10" max="10" width="12.42578125" customWidth="1"/>
    <col min="11" max="14" width="14.42578125" hidden="1" customWidth="1" outlineLevel="1"/>
    <col min="15" max="15" width="12.42578125" customWidth="1"/>
    <col min="16" max="19" width="14.42578125" hidden="1" customWidth="1" outlineLevel="1"/>
    <col min="20" max="20" width="12.42578125" customWidth="1"/>
    <col min="21" max="24" width="14.42578125" hidden="1" customWidth="1" outlineLevel="1"/>
    <col min="25" max="25" width="12.42578125" customWidth="1"/>
    <col min="26" max="26" width="1.5703125" customWidth="1"/>
    <col min="27" max="30" width="8.85546875" hidden="1" customWidth="1" outlineLevel="1"/>
    <col min="31" max="31" width="11.5703125" customWidth="1"/>
    <col min="32" max="32" width="1.5703125" customWidth="1"/>
    <col min="33" max="35" width="8.85546875" hidden="1" customWidth="1" outlineLevel="1"/>
    <col min="36" max="42" width="11.85546875" customWidth="1"/>
    <col min="43" max="43" width="12.42578125" customWidth="1"/>
    <col min="44" max="45" width="8.85546875" customWidth="1"/>
  </cols>
  <sheetData>
    <row r="1" spans="2:45">
      <c r="B1" s="9" t="s">
        <v>26</v>
      </c>
      <c r="C1" s="9"/>
      <c r="D1" s="11" t="s">
        <v>17</v>
      </c>
      <c r="E1" s="10"/>
      <c r="F1" s="91"/>
      <c r="G1" s="91"/>
      <c r="H1" s="91"/>
      <c r="I1" s="91"/>
      <c r="J1" s="91"/>
      <c r="K1" s="10"/>
      <c r="L1" s="10"/>
      <c r="M1" s="10"/>
      <c r="N1" s="10"/>
      <c r="O1" s="114" t="s">
        <v>98</v>
      </c>
      <c r="P1" s="10"/>
      <c r="Q1" s="10"/>
      <c r="R1" s="10"/>
      <c r="S1" s="10"/>
      <c r="T1" s="93" t="s">
        <v>4</v>
      </c>
      <c r="U1" s="10"/>
      <c r="V1" s="10"/>
      <c r="W1" s="10"/>
      <c r="X1" s="10"/>
      <c r="Y1" s="10"/>
      <c r="Z1" s="10"/>
      <c r="AA1" s="10"/>
      <c r="AB1" s="10"/>
      <c r="AC1" s="10"/>
      <c r="AD1" s="10"/>
      <c r="AE1" s="234" t="s">
        <v>99</v>
      </c>
      <c r="AF1" s="222"/>
      <c r="AG1" s="10"/>
      <c r="AH1" s="10"/>
      <c r="AI1" s="10"/>
      <c r="AJ1" s="223" t="s">
        <v>31</v>
      </c>
      <c r="AK1" s="10"/>
      <c r="AL1" s="10"/>
      <c r="AM1" s="10"/>
      <c r="AN1" s="10"/>
    </row>
    <row r="2" spans="2:45" ht="3.75" customHeight="1"/>
    <row r="3" spans="2:45">
      <c r="B3" s="272" t="s">
        <v>27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J3" s="272" t="s">
        <v>101</v>
      </c>
      <c r="AK3" s="268"/>
      <c r="AL3" s="268"/>
      <c r="AM3" s="268"/>
      <c r="AN3" s="268"/>
    </row>
    <row r="4" spans="2:45">
      <c r="B4" s="8" t="s">
        <v>102</v>
      </c>
      <c r="D4" s="95">
        <v>0</v>
      </c>
      <c r="J4" s="96" t="s">
        <v>103</v>
      </c>
      <c r="Y4" s="96" t="s">
        <v>216</v>
      </c>
      <c r="AJ4" s="185" t="s">
        <v>42</v>
      </c>
      <c r="AK4" s="235" t="s">
        <v>105</v>
      </c>
      <c r="AL4" s="235" t="s">
        <v>106</v>
      </c>
      <c r="AM4" s="235" t="s">
        <v>107</v>
      </c>
      <c r="AN4" s="235" t="s">
        <v>108</v>
      </c>
    </row>
    <row r="5" spans="2:45">
      <c r="B5" s="8" t="s">
        <v>217</v>
      </c>
      <c r="D5" s="97">
        <v>300</v>
      </c>
      <c r="J5" s="98" t="s">
        <v>49</v>
      </c>
      <c r="O5" s="38">
        <v>0.05</v>
      </c>
      <c r="Y5" s="8" t="s">
        <v>218</v>
      </c>
      <c r="AE5" s="38">
        <v>0.03</v>
      </c>
      <c r="AJ5" s="1">
        <v>2024</v>
      </c>
      <c r="AK5" s="141">
        <f t="shared" ref="AK5:AK33" si="0">HLOOKUP($AJ5,$D$19:$Y$46,20)/10^3</f>
        <v>0.4995</v>
      </c>
      <c r="AL5" s="141">
        <f t="shared" ref="AL5:AL33" si="1">HLOOKUP($AJ5,$D$19:$Y$46,24)/10^3</f>
        <v>-0.15</v>
      </c>
      <c r="AM5" s="141">
        <f t="shared" ref="AM5:AM33" si="2">HLOOKUP($AJ5,$D$19:$Y$46,27)/10^3</f>
        <v>0.34949999999999998</v>
      </c>
      <c r="AN5" s="156">
        <f t="shared" ref="AN5:AN33" si="3">HLOOKUP($AJ5,$D$19:$Y$46,3)/10^6</f>
        <v>0</v>
      </c>
      <c r="AP5" s="157"/>
      <c r="AS5" s="112"/>
    </row>
    <row r="6" spans="2:45">
      <c r="B6" s="8" t="s">
        <v>219</v>
      </c>
      <c r="C6" s="8"/>
      <c r="D6" s="97">
        <v>-243</v>
      </c>
      <c r="J6" s="98" t="s">
        <v>53</v>
      </c>
      <c r="O6" s="38">
        <v>0.8</v>
      </c>
      <c r="Y6" s="8" t="s">
        <v>220</v>
      </c>
      <c r="AE6" s="38">
        <v>0.03</v>
      </c>
      <c r="AJ6" s="54">
        <f t="shared" ref="AJ6:AJ12" si="4">AJ5+1</f>
        <v>2025</v>
      </c>
      <c r="AK6" s="143">
        <f t="shared" si="0"/>
        <v>0.58819535825832592</v>
      </c>
      <c r="AL6" s="143">
        <f t="shared" si="1"/>
        <v>-0.15</v>
      </c>
      <c r="AM6" s="143">
        <f t="shared" si="2"/>
        <v>0.4381953582583259</v>
      </c>
      <c r="AN6" s="158">
        <f t="shared" si="3"/>
        <v>0.56483076923076925</v>
      </c>
      <c r="AP6" s="157"/>
    </row>
    <row r="7" spans="2:45">
      <c r="B7" s="8" t="s">
        <v>221</v>
      </c>
      <c r="C7" s="8"/>
      <c r="D7" s="97">
        <v>-150</v>
      </c>
      <c r="J7" s="98" t="s">
        <v>58</v>
      </c>
      <c r="O7" s="145">
        <v>0.14999999999999991</v>
      </c>
      <c r="AJ7" s="1">
        <f t="shared" si="4"/>
        <v>2026</v>
      </c>
      <c r="AK7" s="141">
        <f t="shared" si="0"/>
        <v>0.71186287119881464</v>
      </c>
      <c r="AL7" s="141">
        <f t="shared" si="1"/>
        <v>-0.15</v>
      </c>
      <c r="AM7" s="141">
        <f t="shared" si="2"/>
        <v>0.56186287119881473</v>
      </c>
      <c r="AN7" s="156">
        <f t="shared" si="3"/>
        <v>0.60166435462842238</v>
      </c>
      <c r="AP7" s="157"/>
    </row>
    <row r="8" spans="2:45">
      <c r="B8" s="8" t="s">
        <v>222</v>
      </c>
      <c r="D8" s="38">
        <v>0.05</v>
      </c>
      <c r="J8" s="224" t="s">
        <v>68</v>
      </c>
      <c r="K8" s="224"/>
      <c r="L8" s="224"/>
      <c r="M8" s="224"/>
      <c r="N8" s="224"/>
      <c r="O8" s="225">
        <f>SUM(O5:O7)</f>
        <v>1</v>
      </c>
      <c r="AJ8" s="1">
        <f t="shared" si="4"/>
        <v>2027</v>
      </c>
      <c r="AK8" s="141">
        <f t="shared" si="0"/>
        <v>0.85791451794090023</v>
      </c>
      <c r="AL8" s="141">
        <f t="shared" si="1"/>
        <v>-0.15</v>
      </c>
      <c r="AM8" s="141">
        <f t="shared" si="2"/>
        <v>0.70791451794090032</v>
      </c>
      <c r="AN8" s="156">
        <f t="shared" si="3"/>
        <v>0.62793680061142831</v>
      </c>
      <c r="AP8" s="157"/>
    </row>
    <row r="9" spans="2:45">
      <c r="B9" s="8" t="s">
        <v>243</v>
      </c>
      <c r="C9" s="8"/>
      <c r="D9" s="97">
        <v>450</v>
      </c>
      <c r="O9" s="57"/>
      <c r="AJ9" s="1">
        <f t="shared" si="4"/>
        <v>2028</v>
      </c>
      <c r="AK9" s="141">
        <f t="shared" si="0"/>
        <v>1.0311474725773733</v>
      </c>
      <c r="AL9" s="141">
        <f t="shared" si="1"/>
        <v>-0.15</v>
      </c>
      <c r="AM9" s="141">
        <f t="shared" si="2"/>
        <v>0.88114747257737325</v>
      </c>
      <c r="AN9" s="156">
        <f t="shared" si="3"/>
        <v>0.64700242761270843</v>
      </c>
      <c r="AP9" s="157"/>
    </row>
    <row r="10" spans="2:45">
      <c r="D10" s="103" t="s">
        <v>3</v>
      </c>
      <c r="E10" s="103" t="s">
        <v>4</v>
      </c>
      <c r="J10" s="103" t="s">
        <v>5</v>
      </c>
      <c r="O10" s="103" t="s">
        <v>6</v>
      </c>
      <c r="T10" s="103" t="s">
        <v>7</v>
      </c>
      <c r="V10" s="8" t="str">
        <f>T1</f>
        <v>BTC 10%</v>
      </c>
      <c r="AJ10" s="1">
        <f t="shared" si="4"/>
        <v>2029</v>
      </c>
      <c r="AK10" s="141">
        <f t="shared" si="0"/>
        <v>1.2370389814028573</v>
      </c>
      <c r="AL10" s="141">
        <f t="shared" si="1"/>
        <v>-0.15</v>
      </c>
      <c r="AM10" s="141">
        <f t="shared" si="2"/>
        <v>1.0870389814028572</v>
      </c>
      <c r="AN10" s="156">
        <f t="shared" si="3"/>
        <v>0.66108336653273692</v>
      </c>
      <c r="AP10" s="157"/>
    </row>
    <row r="11" spans="2:45">
      <c r="B11" s="8" t="s">
        <v>146</v>
      </c>
      <c r="C11" s="8"/>
      <c r="D11" s="38">
        <v>0</v>
      </c>
      <c r="E11" s="38">
        <v>0.1</v>
      </c>
      <c r="J11" s="38">
        <v>0.25</v>
      </c>
      <c r="O11" s="38">
        <v>0.5</v>
      </c>
      <c r="T11" s="38">
        <v>0.75</v>
      </c>
      <c r="V11" s="42">
        <f t="shared" ref="V11:V12" si="5">INDEX($B$10:$T$15,MATCH(B11,$B$10:$B$15,0),MATCH($V$10,$B$10:$T$10,0))</f>
        <v>0.1</v>
      </c>
      <c r="AJ11" s="54">
        <f t="shared" si="4"/>
        <v>2030</v>
      </c>
      <c r="AK11" s="143">
        <f t="shared" si="0"/>
        <v>1.4815856105737295</v>
      </c>
      <c r="AL11" s="143">
        <f t="shared" si="1"/>
        <v>-0.15</v>
      </c>
      <c r="AM11" s="143">
        <f t="shared" si="2"/>
        <v>1.3315856105737296</v>
      </c>
      <c r="AN11" s="158">
        <f t="shared" si="3"/>
        <v>0.67167060424671232</v>
      </c>
      <c r="AP11" s="157"/>
    </row>
    <row r="12" spans="2:45">
      <c r="B12" s="8" t="s">
        <v>224</v>
      </c>
      <c r="C12" s="8"/>
      <c r="D12" s="146">
        <v>0</v>
      </c>
      <c r="E12" s="146">
        <v>1</v>
      </c>
      <c r="J12" s="146">
        <v>2</v>
      </c>
      <c r="O12" s="146">
        <v>4</v>
      </c>
      <c r="T12" s="146">
        <v>4</v>
      </c>
      <c r="V12" s="147">
        <f t="shared" si="5"/>
        <v>1</v>
      </c>
      <c r="AJ12" s="1">
        <f t="shared" si="4"/>
        <v>2031</v>
      </c>
      <c r="AK12" s="141">
        <f t="shared" si="0"/>
        <v>1.7710089381616876</v>
      </c>
      <c r="AL12" s="141">
        <f t="shared" si="1"/>
        <v>-0.15</v>
      </c>
      <c r="AM12" s="141">
        <f t="shared" si="2"/>
        <v>1.6210089381616877</v>
      </c>
      <c r="AN12" s="156">
        <f t="shared" si="3"/>
        <v>0.67977741107849921</v>
      </c>
      <c r="AP12" s="157"/>
    </row>
    <row r="13" spans="2:45" hidden="1" outlineLevel="1">
      <c r="B13" s="8" t="s">
        <v>225</v>
      </c>
      <c r="D13" s="57"/>
      <c r="E13" s="57"/>
      <c r="J13" s="57"/>
      <c r="O13" s="57"/>
      <c r="T13" s="57"/>
      <c r="V13" s="57">
        <f>V11/V12</f>
        <v>0.1</v>
      </c>
      <c r="AK13" s="8" t="e">
        <f t="shared" si="0"/>
        <v>#N/A</v>
      </c>
      <c r="AL13" s="8" t="e">
        <f t="shared" si="1"/>
        <v>#N/A</v>
      </c>
      <c r="AM13" s="8" t="e">
        <f t="shared" si="2"/>
        <v>#N/A</v>
      </c>
      <c r="AN13" s="159" t="e">
        <f t="shared" si="3"/>
        <v>#N/A</v>
      </c>
      <c r="AP13" s="157"/>
    </row>
    <row r="14" spans="2:45" collapsed="1">
      <c r="B14" s="8" t="s">
        <v>244</v>
      </c>
      <c r="D14" s="38">
        <v>0</v>
      </c>
      <c r="E14" s="38">
        <v>0.1</v>
      </c>
      <c r="J14" s="38">
        <v>0.25</v>
      </c>
      <c r="O14" s="38">
        <v>0.5</v>
      </c>
      <c r="T14" s="38">
        <v>0.75</v>
      </c>
      <c r="V14" s="42">
        <f t="shared" ref="V14:V15" si="6">INDEX($B$10:$T$15,MATCH(B14,$B$10:$B$15,0),MATCH($V$10,$B$10:$T$10,0))</f>
        <v>0.1</v>
      </c>
      <c r="AJ14" s="1">
        <f>AJ12+1</f>
        <v>2032</v>
      </c>
      <c r="AK14" s="141">
        <f t="shared" si="0"/>
        <v>2.1113092565662139</v>
      </c>
      <c r="AL14" s="141">
        <f t="shared" si="1"/>
        <v>-0.15</v>
      </c>
      <c r="AM14" s="141">
        <f t="shared" si="2"/>
        <v>1.961309256566214</v>
      </c>
      <c r="AN14" s="156">
        <f t="shared" si="3"/>
        <v>0.68610129606920078</v>
      </c>
      <c r="AP14" s="157"/>
    </row>
    <row r="15" spans="2:45" hidden="1" outlineLevel="1">
      <c r="B15" s="8" t="s">
        <v>227</v>
      </c>
      <c r="D15" s="38">
        <v>0</v>
      </c>
      <c r="E15" s="38">
        <v>0</v>
      </c>
      <c r="J15" s="38">
        <v>0</v>
      </c>
      <c r="O15" s="38">
        <v>0</v>
      </c>
      <c r="T15" s="38">
        <v>0</v>
      </c>
      <c r="V15" s="42">
        <f t="shared" si="6"/>
        <v>0</v>
      </c>
      <c r="AK15" s="8" t="e">
        <f t="shared" si="0"/>
        <v>#N/A</v>
      </c>
      <c r="AL15" s="8" t="e">
        <f t="shared" si="1"/>
        <v>#N/A</v>
      </c>
      <c r="AM15" s="8" t="e">
        <f t="shared" si="2"/>
        <v>#N/A</v>
      </c>
      <c r="AN15" s="156" t="e">
        <f t="shared" si="3"/>
        <v>#N/A</v>
      </c>
      <c r="AP15" s="157"/>
    </row>
    <row r="16" spans="2:45" collapsed="1">
      <c r="AJ16" s="1">
        <f>AJ14+1</f>
        <v>2033</v>
      </c>
      <c r="AK16" s="141">
        <f t="shared" si="0"/>
        <v>2.5076667846410534</v>
      </c>
      <c r="AL16" s="141">
        <f t="shared" si="1"/>
        <v>-0.15</v>
      </c>
      <c r="AM16" s="141">
        <f t="shared" si="2"/>
        <v>2.3576667846410531</v>
      </c>
      <c r="AN16" s="156">
        <f t="shared" si="3"/>
        <v>0.69112867407616674</v>
      </c>
      <c r="AP16" s="157"/>
    </row>
    <row r="17" spans="2:43">
      <c r="B17" s="272" t="s">
        <v>65</v>
      </c>
      <c r="C17" s="268"/>
      <c r="D17" s="268"/>
      <c r="E17" s="268"/>
      <c r="F17" s="268"/>
      <c r="G17" s="268"/>
      <c r="H17" s="268"/>
      <c r="I17" s="268"/>
      <c r="J17" s="268"/>
      <c r="K17" s="268"/>
      <c r="L17" s="268"/>
      <c r="M17" s="268"/>
      <c r="N17" s="268"/>
      <c r="O17" s="268"/>
      <c r="P17" s="268"/>
      <c r="Q17" s="268"/>
      <c r="R17" s="268"/>
      <c r="S17" s="268"/>
      <c r="T17" s="268"/>
      <c r="U17" s="268"/>
      <c r="V17" s="268"/>
      <c r="W17" s="268"/>
      <c r="X17" s="268"/>
      <c r="Y17" s="268"/>
      <c r="Z17" s="268"/>
      <c r="AA17" s="268"/>
      <c r="AB17" s="268"/>
      <c r="AC17" s="268"/>
      <c r="AD17" s="268"/>
      <c r="AE17" s="268"/>
      <c r="AJ17" s="1">
        <f t="shared" ref="AJ17:AJ27" si="7">AJ16+1</f>
        <v>2034</v>
      </c>
      <c r="AK17" s="141">
        <f t="shared" si="0"/>
        <v>2.9637164502179179</v>
      </c>
      <c r="AL17" s="141">
        <f t="shared" si="1"/>
        <v>-0.15</v>
      </c>
      <c r="AM17" s="141">
        <f t="shared" si="2"/>
        <v>2.8137164502179179</v>
      </c>
      <c r="AN17" s="156">
        <f t="shared" si="3"/>
        <v>0.69520327378655011</v>
      </c>
      <c r="AP17" s="157"/>
    </row>
    <row r="18" spans="2:43">
      <c r="B18" s="226"/>
      <c r="C18" s="226"/>
      <c r="D18" s="273" t="s">
        <v>42</v>
      </c>
      <c r="E18" s="274"/>
      <c r="F18" s="274"/>
      <c r="G18" s="274"/>
      <c r="H18" s="274"/>
      <c r="I18" s="274"/>
      <c r="J18" s="274"/>
      <c r="K18" s="274"/>
      <c r="L18" s="274"/>
      <c r="M18" s="274"/>
      <c r="N18" s="274"/>
      <c r="O18" s="274"/>
      <c r="P18" s="274"/>
      <c r="Q18" s="274"/>
      <c r="R18" s="274"/>
      <c r="S18" s="274"/>
      <c r="T18" s="274"/>
      <c r="U18" s="274"/>
      <c r="V18" s="274"/>
      <c r="W18" s="274"/>
      <c r="X18" s="274"/>
      <c r="Y18" s="274"/>
      <c r="AA18" s="275" t="s">
        <v>66</v>
      </c>
      <c r="AB18" s="268"/>
      <c r="AC18" s="268"/>
      <c r="AD18" s="268"/>
      <c r="AE18" s="268"/>
      <c r="AG18" s="279" t="s">
        <v>119</v>
      </c>
      <c r="AH18" s="257"/>
      <c r="AJ18" s="54">
        <f t="shared" si="7"/>
        <v>2035</v>
      </c>
      <c r="AK18" s="149">
        <f t="shared" si="0"/>
        <v>3.4807556159068267</v>
      </c>
      <c r="AL18" s="149">
        <f t="shared" si="1"/>
        <v>-0.15</v>
      </c>
      <c r="AM18" s="149">
        <f t="shared" si="2"/>
        <v>3.3307556159068268</v>
      </c>
      <c r="AN18" s="158">
        <f t="shared" si="3"/>
        <v>0.69857135745916199</v>
      </c>
      <c r="AP18" s="157"/>
    </row>
    <row r="19" spans="2:43">
      <c r="B19" s="227" t="s">
        <v>228</v>
      </c>
      <c r="C19" s="226"/>
      <c r="D19" s="196">
        <f>Macro!C17</f>
        <v>2024</v>
      </c>
      <c r="E19" s="196">
        <f>Macro!D17</f>
        <v>2025</v>
      </c>
      <c r="F19" s="196">
        <f>Macro!E17</f>
        <v>2026</v>
      </c>
      <c r="G19" s="196">
        <f>Macro!F17</f>
        <v>2027</v>
      </c>
      <c r="H19" s="196">
        <f>Macro!G17</f>
        <v>2028</v>
      </c>
      <c r="I19" s="196">
        <f>Macro!H17</f>
        <v>2029</v>
      </c>
      <c r="J19" s="196">
        <f>Macro!I17</f>
        <v>2030</v>
      </c>
      <c r="K19" s="196">
        <f>Macro!J17</f>
        <v>2031</v>
      </c>
      <c r="L19" s="196">
        <f>Macro!K17</f>
        <v>2032</v>
      </c>
      <c r="M19" s="196">
        <f>Macro!L17</f>
        <v>2033</v>
      </c>
      <c r="N19" s="196">
        <f>Macro!M17</f>
        <v>2034</v>
      </c>
      <c r="O19" s="196">
        <f>Macro!N17</f>
        <v>2035</v>
      </c>
      <c r="P19" s="196">
        <f>Macro!O17</f>
        <v>2036</v>
      </c>
      <c r="Q19" s="196">
        <f>Macro!P17</f>
        <v>2037</v>
      </c>
      <c r="R19" s="196">
        <f>Macro!Q17</f>
        <v>2038</v>
      </c>
      <c r="S19" s="196">
        <f>Macro!R17</f>
        <v>2039</v>
      </c>
      <c r="T19" s="196">
        <f>Macro!S17</f>
        <v>2040</v>
      </c>
      <c r="U19" s="196">
        <f>Macro!T17</f>
        <v>2041</v>
      </c>
      <c r="V19" s="196">
        <f>Macro!U17</f>
        <v>2042</v>
      </c>
      <c r="W19" s="196">
        <f>Macro!V17</f>
        <v>2043</v>
      </c>
      <c r="X19" s="196">
        <f>Macro!W17</f>
        <v>2044</v>
      </c>
      <c r="Y19" s="196">
        <f>Macro!X17</f>
        <v>2045</v>
      </c>
      <c r="Z19" s="1"/>
      <c r="AA19" s="196" t="s">
        <v>69</v>
      </c>
      <c r="AB19" s="196" t="s">
        <v>70</v>
      </c>
      <c r="AC19" s="196" t="s">
        <v>71</v>
      </c>
      <c r="AD19" s="196" t="s">
        <v>72</v>
      </c>
      <c r="AE19" s="196" t="s">
        <v>73</v>
      </c>
      <c r="AF19" s="245"/>
      <c r="AG19" s="245">
        <f>D19</f>
        <v>2024</v>
      </c>
      <c r="AH19" s="245">
        <f>Y19</f>
        <v>2045</v>
      </c>
      <c r="AJ19" s="1">
        <f t="shared" si="7"/>
        <v>2036</v>
      </c>
      <c r="AK19" s="150">
        <f t="shared" si="0"/>
        <v>4.0569797278167208</v>
      </c>
      <c r="AL19" s="150">
        <f t="shared" si="1"/>
        <v>-0.15</v>
      </c>
      <c r="AM19" s="150">
        <f t="shared" si="2"/>
        <v>3.9069797278167209</v>
      </c>
      <c r="AN19" s="156">
        <f t="shared" si="3"/>
        <v>0.70141196129103633</v>
      </c>
      <c r="AP19" s="157"/>
    </row>
    <row r="20" spans="2:43">
      <c r="B20" s="8" t="s">
        <v>122</v>
      </c>
      <c r="D20" s="129"/>
      <c r="E20" s="129">
        <f t="shared" ref="E20:Y20" si="8">(SUM(D35:D37)*E31+MAX(E27,0)*$V$14+E29)/E22*10^6</f>
        <v>564830.76923076925</v>
      </c>
      <c r="F20" s="129">
        <f t="shared" si="8"/>
        <v>36833.585397653151</v>
      </c>
      <c r="G20" s="129">
        <f t="shared" si="8"/>
        <v>26272.445983005866</v>
      </c>
      <c r="H20" s="129">
        <f t="shared" si="8"/>
        <v>19065.627001280092</v>
      </c>
      <c r="I20" s="129">
        <f t="shared" si="8"/>
        <v>14080.938920028548</v>
      </c>
      <c r="J20" s="129">
        <f t="shared" si="8"/>
        <v>10587.237713975401</v>
      </c>
      <c r="K20" s="129">
        <f t="shared" si="8"/>
        <v>8106.8068317868956</v>
      </c>
      <c r="L20" s="129">
        <f t="shared" si="8"/>
        <v>6323.8849907015128</v>
      </c>
      <c r="M20" s="129">
        <f t="shared" si="8"/>
        <v>5027.378006965977</v>
      </c>
      <c r="N20" s="129">
        <f t="shared" si="8"/>
        <v>4074.5997103835002</v>
      </c>
      <c r="O20" s="129">
        <f t="shared" si="8"/>
        <v>3368.0836726118505</v>
      </c>
      <c r="P20" s="129">
        <f t="shared" si="8"/>
        <v>2840.6038318743299</v>
      </c>
      <c r="Q20" s="129">
        <f t="shared" si="8"/>
        <v>2445.4050313763837</v>
      </c>
      <c r="R20" s="129">
        <f t="shared" si="8"/>
        <v>2104.9893816682702</v>
      </c>
      <c r="S20" s="129">
        <f t="shared" si="8"/>
        <v>1811.7964940459933</v>
      </c>
      <c r="T20" s="129">
        <f t="shared" si="8"/>
        <v>1559.303608595641</v>
      </c>
      <c r="U20" s="129">
        <f t="shared" si="8"/>
        <v>1341.8841678275055</v>
      </c>
      <c r="V20" s="129">
        <f t="shared" si="8"/>
        <v>1154.6854972043702</v>
      </c>
      <c r="W20" s="129">
        <f t="shared" si="8"/>
        <v>993.52304050521843</v>
      </c>
      <c r="X20" s="129">
        <f t="shared" si="8"/>
        <v>854.7889337154246</v>
      </c>
      <c r="Y20" s="129">
        <f t="shared" si="8"/>
        <v>735.37299361833277</v>
      </c>
      <c r="AA20" s="57" t="str">
        <f t="shared" ref="AA20:AA22" si="9">IFERROR((E20/D20)-1,"")</f>
        <v/>
      </c>
      <c r="AB20" s="57" t="str">
        <f t="shared" ref="AB20:AB22" si="10">IFERROR((J20/D20)^(1/6)-1,"")</f>
        <v/>
      </c>
      <c r="AC20" s="57" t="str">
        <f t="shared" ref="AC20:AC22" si="11">IFERROR((O20/D20)^(1/11)-1,"")</f>
        <v/>
      </c>
      <c r="AD20" s="57" t="str">
        <f t="shared" ref="AD20:AD22" si="12">IFERROR((T20/D20)^(1/16)-1,"")</f>
        <v/>
      </c>
      <c r="AE20" s="57"/>
      <c r="AJ20" s="1">
        <f t="shared" si="7"/>
        <v>2037</v>
      </c>
      <c r="AK20" s="150">
        <f t="shared" si="0"/>
        <v>4.68687173300059</v>
      </c>
      <c r="AL20" s="150">
        <f t="shared" si="1"/>
        <v>-0.15</v>
      </c>
      <c r="AM20" s="150">
        <f t="shared" si="2"/>
        <v>4.5368717330005905</v>
      </c>
      <c r="AN20" s="156">
        <f t="shared" si="3"/>
        <v>0.70385736632241269</v>
      </c>
      <c r="AP20" s="157"/>
    </row>
    <row r="21" spans="2:43" ht="15.75" customHeight="1">
      <c r="B21" s="204" t="s">
        <v>123</v>
      </c>
      <c r="C21" s="204"/>
      <c r="D21" s="246">
        <f>D4</f>
        <v>0</v>
      </c>
      <c r="E21" s="243">
        <f t="shared" ref="E21:Y21" si="13">D21+E20</f>
        <v>564830.76923076925</v>
      </c>
      <c r="F21" s="243">
        <f t="shared" si="13"/>
        <v>601664.35462842241</v>
      </c>
      <c r="G21" s="243">
        <f t="shared" si="13"/>
        <v>627936.80061142833</v>
      </c>
      <c r="H21" s="243">
        <f t="shared" si="13"/>
        <v>647002.42761270842</v>
      </c>
      <c r="I21" s="243">
        <f t="shared" si="13"/>
        <v>661083.36653273692</v>
      </c>
      <c r="J21" s="243">
        <f t="shared" si="13"/>
        <v>671670.60424671229</v>
      </c>
      <c r="K21" s="243">
        <f t="shared" si="13"/>
        <v>679777.41107849916</v>
      </c>
      <c r="L21" s="243">
        <f t="shared" si="13"/>
        <v>686101.29606920073</v>
      </c>
      <c r="M21" s="243">
        <f t="shared" si="13"/>
        <v>691128.6740761667</v>
      </c>
      <c r="N21" s="243">
        <f t="shared" si="13"/>
        <v>695203.27378655015</v>
      </c>
      <c r="O21" s="243">
        <f t="shared" si="13"/>
        <v>698571.35745916201</v>
      </c>
      <c r="P21" s="243">
        <f t="shared" si="13"/>
        <v>701411.96129103634</v>
      </c>
      <c r="Q21" s="243">
        <f t="shared" si="13"/>
        <v>703857.36632241274</v>
      </c>
      <c r="R21" s="243">
        <f t="shared" si="13"/>
        <v>705962.35570408101</v>
      </c>
      <c r="S21" s="243">
        <f t="shared" si="13"/>
        <v>707774.15219812701</v>
      </c>
      <c r="T21" s="243">
        <f t="shared" si="13"/>
        <v>709333.45580672263</v>
      </c>
      <c r="U21" s="243">
        <f t="shared" si="13"/>
        <v>710675.33997455018</v>
      </c>
      <c r="V21" s="243">
        <f t="shared" si="13"/>
        <v>711830.0254717546</v>
      </c>
      <c r="W21" s="243">
        <f t="shared" si="13"/>
        <v>712823.54851225985</v>
      </c>
      <c r="X21" s="243">
        <f t="shared" si="13"/>
        <v>713678.33744597528</v>
      </c>
      <c r="Y21" s="243">
        <f t="shared" si="13"/>
        <v>714413.71043959365</v>
      </c>
      <c r="AA21" s="57" t="str">
        <f t="shared" si="9"/>
        <v/>
      </c>
      <c r="AB21" s="57" t="str">
        <f t="shared" si="10"/>
        <v/>
      </c>
      <c r="AC21" s="57" t="str">
        <f t="shared" si="11"/>
        <v/>
      </c>
      <c r="AD21" s="57" t="str">
        <f t="shared" si="12"/>
        <v/>
      </c>
      <c r="AE21" s="229" t="str">
        <f t="shared" ref="AE21:AE22" si="14">IFERROR((Y21/D21)^(1/21)-1,"")</f>
        <v/>
      </c>
      <c r="AJ21" s="1">
        <f t="shared" si="7"/>
        <v>2038</v>
      </c>
      <c r="AK21" s="150">
        <f t="shared" si="0"/>
        <v>5.4157243553512853</v>
      </c>
      <c r="AL21" s="150">
        <f t="shared" si="1"/>
        <v>-0.15</v>
      </c>
      <c r="AM21" s="150">
        <f t="shared" si="2"/>
        <v>5.2657243553512849</v>
      </c>
      <c r="AN21" s="156">
        <f t="shared" si="3"/>
        <v>0.70596235570408106</v>
      </c>
      <c r="AP21" s="157"/>
    </row>
    <row r="22" spans="2:43" ht="15.75" customHeight="1">
      <c r="B22" s="8" t="s">
        <v>75</v>
      </c>
      <c r="D22" s="79">
        <f>Macro!C20</f>
        <v>65</v>
      </c>
      <c r="E22" s="79">
        <f>Macro!D20</f>
        <v>97.5</v>
      </c>
      <c r="F22" s="79">
        <f>Macro!E20</f>
        <v>143.8125</v>
      </c>
      <c r="G22" s="79">
        <f>Macro!F20</f>
        <v>208.52812499999999</v>
      </c>
      <c r="H22" s="79">
        <f>Macro!G20</f>
        <v>297.15257812499993</v>
      </c>
      <c r="I22" s="79">
        <f>Macro!H20</f>
        <v>416.01360937499987</v>
      </c>
      <c r="J22" s="79">
        <f>Macro!I20</f>
        <v>572.01871289062478</v>
      </c>
      <c r="K22" s="79">
        <f>Macro!J20</f>
        <v>772.22526240234333</v>
      </c>
      <c r="L22" s="79">
        <f>Macro!K20</f>
        <v>1023.1984726831047</v>
      </c>
      <c r="M22" s="79">
        <f>Macro!L20</f>
        <v>1330.1580144880359</v>
      </c>
      <c r="N22" s="79">
        <f>Macro!M20</f>
        <v>1695.9514684722456</v>
      </c>
      <c r="O22" s="79">
        <f>Macro!N20</f>
        <v>2119.9393355903067</v>
      </c>
      <c r="P22" s="79">
        <f>Macro!O20</f>
        <v>2596.9256860981254</v>
      </c>
      <c r="Q22" s="79">
        <f>Macro!P20</f>
        <v>3116.3108233177504</v>
      </c>
      <c r="R22" s="79">
        <f>Macro!Q20</f>
        <v>3739.5729879813002</v>
      </c>
      <c r="S22" s="79">
        <f>Macro!R20</f>
        <v>4487.4875855775599</v>
      </c>
      <c r="T22" s="79">
        <f>Macro!S20</f>
        <v>5384.9851026930719</v>
      </c>
      <c r="U22" s="79">
        <f>Macro!T20</f>
        <v>6461.9821232316863</v>
      </c>
      <c r="V22" s="79">
        <f>Macro!U20</f>
        <v>7754.3785478780228</v>
      </c>
      <c r="W22" s="79">
        <f>Macro!V20</f>
        <v>9305.2542574536274</v>
      </c>
      <c r="X22" s="79">
        <f>Macro!W20</f>
        <v>11166.305108944352</v>
      </c>
      <c r="Y22" s="79">
        <f>Macro!X20</f>
        <v>13399.566130733223</v>
      </c>
      <c r="AA22" s="57">
        <f t="shared" si="9"/>
        <v>0.5</v>
      </c>
      <c r="AB22" s="57">
        <f t="shared" si="10"/>
        <v>0.43686559725988783</v>
      </c>
      <c r="AC22" s="57">
        <f t="shared" si="11"/>
        <v>0.37272244333469207</v>
      </c>
      <c r="AD22" s="57">
        <f t="shared" si="12"/>
        <v>0.31792879499327231</v>
      </c>
      <c r="AE22" s="57">
        <f t="shared" si="14"/>
        <v>0.28883975252734717</v>
      </c>
      <c r="AJ22" s="1">
        <f t="shared" si="7"/>
        <v>2039</v>
      </c>
      <c r="AK22" s="150">
        <f t="shared" si="0"/>
        <v>6.2606426183657939</v>
      </c>
      <c r="AL22" s="150">
        <f t="shared" si="1"/>
        <v>-0.15</v>
      </c>
      <c r="AM22" s="150">
        <f t="shared" si="2"/>
        <v>6.1106426183657945</v>
      </c>
      <c r="AN22" s="156">
        <f t="shared" si="3"/>
        <v>0.707774152198127</v>
      </c>
      <c r="AP22" s="157"/>
    </row>
    <row r="23" spans="2:43" ht="15.75" customHeight="1">
      <c r="B23" s="197" t="s">
        <v>229</v>
      </c>
      <c r="C23" s="197"/>
      <c r="D23" s="198"/>
      <c r="E23" s="198"/>
      <c r="F23" s="198"/>
      <c r="G23" s="198"/>
      <c r="H23" s="198"/>
      <c r="I23" s="198"/>
      <c r="J23" s="198"/>
      <c r="K23" s="198"/>
      <c r="L23" s="198"/>
      <c r="M23" s="198"/>
      <c r="N23" s="198"/>
      <c r="O23" s="198"/>
      <c r="P23" s="198"/>
      <c r="Q23" s="198"/>
      <c r="R23" s="198"/>
      <c r="S23" s="198"/>
      <c r="T23" s="198"/>
      <c r="U23" s="198"/>
      <c r="V23" s="198"/>
      <c r="W23" s="198"/>
      <c r="X23" s="198"/>
      <c r="Y23" s="198"/>
      <c r="AE23" s="198"/>
      <c r="AF23" s="245"/>
      <c r="AG23" s="245"/>
      <c r="AH23" s="245"/>
      <c r="AJ23" s="54">
        <f t="shared" si="7"/>
        <v>2040</v>
      </c>
      <c r="AK23" s="149">
        <f t="shared" si="0"/>
        <v>7.2419098449679238</v>
      </c>
      <c r="AL23" s="149">
        <f t="shared" si="1"/>
        <v>-0.15</v>
      </c>
      <c r="AM23" s="149">
        <f t="shared" si="2"/>
        <v>7.0919098449679243</v>
      </c>
      <c r="AN23" s="158">
        <f t="shared" si="3"/>
        <v>0.70933345580672258</v>
      </c>
      <c r="AP23" s="157"/>
    </row>
    <row r="24" spans="2:43" ht="15.75" customHeight="1">
      <c r="B24" s="98" t="s">
        <v>230</v>
      </c>
      <c r="C24" s="98"/>
      <c r="D24" s="79">
        <f t="shared" ref="D24:D25" si="15">D5</f>
        <v>300</v>
      </c>
      <c r="E24" s="79">
        <f t="shared" ref="E24:Y24" si="16">D24*(1+$AE$5)</f>
        <v>309</v>
      </c>
      <c r="F24" s="79">
        <f t="shared" si="16"/>
        <v>318.27</v>
      </c>
      <c r="G24" s="79">
        <f t="shared" si="16"/>
        <v>327.81810000000002</v>
      </c>
      <c r="H24" s="79">
        <f t="shared" si="16"/>
        <v>337.65264300000001</v>
      </c>
      <c r="I24" s="79">
        <f t="shared" si="16"/>
        <v>347.78222228999999</v>
      </c>
      <c r="J24" s="79">
        <f t="shared" si="16"/>
        <v>358.21568895870001</v>
      </c>
      <c r="K24" s="79">
        <f t="shared" si="16"/>
        <v>368.96215962746101</v>
      </c>
      <c r="L24" s="79">
        <f t="shared" si="16"/>
        <v>380.03102441628482</v>
      </c>
      <c r="M24" s="79">
        <f t="shared" si="16"/>
        <v>391.4319551487734</v>
      </c>
      <c r="N24" s="79">
        <f t="shared" si="16"/>
        <v>403.17491380323662</v>
      </c>
      <c r="O24" s="79">
        <f t="shared" si="16"/>
        <v>415.27016121733374</v>
      </c>
      <c r="P24" s="79">
        <f t="shared" si="16"/>
        <v>427.72826605385376</v>
      </c>
      <c r="Q24" s="79">
        <f t="shared" si="16"/>
        <v>440.56011403546938</v>
      </c>
      <c r="R24" s="79">
        <f t="shared" si="16"/>
        <v>453.77691745653345</v>
      </c>
      <c r="S24" s="79">
        <f t="shared" si="16"/>
        <v>467.39022498022945</v>
      </c>
      <c r="T24" s="79">
        <f t="shared" si="16"/>
        <v>481.41193172963636</v>
      </c>
      <c r="U24" s="79">
        <f t="shared" si="16"/>
        <v>495.85428968152547</v>
      </c>
      <c r="V24" s="79">
        <f t="shared" si="16"/>
        <v>510.72991837197122</v>
      </c>
      <c r="W24" s="79">
        <f t="shared" si="16"/>
        <v>526.05181592313033</v>
      </c>
      <c r="X24" s="79">
        <f t="shared" si="16"/>
        <v>541.83337040082426</v>
      </c>
      <c r="Y24" s="79">
        <f t="shared" si="16"/>
        <v>558.08837151284899</v>
      </c>
      <c r="Z24" s="1"/>
      <c r="AA24" s="57">
        <f t="shared" ref="AA24:AA30" si="17">IFERROR((E24/D24)-1,"")</f>
        <v>3.0000000000000027E-2</v>
      </c>
      <c r="AB24" s="57">
        <f t="shared" ref="AB24:AB30" si="18">IFERROR((J24/D24)^(1/6)-1,"")</f>
        <v>3.0000000000000027E-2</v>
      </c>
      <c r="AC24" s="57">
        <f t="shared" ref="AC24:AC30" si="19">IFERROR((O24/D24)^(1/11)-1,"")</f>
        <v>3.0000000000000027E-2</v>
      </c>
      <c r="AD24" s="57">
        <f t="shared" ref="AD24:AD30" si="20">IFERROR((T24/D24)^(1/16)-1,"")</f>
        <v>3.0000000000000027E-2</v>
      </c>
      <c r="AE24" s="57">
        <f t="shared" ref="AE24:AE30" si="21">IFERROR((Y24/D24)^(1/21)-1,"")</f>
        <v>3.0000000000000027E-2</v>
      </c>
      <c r="AF24" s="245"/>
      <c r="AG24" s="245"/>
      <c r="AH24" s="245"/>
      <c r="AJ24" s="1">
        <f t="shared" si="7"/>
        <v>2041</v>
      </c>
      <c r="AK24" s="150">
        <f t="shared" si="0"/>
        <v>8.3836019058327178</v>
      </c>
      <c r="AL24" s="150">
        <f t="shared" si="1"/>
        <v>-0.15</v>
      </c>
      <c r="AM24" s="150">
        <f t="shared" si="2"/>
        <v>8.2336019058327174</v>
      </c>
      <c r="AN24" s="156">
        <f t="shared" si="3"/>
        <v>0.71067533997455024</v>
      </c>
      <c r="AP24" s="157"/>
    </row>
    <row r="25" spans="2:43" ht="15" customHeight="1">
      <c r="B25" s="98" t="s">
        <v>231</v>
      </c>
      <c r="C25" s="98"/>
      <c r="D25" s="79">
        <f t="shared" si="15"/>
        <v>-243</v>
      </c>
      <c r="E25" s="79">
        <f t="shared" ref="E25:Y25" si="22">D25*(1+$AE$6)</f>
        <v>-250.29000000000002</v>
      </c>
      <c r="F25" s="79">
        <f t="shared" si="22"/>
        <v>-257.79870000000005</v>
      </c>
      <c r="G25" s="79">
        <f t="shared" si="22"/>
        <v>-265.53266100000008</v>
      </c>
      <c r="H25" s="79">
        <f t="shared" si="22"/>
        <v>-273.49864083000011</v>
      </c>
      <c r="I25" s="79">
        <f t="shared" si="22"/>
        <v>-281.70360005490011</v>
      </c>
      <c r="J25" s="79">
        <f t="shared" si="22"/>
        <v>-290.15470805654712</v>
      </c>
      <c r="K25" s="79">
        <f t="shared" si="22"/>
        <v>-298.85934929824356</v>
      </c>
      <c r="L25" s="79">
        <f t="shared" si="22"/>
        <v>-307.82512977719085</v>
      </c>
      <c r="M25" s="79">
        <f t="shared" si="22"/>
        <v>-317.05988367050657</v>
      </c>
      <c r="N25" s="79">
        <f t="shared" si="22"/>
        <v>-326.5716801806218</v>
      </c>
      <c r="O25" s="79">
        <f t="shared" si="22"/>
        <v>-336.36883058604047</v>
      </c>
      <c r="P25" s="79">
        <f t="shared" si="22"/>
        <v>-346.45989550362168</v>
      </c>
      <c r="Q25" s="79">
        <f t="shared" si="22"/>
        <v>-356.85369236873032</v>
      </c>
      <c r="R25" s="79">
        <f t="shared" si="22"/>
        <v>-367.55930313979223</v>
      </c>
      <c r="S25" s="79">
        <f t="shared" si="22"/>
        <v>-378.58608223398602</v>
      </c>
      <c r="T25" s="79">
        <f t="shared" si="22"/>
        <v>-389.94366470100562</v>
      </c>
      <c r="U25" s="79">
        <f t="shared" si="22"/>
        <v>-401.64197464203579</v>
      </c>
      <c r="V25" s="79">
        <f t="shared" si="22"/>
        <v>-413.69123388129685</v>
      </c>
      <c r="W25" s="79">
        <f t="shared" si="22"/>
        <v>-426.10197089773578</v>
      </c>
      <c r="X25" s="79">
        <f t="shared" si="22"/>
        <v>-438.88503002466786</v>
      </c>
      <c r="Y25" s="79">
        <f t="shared" si="22"/>
        <v>-452.0515809254079</v>
      </c>
      <c r="AA25" s="57">
        <f t="shared" si="17"/>
        <v>3.0000000000000027E-2</v>
      </c>
      <c r="AB25" s="57">
        <f t="shared" si="18"/>
        <v>3.0000000000000027E-2</v>
      </c>
      <c r="AC25" s="57">
        <f t="shared" si="19"/>
        <v>3.0000000000000027E-2</v>
      </c>
      <c r="AD25" s="57">
        <f t="shared" si="20"/>
        <v>3.0000000000000027E-2</v>
      </c>
      <c r="AE25" s="57">
        <f t="shared" si="21"/>
        <v>3.0000000000000027E-2</v>
      </c>
      <c r="AF25" s="245"/>
      <c r="AG25" s="245"/>
      <c r="AH25" s="245"/>
      <c r="AJ25" s="1">
        <f t="shared" si="7"/>
        <v>2042</v>
      </c>
      <c r="AK25" s="150">
        <f t="shared" si="0"/>
        <v>9.7143224363766851</v>
      </c>
      <c r="AL25" s="150">
        <f t="shared" si="1"/>
        <v>-0.15</v>
      </c>
      <c r="AM25" s="150">
        <f t="shared" si="2"/>
        <v>9.5643224363766866</v>
      </c>
      <c r="AN25" s="156">
        <f t="shared" si="3"/>
        <v>0.71183002547175456</v>
      </c>
      <c r="AP25" s="157"/>
    </row>
    <row r="26" spans="2:43" ht="15.75" customHeight="1">
      <c r="B26" s="98" t="s">
        <v>178</v>
      </c>
      <c r="C26" s="98"/>
      <c r="D26" s="79">
        <f t="shared" ref="D26:Y26" si="23">$D$8*D40</f>
        <v>-7.5</v>
      </c>
      <c r="E26" s="79">
        <f t="shared" si="23"/>
        <v>-7.5</v>
      </c>
      <c r="F26" s="79">
        <f t="shared" si="23"/>
        <v>-7.5</v>
      </c>
      <c r="G26" s="79">
        <f t="shared" si="23"/>
        <v>-7.5</v>
      </c>
      <c r="H26" s="79">
        <f t="shared" si="23"/>
        <v>-7.5</v>
      </c>
      <c r="I26" s="79">
        <f t="shared" si="23"/>
        <v>-7.5</v>
      </c>
      <c r="J26" s="79">
        <f t="shared" si="23"/>
        <v>-7.5</v>
      </c>
      <c r="K26" s="79">
        <f t="shared" si="23"/>
        <v>-7.5</v>
      </c>
      <c r="L26" s="79">
        <f t="shared" si="23"/>
        <v>-7.5</v>
      </c>
      <c r="M26" s="79">
        <f t="shared" si="23"/>
        <v>-7.5</v>
      </c>
      <c r="N26" s="79">
        <f t="shared" si="23"/>
        <v>-7.5</v>
      </c>
      <c r="O26" s="79">
        <f t="shared" si="23"/>
        <v>-7.5</v>
      </c>
      <c r="P26" s="79">
        <f t="shared" si="23"/>
        <v>-7.5</v>
      </c>
      <c r="Q26" s="79">
        <f t="shared" si="23"/>
        <v>-7.5</v>
      </c>
      <c r="R26" s="79">
        <f t="shared" si="23"/>
        <v>-7.5</v>
      </c>
      <c r="S26" s="79">
        <f t="shared" si="23"/>
        <v>-7.5</v>
      </c>
      <c r="T26" s="79">
        <f t="shared" si="23"/>
        <v>-7.5</v>
      </c>
      <c r="U26" s="79">
        <f t="shared" si="23"/>
        <v>-7.5</v>
      </c>
      <c r="V26" s="79">
        <f t="shared" si="23"/>
        <v>-7.5</v>
      </c>
      <c r="W26" s="79">
        <f t="shared" si="23"/>
        <v>-7.5</v>
      </c>
      <c r="X26" s="79">
        <f t="shared" si="23"/>
        <v>-7.5</v>
      </c>
      <c r="Y26" s="79">
        <f t="shared" si="23"/>
        <v>-7.5</v>
      </c>
      <c r="AA26" s="57">
        <f t="shared" si="17"/>
        <v>0</v>
      </c>
      <c r="AB26" s="57">
        <f t="shared" si="18"/>
        <v>0</v>
      </c>
      <c r="AC26" s="57">
        <f t="shared" si="19"/>
        <v>0</v>
      </c>
      <c r="AD26" s="57">
        <f t="shared" si="20"/>
        <v>0</v>
      </c>
      <c r="AE26" s="57">
        <f t="shared" si="21"/>
        <v>0</v>
      </c>
      <c r="AG26" s="57"/>
      <c r="AH26" s="57"/>
      <c r="AJ26" s="1">
        <f t="shared" si="7"/>
        <v>2043</v>
      </c>
      <c r="AK26" s="150">
        <f t="shared" si="0"/>
        <v>11.268083050730205</v>
      </c>
      <c r="AL26" s="150">
        <f t="shared" si="1"/>
        <v>-0.15</v>
      </c>
      <c r="AM26" s="150">
        <f t="shared" si="2"/>
        <v>11.118083050730204</v>
      </c>
      <c r="AN26" s="156">
        <f t="shared" si="3"/>
        <v>0.71282354851225982</v>
      </c>
      <c r="AP26" s="157"/>
    </row>
    <row r="27" spans="2:43" ht="15.75" customHeight="1">
      <c r="B27" s="82" t="s">
        <v>232</v>
      </c>
      <c r="C27" s="82"/>
      <c r="D27" s="83">
        <f t="shared" ref="D27:Y27" si="24">SUM(D24:D26)</f>
        <v>49.5</v>
      </c>
      <c r="E27" s="83">
        <f t="shared" si="24"/>
        <v>51.20999999999998</v>
      </c>
      <c r="F27" s="83">
        <f t="shared" si="24"/>
        <v>52.971299999999928</v>
      </c>
      <c r="G27" s="83">
        <f t="shared" si="24"/>
        <v>54.78543899999994</v>
      </c>
      <c r="H27" s="83">
        <f t="shared" si="24"/>
        <v>56.654002169999899</v>
      </c>
      <c r="I27" s="83">
        <f t="shared" si="24"/>
        <v>58.578622235099886</v>
      </c>
      <c r="J27" s="83">
        <f t="shared" si="24"/>
        <v>60.560980902152892</v>
      </c>
      <c r="K27" s="83">
        <f t="shared" si="24"/>
        <v>62.602810329217448</v>
      </c>
      <c r="L27" s="83">
        <f t="shared" si="24"/>
        <v>64.70589463909397</v>
      </c>
      <c r="M27" s="83">
        <f t="shared" si="24"/>
        <v>66.872071478266832</v>
      </c>
      <c r="N27" s="83">
        <f t="shared" si="24"/>
        <v>69.103233622614823</v>
      </c>
      <c r="O27" s="83">
        <f t="shared" si="24"/>
        <v>71.401330631293263</v>
      </c>
      <c r="P27" s="83">
        <f t="shared" si="24"/>
        <v>73.768370550232078</v>
      </c>
      <c r="Q27" s="83">
        <f t="shared" si="24"/>
        <v>76.206421666739061</v>
      </c>
      <c r="R27" s="83">
        <f t="shared" si="24"/>
        <v>78.717614316741219</v>
      </c>
      <c r="S27" s="83">
        <f t="shared" si="24"/>
        <v>81.304142746243429</v>
      </c>
      <c r="T27" s="83">
        <f t="shared" si="24"/>
        <v>83.968267028630748</v>
      </c>
      <c r="U27" s="83">
        <f t="shared" si="24"/>
        <v>86.712315039489681</v>
      </c>
      <c r="V27" s="83">
        <f t="shared" si="24"/>
        <v>89.53868449067437</v>
      </c>
      <c r="W27" s="83">
        <f t="shared" si="24"/>
        <v>92.449845025394552</v>
      </c>
      <c r="X27" s="83">
        <f t="shared" si="24"/>
        <v>95.448340376156409</v>
      </c>
      <c r="Y27" s="83">
        <f t="shared" si="24"/>
        <v>98.536790587441089</v>
      </c>
      <c r="Z27" s="201"/>
      <c r="AA27" s="203">
        <f t="shared" si="17"/>
        <v>3.4545454545454213E-2</v>
      </c>
      <c r="AB27" s="203">
        <f t="shared" si="18"/>
        <v>3.4184323497836067E-2</v>
      </c>
      <c r="AC27" s="203">
        <f t="shared" si="19"/>
        <v>3.3864770944042499E-2</v>
      </c>
      <c r="AD27" s="203">
        <f t="shared" si="20"/>
        <v>3.358066021267847E-2</v>
      </c>
      <c r="AE27" s="84">
        <f t="shared" si="21"/>
        <v>3.3326987607823488E-2</v>
      </c>
      <c r="AG27" s="57"/>
      <c r="AH27" s="57"/>
      <c r="AJ27" s="1">
        <f t="shared" si="7"/>
        <v>2044</v>
      </c>
      <c r="AK27" s="150">
        <f t="shared" si="0"/>
        <v>13.085357372093329</v>
      </c>
      <c r="AL27" s="150">
        <f t="shared" si="1"/>
        <v>-0.15</v>
      </c>
      <c r="AM27" s="150">
        <f t="shared" si="2"/>
        <v>12.935357372093328</v>
      </c>
      <c r="AN27" s="156">
        <f t="shared" si="3"/>
        <v>0.71367833744597531</v>
      </c>
      <c r="AP27" s="157"/>
    </row>
    <row r="28" spans="2:43" ht="15.75" hidden="1" customHeight="1" outlineLevel="1">
      <c r="B28" s="98" t="s">
        <v>245</v>
      </c>
      <c r="C28" s="98"/>
      <c r="D28" s="79">
        <f t="shared" ref="D28:Y28" si="25">MAX(-D27,0)</f>
        <v>0</v>
      </c>
      <c r="E28" s="79">
        <f t="shared" si="25"/>
        <v>0</v>
      </c>
      <c r="F28" s="79">
        <f t="shared" si="25"/>
        <v>0</v>
      </c>
      <c r="G28" s="79">
        <f t="shared" si="25"/>
        <v>0</v>
      </c>
      <c r="H28" s="79">
        <f t="shared" si="25"/>
        <v>0</v>
      </c>
      <c r="I28" s="79">
        <f t="shared" si="25"/>
        <v>0</v>
      </c>
      <c r="J28" s="79">
        <f t="shared" si="25"/>
        <v>0</v>
      </c>
      <c r="K28" s="79">
        <f t="shared" si="25"/>
        <v>0</v>
      </c>
      <c r="L28" s="79">
        <f t="shared" si="25"/>
        <v>0</v>
      </c>
      <c r="M28" s="79">
        <f t="shared" si="25"/>
        <v>0</v>
      </c>
      <c r="N28" s="79">
        <f t="shared" si="25"/>
        <v>0</v>
      </c>
      <c r="O28" s="79">
        <f t="shared" si="25"/>
        <v>0</v>
      </c>
      <c r="P28" s="79">
        <f t="shared" si="25"/>
        <v>0</v>
      </c>
      <c r="Q28" s="79">
        <f t="shared" si="25"/>
        <v>0</v>
      </c>
      <c r="R28" s="79">
        <f t="shared" si="25"/>
        <v>0</v>
      </c>
      <c r="S28" s="79">
        <f t="shared" si="25"/>
        <v>0</v>
      </c>
      <c r="T28" s="79">
        <f t="shared" si="25"/>
        <v>0</v>
      </c>
      <c r="U28" s="79">
        <f t="shared" si="25"/>
        <v>0</v>
      </c>
      <c r="V28" s="79">
        <f t="shared" si="25"/>
        <v>0</v>
      </c>
      <c r="W28" s="79">
        <f t="shared" si="25"/>
        <v>0</v>
      </c>
      <c r="X28" s="79">
        <f t="shared" si="25"/>
        <v>0</v>
      </c>
      <c r="Y28" s="79">
        <f t="shared" si="25"/>
        <v>0</v>
      </c>
      <c r="AA28" s="57" t="str">
        <f t="shared" si="17"/>
        <v/>
      </c>
      <c r="AB28" s="57" t="str">
        <f t="shared" si="18"/>
        <v/>
      </c>
      <c r="AC28" s="57" t="str">
        <f t="shared" si="19"/>
        <v/>
      </c>
      <c r="AD28" s="57" t="str">
        <f t="shared" si="20"/>
        <v/>
      </c>
      <c r="AE28" s="57" t="str">
        <f t="shared" si="21"/>
        <v/>
      </c>
      <c r="AG28" s="57"/>
      <c r="AH28" s="57"/>
      <c r="AJ28" s="188"/>
      <c r="AK28" s="8" t="e">
        <f t="shared" si="0"/>
        <v>#N/A</v>
      </c>
      <c r="AL28" s="8" t="e">
        <f t="shared" si="1"/>
        <v>#N/A</v>
      </c>
      <c r="AM28" s="8" t="e">
        <f t="shared" si="2"/>
        <v>#N/A</v>
      </c>
      <c r="AN28" s="159" t="e">
        <f t="shared" si="3"/>
        <v>#N/A</v>
      </c>
      <c r="AO28" s="119"/>
      <c r="AP28" s="157"/>
    </row>
    <row r="29" spans="2:43" ht="15.75" hidden="1" customHeight="1" outlineLevel="1">
      <c r="B29" s="98" t="s">
        <v>246</v>
      </c>
      <c r="C29" s="98"/>
      <c r="D29" s="79"/>
      <c r="E29" s="79">
        <f t="shared" ref="E29:Y29" si="26">+$V$15*E24</f>
        <v>0</v>
      </c>
      <c r="F29" s="79">
        <f t="shared" si="26"/>
        <v>0</v>
      </c>
      <c r="G29" s="79">
        <f t="shared" si="26"/>
        <v>0</v>
      </c>
      <c r="H29" s="79">
        <f t="shared" si="26"/>
        <v>0</v>
      </c>
      <c r="I29" s="79">
        <f t="shared" si="26"/>
        <v>0</v>
      </c>
      <c r="J29" s="79">
        <f t="shared" si="26"/>
        <v>0</v>
      </c>
      <c r="K29" s="79">
        <f t="shared" si="26"/>
        <v>0</v>
      </c>
      <c r="L29" s="79">
        <f t="shared" si="26"/>
        <v>0</v>
      </c>
      <c r="M29" s="79">
        <f t="shared" si="26"/>
        <v>0</v>
      </c>
      <c r="N29" s="79">
        <f t="shared" si="26"/>
        <v>0</v>
      </c>
      <c r="O29" s="79">
        <f t="shared" si="26"/>
        <v>0</v>
      </c>
      <c r="P29" s="79">
        <f t="shared" si="26"/>
        <v>0</v>
      </c>
      <c r="Q29" s="79">
        <f t="shared" si="26"/>
        <v>0</v>
      </c>
      <c r="R29" s="79">
        <f t="shared" si="26"/>
        <v>0</v>
      </c>
      <c r="S29" s="79">
        <f t="shared" si="26"/>
        <v>0</v>
      </c>
      <c r="T29" s="79">
        <f t="shared" si="26"/>
        <v>0</v>
      </c>
      <c r="U29" s="79">
        <f t="shared" si="26"/>
        <v>0</v>
      </c>
      <c r="V29" s="79">
        <f t="shared" si="26"/>
        <v>0</v>
      </c>
      <c r="W29" s="79">
        <f t="shared" si="26"/>
        <v>0</v>
      </c>
      <c r="X29" s="79">
        <f t="shared" si="26"/>
        <v>0</v>
      </c>
      <c r="Y29" s="79">
        <f t="shared" si="26"/>
        <v>0</v>
      </c>
      <c r="AA29" s="57" t="str">
        <f t="shared" si="17"/>
        <v/>
      </c>
      <c r="AB29" s="57" t="str">
        <f t="shared" si="18"/>
        <v/>
      </c>
      <c r="AC29" s="57" t="str">
        <f t="shared" si="19"/>
        <v/>
      </c>
      <c r="AD29" s="57" t="str">
        <f t="shared" si="20"/>
        <v/>
      </c>
      <c r="AE29" s="57" t="str">
        <f t="shared" si="21"/>
        <v/>
      </c>
      <c r="AG29" s="57"/>
      <c r="AH29" s="57"/>
      <c r="AK29" s="52" t="e">
        <f t="shared" si="0"/>
        <v>#N/A</v>
      </c>
      <c r="AL29" s="8" t="e">
        <f t="shared" si="1"/>
        <v>#N/A</v>
      </c>
      <c r="AM29" s="52" t="e">
        <f t="shared" si="2"/>
        <v>#N/A</v>
      </c>
      <c r="AN29" s="159" t="e">
        <f t="shared" si="3"/>
        <v>#N/A</v>
      </c>
      <c r="AO29" s="52"/>
      <c r="AP29" s="157"/>
      <c r="AQ29" s="160"/>
    </row>
    <row r="30" spans="2:43" ht="15.75" hidden="1" customHeight="1" outlineLevel="1">
      <c r="B30" s="241" t="s">
        <v>247</v>
      </c>
      <c r="C30" s="241"/>
      <c r="D30" s="202">
        <f t="shared" ref="D30:Y30" si="27">D27+D28+D29</f>
        <v>49.5</v>
      </c>
      <c r="E30" s="202">
        <f t="shared" si="27"/>
        <v>51.20999999999998</v>
      </c>
      <c r="F30" s="202">
        <f t="shared" si="27"/>
        <v>52.971299999999928</v>
      </c>
      <c r="G30" s="202">
        <f t="shared" si="27"/>
        <v>54.78543899999994</v>
      </c>
      <c r="H30" s="202">
        <f t="shared" si="27"/>
        <v>56.654002169999899</v>
      </c>
      <c r="I30" s="202">
        <f t="shared" si="27"/>
        <v>58.578622235099886</v>
      </c>
      <c r="J30" s="202">
        <f t="shared" si="27"/>
        <v>60.560980902152892</v>
      </c>
      <c r="K30" s="202">
        <f t="shared" si="27"/>
        <v>62.602810329217448</v>
      </c>
      <c r="L30" s="202">
        <f t="shared" si="27"/>
        <v>64.70589463909397</v>
      </c>
      <c r="M30" s="202">
        <f t="shared" si="27"/>
        <v>66.872071478266832</v>
      </c>
      <c r="N30" s="202">
        <f t="shared" si="27"/>
        <v>69.103233622614823</v>
      </c>
      <c r="O30" s="202">
        <f t="shared" si="27"/>
        <v>71.401330631293263</v>
      </c>
      <c r="P30" s="202">
        <f t="shared" si="27"/>
        <v>73.768370550232078</v>
      </c>
      <c r="Q30" s="202">
        <f t="shared" si="27"/>
        <v>76.206421666739061</v>
      </c>
      <c r="R30" s="202">
        <f t="shared" si="27"/>
        <v>78.717614316741219</v>
      </c>
      <c r="S30" s="202">
        <f t="shared" si="27"/>
        <v>81.304142746243429</v>
      </c>
      <c r="T30" s="202">
        <f t="shared" si="27"/>
        <v>83.968267028630748</v>
      </c>
      <c r="U30" s="202">
        <f t="shared" si="27"/>
        <v>86.712315039489681</v>
      </c>
      <c r="V30" s="202">
        <f t="shared" si="27"/>
        <v>89.53868449067437</v>
      </c>
      <c r="W30" s="202">
        <f t="shared" si="27"/>
        <v>92.449845025394552</v>
      </c>
      <c r="X30" s="202">
        <f t="shared" si="27"/>
        <v>95.448340376156409</v>
      </c>
      <c r="Y30" s="202">
        <f t="shared" si="27"/>
        <v>98.536790587441089</v>
      </c>
      <c r="Z30" s="66"/>
      <c r="AA30" s="203">
        <f t="shared" si="17"/>
        <v>3.4545454545454213E-2</v>
      </c>
      <c r="AB30" s="203">
        <f t="shared" si="18"/>
        <v>3.4184323497836067E-2</v>
      </c>
      <c r="AC30" s="203">
        <f t="shared" si="19"/>
        <v>3.3864770944042499E-2</v>
      </c>
      <c r="AD30" s="203">
        <f t="shared" si="20"/>
        <v>3.358066021267847E-2</v>
      </c>
      <c r="AE30" s="203">
        <f t="shared" si="21"/>
        <v>3.3326987607823488E-2</v>
      </c>
      <c r="AG30" s="57"/>
      <c r="AH30" s="57"/>
      <c r="AK30" s="52" t="e">
        <f t="shared" si="0"/>
        <v>#N/A</v>
      </c>
      <c r="AL30" s="8" t="e">
        <f t="shared" si="1"/>
        <v>#N/A</v>
      </c>
      <c r="AM30" s="52" t="e">
        <f t="shared" si="2"/>
        <v>#N/A</v>
      </c>
      <c r="AN30" s="159" t="e">
        <f t="shared" si="3"/>
        <v>#N/A</v>
      </c>
      <c r="AO30" s="52"/>
      <c r="AP30" s="157"/>
      <c r="AQ30" s="160"/>
    </row>
    <row r="31" spans="2:43" ht="15.75" hidden="1" customHeight="1" outlineLevel="1">
      <c r="B31" s="74" t="s">
        <v>236</v>
      </c>
      <c r="C31" s="74"/>
      <c r="D31" s="151"/>
      <c r="E31" s="152">
        <f t="shared" ref="E31:Y31" si="28">IFERROR(IF(E19&lt;=$D$19+$V$12,$V$13/(1-$V$13*(E19-$D$19-1)),0),0)</f>
        <v>0.1</v>
      </c>
      <c r="F31" s="152">
        <f t="shared" si="28"/>
        <v>0</v>
      </c>
      <c r="G31" s="152">
        <f t="shared" si="28"/>
        <v>0</v>
      </c>
      <c r="H31" s="152">
        <f t="shared" si="28"/>
        <v>0</v>
      </c>
      <c r="I31" s="152">
        <f t="shared" si="28"/>
        <v>0</v>
      </c>
      <c r="J31" s="152">
        <f t="shared" si="28"/>
        <v>0</v>
      </c>
      <c r="K31" s="152">
        <f t="shared" si="28"/>
        <v>0</v>
      </c>
      <c r="L31" s="152">
        <f t="shared" si="28"/>
        <v>0</v>
      </c>
      <c r="M31" s="152">
        <f t="shared" si="28"/>
        <v>0</v>
      </c>
      <c r="N31" s="152">
        <f t="shared" si="28"/>
        <v>0</v>
      </c>
      <c r="O31" s="152">
        <f t="shared" si="28"/>
        <v>0</v>
      </c>
      <c r="P31" s="152">
        <f t="shared" si="28"/>
        <v>0</v>
      </c>
      <c r="Q31" s="152">
        <f t="shared" si="28"/>
        <v>0</v>
      </c>
      <c r="R31" s="152">
        <f t="shared" si="28"/>
        <v>0</v>
      </c>
      <c r="S31" s="152">
        <f t="shared" si="28"/>
        <v>0</v>
      </c>
      <c r="T31" s="152">
        <f t="shared" si="28"/>
        <v>0</v>
      </c>
      <c r="U31" s="152">
        <f t="shared" si="28"/>
        <v>0</v>
      </c>
      <c r="V31" s="152">
        <f t="shared" si="28"/>
        <v>0</v>
      </c>
      <c r="W31" s="152">
        <f t="shared" si="28"/>
        <v>0</v>
      </c>
      <c r="X31" s="152">
        <f t="shared" si="28"/>
        <v>0</v>
      </c>
      <c r="Y31" s="152">
        <f t="shared" si="28"/>
        <v>0</v>
      </c>
      <c r="AG31" s="57"/>
      <c r="AH31" s="57"/>
      <c r="AK31" s="52" t="e">
        <f t="shared" si="0"/>
        <v>#N/A</v>
      </c>
      <c r="AL31" s="8" t="e">
        <f t="shared" si="1"/>
        <v>#N/A</v>
      </c>
      <c r="AM31" s="52" t="e">
        <f t="shared" si="2"/>
        <v>#N/A</v>
      </c>
      <c r="AN31" s="159" t="e">
        <f t="shared" si="3"/>
        <v>#N/A</v>
      </c>
      <c r="AO31" s="52"/>
      <c r="AP31" s="157"/>
      <c r="AQ31" s="160"/>
    </row>
    <row r="32" spans="2:43" ht="15.75" hidden="1" customHeight="1" outlineLevel="1">
      <c r="B32" s="98" t="s">
        <v>183</v>
      </c>
      <c r="C32" s="98"/>
      <c r="D32" s="79">
        <f t="shared" ref="D32:Y32" si="29">-D20*D22/10^6</f>
        <v>0</v>
      </c>
      <c r="E32" s="79">
        <f t="shared" si="29"/>
        <v>-55.070999999999998</v>
      </c>
      <c r="F32" s="79">
        <f t="shared" si="29"/>
        <v>-5.2971299999999939</v>
      </c>
      <c r="G32" s="79">
        <f t="shared" si="29"/>
        <v>-5.4785438999999947</v>
      </c>
      <c r="H32" s="79">
        <f t="shared" si="29"/>
        <v>-5.6654002169999913</v>
      </c>
      <c r="I32" s="79">
        <f t="shared" si="29"/>
        <v>-5.8578622235099891</v>
      </c>
      <c r="J32" s="79">
        <f t="shared" si="29"/>
        <v>-6.056098090215289</v>
      </c>
      <c r="K32" s="79">
        <f t="shared" si="29"/>
        <v>-6.2602810329217453</v>
      </c>
      <c r="L32" s="79">
        <f t="shared" si="29"/>
        <v>-6.4705894639093975</v>
      </c>
      <c r="M32" s="79">
        <f t="shared" si="29"/>
        <v>-6.6872071478266824</v>
      </c>
      <c r="N32" s="79">
        <f t="shared" si="29"/>
        <v>-6.910323362261483</v>
      </c>
      <c r="O32" s="79">
        <f t="shared" si="29"/>
        <v>-7.1401330631293263</v>
      </c>
      <c r="P32" s="79">
        <f t="shared" si="29"/>
        <v>-7.3768370550232083</v>
      </c>
      <c r="Q32" s="79">
        <f t="shared" si="29"/>
        <v>-7.6206421666739077</v>
      </c>
      <c r="R32" s="79">
        <f t="shared" si="29"/>
        <v>-7.8717614316741225</v>
      </c>
      <c r="S32" s="79">
        <f t="shared" si="29"/>
        <v>-8.1304142746243429</v>
      </c>
      <c r="T32" s="79">
        <f t="shared" si="29"/>
        <v>-8.3968267028630752</v>
      </c>
      <c r="U32" s="79">
        <f t="shared" si="29"/>
        <v>-8.6712315039489685</v>
      </c>
      <c r="V32" s="79">
        <f t="shared" si="29"/>
        <v>-8.9538684490674374</v>
      </c>
      <c r="W32" s="79">
        <f t="shared" si="29"/>
        <v>-9.2449845025394559</v>
      </c>
      <c r="X32" s="79">
        <f t="shared" si="29"/>
        <v>-9.544834037615642</v>
      </c>
      <c r="Y32" s="79">
        <f t="shared" si="29"/>
        <v>-9.8536790587441097</v>
      </c>
      <c r="AA32" s="57" t="str">
        <f>IFERROR((E32/D32)-1,"")</f>
        <v/>
      </c>
      <c r="AB32" s="57" t="str">
        <f>IFERROR((J32/D32)^(1/6)-1,"")</f>
        <v/>
      </c>
      <c r="AC32" s="57" t="str">
        <f>IFERROR((O32/D32)^(1/11)-1,"")</f>
        <v/>
      </c>
      <c r="AD32" s="57" t="str">
        <f>IFERROR((T32/D32)^(1/16)-1,"")</f>
        <v/>
      </c>
      <c r="AE32" s="57" t="str">
        <f>IFERROR((Y32/D32)^(1/21)-1,"")</f>
        <v/>
      </c>
      <c r="AG32" s="57">
        <f>D34/D$38</f>
        <v>0</v>
      </c>
      <c r="AH32" s="57">
        <f>Y34/Y$38</f>
        <v>0.62919795330993944</v>
      </c>
      <c r="AK32" s="52" t="e">
        <f t="shared" si="0"/>
        <v>#N/A</v>
      </c>
      <c r="AL32" s="8" t="e">
        <f t="shared" si="1"/>
        <v>#N/A</v>
      </c>
      <c r="AM32" s="52" t="e">
        <f t="shared" si="2"/>
        <v>#N/A</v>
      </c>
      <c r="AN32" s="159" t="e">
        <f t="shared" si="3"/>
        <v>#N/A</v>
      </c>
      <c r="AO32" s="52"/>
      <c r="AP32" s="157"/>
      <c r="AQ32" s="160"/>
    </row>
    <row r="33" spans="2:42" ht="15.75" customHeight="1" collapsed="1">
      <c r="B33" s="197" t="s">
        <v>238</v>
      </c>
      <c r="C33" s="197"/>
      <c r="D33" s="198"/>
      <c r="E33" s="198"/>
      <c r="F33" s="198"/>
      <c r="G33" s="198"/>
      <c r="H33" s="198"/>
      <c r="I33" s="198"/>
      <c r="J33" s="198"/>
      <c r="K33" s="198"/>
      <c r="L33" s="198"/>
      <c r="M33" s="198"/>
      <c r="N33" s="198"/>
      <c r="O33" s="198"/>
      <c r="P33" s="198"/>
      <c r="Q33" s="198"/>
      <c r="R33" s="198"/>
      <c r="S33" s="198"/>
      <c r="T33" s="198"/>
      <c r="U33" s="198"/>
      <c r="V33" s="198"/>
      <c r="W33" s="198"/>
      <c r="X33" s="198"/>
      <c r="Y33" s="198"/>
      <c r="AE33" s="198"/>
      <c r="AJ33" s="54">
        <f>AJ27+1</f>
        <v>2045</v>
      </c>
      <c r="AK33" s="149">
        <f t="shared" si="0"/>
        <v>15.214343446890245</v>
      </c>
      <c r="AL33" s="149">
        <f t="shared" si="1"/>
        <v>-0.15</v>
      </c>
      <c r="AM33" s="149">
        <f t="shared" si="2"/>
        <v>15.064343446890245</v>
      </c>
      <c r="AN33" s="158">
        <f t="shared" si="3"/>
        <v>0.71441371043959367</v>
      </c>
      <c r="AO33" s="57"/>
      <c r="AP33" s="157"/>
    </row>
    <row r="34" spans="2:42" ht="15.75" customHeight="1">
      <c r="B34" s="8" t="s">
        <v>57</v>
      </c>
      <c r="D34" s="109">
        <f t="shared" ref="D34:Y34" si="30">D21*D22/10^6</f>
        <v>0</v>
      </c>
      <c r="E34" s="79">
        <f t="shared" si="30"/>
        <v>55.070999999999998</v>
      </c>
      <c r="F34" s="79">
        <f t="shared" si="30"/>
        <v>86.526854999999998</v>
      </c>
      <c r="G34" s="79">
        <f t="shared" si="30"/>
        <v>130.94248364999999</v>
      </c>
      <c r="H34" s="79">
        <f t="shared" si="30"/>
        <v>192.25843941824996</v>
      </c>
      <c r="I34" s="79">
        <f t="shared" si="30"/>
        <v>275.01967740905991</v>
      </c>
      <c r="J34" s="79">
        <f t="shared" si="30"/>
        <v>384.2081545276726</v>
      </c>
      <c r="K34" s="79">
        <f t="shared" si="30"/>
        <v>524.94128964527965</v>
      </c>
      <c r="L34" s="79">
        <f t="shared" si="30"/>
        <v>702.01779824390485</v>
      </c>
      <c r="M34" s="79">
        <f t="shared" si="30"/>
        <v>919.31034486490273</v>
      </c>
      <c r="N34" s="79">
        <f t="shared" si="30"/>
        <v>1179.0310130650123</v>
      </c>
      <c r="O34" s="79">
        <f t="shared" si="30"/>
        <v>1480.9288993943946</v>
      </c>
      <c r="P34" s="79">
        <f t="shared" si="30"/>
        <v>1821.5147388131563</v>
      </c>
      <c r="Q34" s="79">
        <f t="shared" si="30"/>
        <v>2193.4383287424616</v>
      </c>
      <c r="R34" s="79">
        <f t="shared" si="30"/>
        <v>2639.9977559226281</v>
      </c>
      <c r="S34" s="79">
        <f t="shared" si="30"/>
        <v>3176.1277213817771</v>
      </c>
      <c r="T34" s="79">
        <f t="shared" si="30"/>
        <v>3819.750092360996</v>
      </c>
      <c r="U34" s="79">
        <f t="shared" si="30"/>
        <v>4592.3713423371437</v>
      </c>
      <c r="V34" s="79">
        <f t="shared" si="30"/>
        <v>5519.7994792536401</v>
      </c>
      <c r="W34" s="79">
        <f t="shared" si="30"/>
        <v>6633.0043596069081</v>
      </c>
      <c r="X34" s="79">
        <f t="shared" si="30"/>
        <v>7969.1500655659056</v>
      </c>
      <c r="Y34" s="79">
        <f t="shared" si="30"/>
        <v>9572.8337577378315</v>
      </c>
      <c r="AA34" s="57" t="str">
        <f t="shared" ref="AA34:AA38" si="31">IFERROR((E34/D34)-1,"")</f>
        <v/>
      </c>
      <c r="AB34" s="57" t="str">
        <f t="shared" ref="AB34:AB38" si="32">IFERROR((J34/D34)^(1/6)-1,"")</f>
        <v/>
      </c>
      <c r="AC34" s="57" t="str">
        <f t="shared" ref="AC34:AC38" si="33">IFERROR((O34/D34)^(1/11)-1,"")</f>
        <v/>
      </c>
      <c r="AD34" s="57" t="str">
        <f t="shared" ref="AD34:AD38" si="34">IFERROR((T34/D34)^(1/16)-1,"")</f>
        <v/>
      </c>
      <c r="AE34" s="57" t="str">
        <f t="shared" ref="AE34:AE38" si="35">IFERROR((Y34/D34)^(1/21)-1,"")</f>
        <v/>
      </c>
    </row>
    <row r="35" spans="2:42" ht="15.75" customHeight="1">
      <c r="B35" s="8" t="s">
        <v>49</v>
      </c>
      <c r="D35" s="109">
        <f t="shared" ref="D35:D37" si="36">O5*$D$9+MAX(D$27,0)*O5</f>
        <v>24.975000000000001</v>
      </c>
      <c r="E35" s="79">
        <f>D35*(1+Macro!D69)*(1-E31)+MAX(E$27,0)*$O5*(1-$V$14)</f>
        <v>25.499904545454541</v>
      </c>
      <c r="F35" s="79">
        <f>E35*(1+Macro!E69)*(1-F31)+MAX(F$27,0)*$O5*(1-$V$14)</f>
        <v>28.698106311034163</v>
      </c>
      <c r="G35" s="79">
        <f>F35*(1+Macro!F69)*(1-G31)+MAX(G$27,0)*$O5*(1-$V$14)</f>
        <v>32.08009819636203</v>
      </c>
      <c r="H35" s="79">
        <f>G35*(1+Macro!G69)*(1-H31)+MAX(H$27,0)*$O5*(1-$V$14)</f>
        <v>35.654199735173464</v>
      </c>
      <c r="I35" s="79">
        <f>H35*(1+Macro!H69)*(1-I31)+MAX(I$27,0)*$O5*(1-$V$14)</f>
        <v>39.429069668326065</v>
      </c>
      <c r="J35" s="79">
        <f>I35*(1+Macro!I69)*(1-J31)+MAX(J$27,0)*$O5*(1-$V$14)</f>
        <v>43.413718982604117</v>
      </c>
      <c r="K35" s="79">
        <f>J35*(1+Macro!J69)*(1-K31)+MAX(K$27,0)*$O5*(1-$V$14)</f>
        <v>47.617524432121236</v>
      </c>
      <c r="L35" s="79">
        <f>K35*(1+Macro!K69)*(1-L31)+MAX(L$27,0)*$O5*(1-$V$14)</f>
        <v>52.050242559719713</v>
      </c>
      <c r="M35" s="79">
        <f>L35*(1+Macro!L69)*(1-M31)+MAX(M$27,0)*$O5*(1-$V$14)</f>
        <v>56.722024236380186</v>
      </c>
      <c r="N35" s="79">
        <f>M35*(1+Macro!M69)*(1-N31)+MAX(N$27,0)*$O5*(1-$V$14)</f>
        <v>61.643429737292053</v>
      </c>
      <c r="O35" s="79">
        <f>N35*(1+Macro!N69)*(1-O31)+MAX(O$27,0)*$O5*(1-$V$14)</f>
        <v>66.825444373893845</v>
      </c>
      <c r="P35" s="79">
        <f>O35*(1+Macro!O69)*(1-P31)+MAX(P$27,0)*$O5*(1-$V$14)</f>
        <v>72.279494701874469</v>
      </c>
      <c r="Q35" s="79">
        <f>P35*(1+Macro!P69)*(1-Q31)+MAX(Q$27,0)*$O5*(1-$V$14)</f>
        <v>78.017465325831935</v>
      </c>
      <c r="R35" s="79">
        <f>Q35*(1+Macro!Q69)*(1-R31)+MAX(R$27,0)*$O5*(1-$V$14)</f>
        <v>84.05171632201602</v>
      </c>
      <c r="S35" s="79">
        <f>R35*(1+Macro!R69)*(1-S31)+MAX(S$27,0)*$O5*(1-$V$14)</f>
        <v>90.395101301337036</v>
      </c>
      <c r="T35" s="79">
        <f>S35*(1+Macro!S69)*(1-T31)+MAX(T$27,0)*$O5*(1-$V$14)</f>
        <v>97.060986135604225</v>
      </c>
      <c r="U35" s="79">
        <f>T35*(1+Macro!T69)*(1-U31)+MAX(U$27,0)*$O5*(1-$V$14)</f>
        <v>104.06326837076665</v>
      </c>
      <c r="V35" s="79">
        <f>U35*(1+Macro!U69)*(1-V31)+MAX(V$27,0)*$O5*(1-$V$14)</f>
        <v>111.41639735176582</v>
      </c>
      <c r="W35" s="79">
        <f>V35*(1+Macro!V69)*(1-W31)+MAX(W$27,0)*$O5*(1-$V$14)</f>
        <v>119.13539508447602</v>
      </c>
      <c r="X35" s="79">
        <f>W35*(1+Macro!W69)*(1-X31)+MAX(X$27,0)*$O5*(1-$V$14)</f>
        <v>127.23587786110376</v>
      </c>
      <c r="Y35" s="79">
        <f>X35*(1+Macro!X69)*(1-Y31)+MAX(Y$27,0)*$O5*(1-$V$14)</f>
        <v>135.73407867634535</v>
      </c>
      <c r="AA35" s="57">
        <f t="shared" si="31"/>
        <v>2.1017199017198784E-2</v>
      </c>
      <c r="AB35" s="57">
        <f t="shared" si="32"/>
        <v>9.6529320611224545E-2</v>
      </c>
      <c r="AC35" s="57">
        <f t="shared" si="33"/>
        <v>9.3598361249553674E-2</v>
      </c>
      <c r="AD35" s="57">
        <f t="shared" si="34"/>
        <v>8.8544530927006537E-2</v>
      </c>
      <c r="AE35" s="57">
        <f t="shared" si="35"/>
        <v>8.3948711489208572E-2</v>
      </c>
      <c r="AG35" s="86"/>
      <c r="AH35" s="86"/>
    </row>
    <row r="36" spans="2:42" ht="15.75" customHeight="1">
      <c r="B36" s="8" t="s">
        <v>53</v>
      </c>
      <c r="D36" s="109">
        <f t="shared" si="36"/>
        <v>399.6</v>
      </c>
      <c r="E36" s="79">
        <f>D36*(1+Macro!D71)*(1-E31)+MAX(E$27,0)*$O6*(1-$V$14)</f>
        <v>428.55832871287134</v>
      </c>
      <c r="F36" s="79">
        <f>E36*(1+Macro!E71)*(1-F31)+MAX(F$27,0)*$O6*(1-$V$14)</f>
        <v>504.88603063778066</v>
      </c>
      <c r="G36" s="79">
        <f>F36*(1+Macro!F71)*(1-G31)+MAX(G$27,0)*$O6*(1-$V$14)</f>
        <v>589.32139103203838</v>
      </c>
      <c r="H36" s="79">
        <f>G36*(1+Macro!G71)*(1-H31)+MAX(H$27,0)*$O6*(1-$V$14)</f>
        <v>682.62605991412499</v>
      </c>
      <c r="I36" s="79">
        <f>H36*(1+Macro!H71)*(1-I31)+MAX(I$27,0)*$O6*(1-$V$14)</f>
        <v>785.63073266822005</v>
      </c>
      <c r="J36" s="79">
        <f>I36*(1+Macro!I71)*(1-J31)+MAX(J$27,0)*$O6*(1-$V$14)</f>
        <v>899.24133786840366</v>
      </c>
      <c r="K36" s="79">
        <f>J36*(1+Macro!J71)*(1-K31)+MAX(K$27,0)*$O6*(1-$V$14)</f>
        <v>1024.4457775511396</v>
      </c>
      <c r="L36" s="79">
        <f>K36*(1+Macro!K71)*(1-L31)+MAX(L$27,0)*$O6*(1-$V$14)</f>
        <v>1162.3212691958445</v>
      </c>
      <c r="M36" s="79">
        <f>L36*(1+Macro!L71)*(1-M31)+MAX(M$27,0)*$O6*(1-$V$14)</f>
        <v>1314.0423430637868</v>
      </c>
      <c r="N36" s="79">
        <f>M36*(1+Macro!M71)*(1-N31)+MAX(N$27,0)*$O6*(1-$V$14)</f>
        <v>1480.8895533272585</v>
      </c>
      <c r="O36" s="79">
        <f>N36*(1+Macro!N71)*(1-O31)+MAX(O$27,0)*$O6*(1-$V$14)</f>
        <v>1664.2589666287734</v>
      </c>
      <c r="P36" s="79">
        <f>O36*(1+Macro!O71)*(1-P31)+MAX(P$27,0)*$O6*(1-$V$14)</f>
        <v>1865.6724973819601</v>
      </c>
      <c r="Q36" s="79">
        <f>P36*(1+Macro!P71)*(1-Q31)+MAX(Q$27,0)*$O6*(1-$V$14)</f>
        <v>2086.789165303177</v>
      </c>
      <c r="R36" s="79">
        <f>Q36*(1+Macro!Q71)*(1-R31)+MAX(R$27,0)*$O6*(1-$V$14)</f>
        <v>2329.4173573907219</v>
      </c>
      <c r="S36" s="79">
        <f>R36*(1+Macro!R71)*(1-S31)+MAX(S$27,0)*$O6*(1-$V$14)</f>
        <v>2595.5281838959036</v>
      </c>
      <c r="T36" s="79">
        <f>S36*(1+Macro!S71)*(1-T31)+MAX(T$27,0)*$O6*(1-$V$14)</f>
        <v>2887.2700258106083</v>
      </c>
      <c r="U36" s="79">
        <f>T36*(1+Macro!T71)*(1-U31)+MAX(U$27,0)*$O6*(1-$V$14)</f>
        <v>3206.984380087511</v>
      </c>
      <c r="V36" s="79">
        <f>U36*(1+Macro!U71)*(1-V31)+MAX(V$27,0)*$O6*(1-$V$14)</f>
        <v>3557.2231182751298</v>
      </c>
      <c r="W36" s="79">
        <f>V36*(1+Macro!V71)*(1-W31)+MAX(W$27,0)*$O6*(1-$V$14)</f>
        <v>3940.7672845595148</v>
      </c>
      <c r="X36" s="79">
        <f>W36*(1+Macro!W71)*(1-X31)+MAX(X$27,0)*$O6*(1-$V$14)</f>
        <v>4360.6475704326804</v>
      </c>
      <c r="Y36" s="79">
        <f>X36*(1+Macro!X71)*(1-Y31)+MAX(Y$27,0)*$O6*(1-$V$14)</f>
        <v>4820.1666154367686</v>
      </c>
      <c r="AA36" s="57">
        <f t="shared" si="31"/>
        <v>7.2468290072250641E-2</v>
      </c>
      <c r="AB36" s="57">
        <f t="shared" si="32"/>
        <v>0.14474423196398312</v>
      </c>
      <c r="AC36" s="57">
        <f t="shared" si="33"/>
        <v>0.13848380440861963</v>
      </c>
      <c r="AD36" s="57">
        <f t="shared" si="34"/>
        <v>0.13156334333246966</v>
      </c>
      <c r="AE36" s="57">
        <f t="shared" si="35"/>
        <v>0.1258926385051784</v>
      </c>
    </row>
    <row r="37" spans="2:42" ht="15.75" customHeight="1">
      <c r="B37" s="8" t="s">
        <v>58</v>
      </c>
      <c r="D37" s="109">
        <f t="shared" si="36"/>
        <v>74.924999999999955</v>
      </c>
      <c r="E37" s="79">
        <f>D37*(1+Macro!D75)*(1-E31)+MAX(E$27,0)*$O7*(1-$V$14)</f>
        <v>79.066124999999957</v>
      </c>
      <c r="F37" s="79">
        <f>E37*(1+Macro!E75)*(1-F31)+MAX(F$27,0)*$O7*(1-$V$14)</f>
        <v>91.751879249999945</v>
      </c>
      <c r="G37" s="79">
        <f>F37*(1+Macro!F75)*(1-G31)+MAX(G$27,0)*$O7*(1-$V$14)</f>
        <v>105.57054506249993</v>
      </c>
      <c r="H37" s="79">
        <f>G37*(1+Macro!G75)*(1-H31)+MAX(H$27,0)*$O7*(1-$V$14)</f>
        <v>120.60877350982491</v>
      </c>
      <c r="I37" s="79">
        <f>H37*(1+Macro!H75)*(1-I31)+MAX(I$27,0)*$O7*(1-$V$14)</f>
        <v>136.95950165725114</v>
      </c>
      <c r="J37" s="79">
        <f>I37*(1+Macro!I75)*(1-J31)+MAX(J$27,0)*$O7*(1-$V$14)</f>
        <v>154.72239919504935</v>
      </c>
      <c r="K37" s="79">
        <f>J37*(1+Macro!J75)*(1-K31)+MAX(K$27,0)*$O7*(1-$V$14)</f>
        <v>174.00434653314719</v>
      </c>
      <c r="L37" s="79">
        <f>K37*(1+Macro!K75)*(1-L31)+MAX(L$27,0)*$O7*(1-$V$14)</f>
        <v>194.91994656674518</v>
      </c>
      <c r="M37" s="79">
        <f>L37*(1+Macro!L75)*(1-M31)+MAX(M$27,0)*$O7*(1-$V$14)</f>
        <v>217.59207247598337</v>
      </c>
      <c r="N37" s="79">
        <f>M37*(1+Macro!M75)*(1-N31)+MAX(N$27,0)*$O7*(1-$V$14)</f>
        <v>242.1524540883552</v>
      </c>
      <c r="O37" s="79">
        <f>N37*(1+Macro!N75)*(1-O31)+MAX(O$27,0)*$O7*(1-$V$14)</f>
        <v>268.74230550976466</v>
      </c>
      <c r="P37" s="79">
        <f>O37*(1+Macro!O75)*(1-P31)+MAX(P$27,0)*$O7*(1-$V$14)</f>
        <v>297.51299691972957</v>
      </c>
      <c r="Q37" s="79">
        <f>P37*(1+Macro!P75)*(1-Q31)+MAX(Q$27,0)*$O7*(1-$V$14)</f>
        <v>328.62677362912046</v>
      </c>
      <c r="R37" s="79">
        <f>Q37*(1+Macro!Q75)*(1-R31)+MAX(R$27,0)*$O7*(1-$V$14)</f>
        <v>362.25752571591897</v>
      </c>
      <c r="S37" s="79">
        <f>R37*(1+Macro!R75)*(1-S31)+MAX(S$27,0)*$O7*(1-$V$14)</f>
        <v>398.59161178677618</v>
      </c>
      <c r="T37" s="79">
        <f>S37*(1+Macro!S75)*(1-T31)+MAX(T$27,0)*$O7*(1-$V$14)</f>
        <v>437.82874066071571</v>
      </c>
      <c r="U37" s="79">
        <f>T37*(1+Macro!T75)*(1-U31)+MAX(U$27,0)*$O7*(1-$V$14)</f>
        <v>480.18291503729694</v>
      </c>
      <c r="V37" s="79">
        <f>U37*(1+Macro!U75)*(1-V31)+MAX(V$27,0)*$O7*(1-$V$14)</f>
        <v>525.88344149614875</v>
      </c>
      <c r="W37" s="79">
        <f>V37*(1+Macro!V75)*(1-W31)+MAX(W$27,0)*$O7*(1-$V$14)</f>
        <v>575.17601147930736</v>
      </c>
      <c r="X37" s="79">
        <f>W37*(1+Macro!W75)*(1-X31)+MAX(X$27,0)*$O7*(1-$V$14)</f>
        <v>628.32385823364007</v>
      </c>
      <c r="Y37" s="79">
        <f>X37*(1+Macro!X75)*(1-Y31)+MAX(Y$27,0)*$O7*(1-$V$14)</f>
        <v>685.60899503929943</v>
      </c>
      <c r="AA37" s="57">
        <f t="shared" si="31"/>
        <v>5.5270270270270316E-2</v>
      </c>
      <c r="AB37" s="57">
        <f t="shared" si="32"/>
        <v>0.12846408068356996</v>
      </c>
      <c r="AC37" s="57">
        <f t="shared" si="33"/>
        <v>0.12312505830605458</v>
      </c>
      <c r="AD37" s="57">
        <f t="shared" si="34"/>
        <v>0.11665070563263158</v>
      </c>
      <c r="AE37" s="57">
        <f t="shared" si="35"/>
        <v>0.11117720012058374</v>
      </c>
    </row>
    <row r="38" spans="2:42" ht="15.75" customHeight="1">
      <c r="B38" s="82" t="s">
        <v>239</v>
      </c>
      <c r="C38" s="82"/>
      <c r="D38" s="110">
        <f t="shared" ref="D38:Y38" si="37">SUM(D34:D37)</f>
        <v>499.5</v>
      </c>
      <c r="E38" s="110">
        <f t="shared" si="37"/>
        <v>588.19535825832588</v>
      </c>
      <c r="F38" s="110">
        <f t="shared" si="37"/>
        <v>711.86287119881467</v>
      </c>
      <c r="G38" s="110">
        <f t="shared" si="37"/>
        <v>857.91451794090028</v>
      </c>
      <c r="H38" s="110">
        <f t="shared" si="37"/>
        <v>1031.1474725773733</v>
      </c>
      <c r="I38" s="110">
        <f t="shared" si="37"/>
        <v>1237.0389814028572</v>
      </c>
      <c r="J38" s="110">
        <f t="shared" si="37"/>
        <v>1481.5856105737296</v>
      </c>
      <c r="K38" s="110">
        <f t="shared" si="37"/>
        <v>1771.0089381616876</v>
      </c>
      <c r="L38" s="110">
        <f t="shared" si="37"/>
        <v>2111.3092565662141</v>
      </c>
      <c r="M38" s="110">
        <f t="shared" si="37"/>
        <v>2507.6667846410533</v>
      </c>
      <c r="N38" s="110">
        <f t="shared" si="37"/>
        <v>2963.716450217918</v>
      </c>
      <c r="O38" s="110">
        <f t="shared" si="37"/>
        <v>3480.7556159068267</v>
      </c>
      <c r="P38" s="110">
        <f t="shared" si="37"/>
        <v>4056.9797278167207</v>
      </c>
      <c r="Q38" s="110">
        <f t="shared" si="37"/>
        <v>4686.8717330005902</v>
      </c>
      <c r="R38" s="110">
        <f t="shared" si="37"/>
        <v>5415.7243553512853</v>
      </c>
      <c r="S38" s="110">
        <f t="shared" si="37"/>
        <v>6260.6426183657941</v>
      </c>
      <c r="T38" s="110">
        <f t="shared" si="37"/>
        <v>7241.9098449679241</v>
      </c>
      <c r="U38" s="110">
        <f t="shared" si="37"/>
        <v>8383.6019058327183</v>
      </c>
      <c r="V38" s="110">
        <f t="shared" si="37"/>
        <v>9714.3224363766858</v>
      </c>
      <c r="W38" s="110">
        <f t="shared" si="37"/>
        <v>11268.083050730205</v>
      </c>
      <c r="X38" s="110">
        <f t="shared" si="37"/>
        <v>13085.357372093329</v>
      </c>
      <c r="Y38" s="110">
        <f t="shared" si="37"/>
        <v>15214.343446890245</v>
      </c>
      <c r="AA38" s="203">
        <f t="shared" si="31"/>
        <v>0.17756828480145326</v>
      </c>
      <c r="AB38" s="203">
        <f t="shared" si="32"/>
        <v>0.19866698351881773</v>
      </c>
      <c r="AC38" s="203">
        <f t="shared" si="33"/>
        <v>0.19302326457761154</v>
      </c>
      <c r="AD38" s="203">
        <f t="shared" si="34"/>
        <v>0.18190440514666451</v>
      </c>
      <c r="AE38" s="84">
        <f t="shared" si="35"/>
        <v>0.17666605501267441</v>
      </c>
    </row>
    <row r="39" spans="2:42" ht="3.75" customHeight="1">
      <c r="B39" s="153"/>
      <c r="C39" s="153"/>
      <c r="D39" s="85"/>
      <c r="E39" s="85"/>
      <c r="F39" s="85"/>
      <c r="G39" s="85"/>
      <c r="H39" s="85"/>
      <c r="I39" s="85"/>
      <c r="J39" s="85"/>
      <c r="K39" s="85"/>
      <c r="L39" s="85"/>
      <c r="M39" s="85"/>
      <c r="N39" s="85"/>
      <c r="O39" s="85"/>
      <c r="P39" s="85"/>
      <c r="Q39" s="85"/>
      <c r="R39" s="85"/>
      <c r="S39" s="85"/>
      <c r="T39" s="85"/>
      <c r="U39" s="85"/>
      <c r="V39" s="85"/>
      <c r="W39" s="85"/>
      <c r="X39" s="85"/>
      <c r="Y39" s="85"/>
      <c r="Z39" s="66"/>
      <c r="AA39" s="86"/>
      <c r="AB39" s="86"/>
      <c r="AC39" s="86"/>
      <c r="AD39" s="86"/>
      <c r="AE39" s="86"/>
      <c r="AG39" s="57">
        <f t="shared" ref="AG39:AG40" si="38">D35/D$38</f>
        <v>0.05</v>
      </c>
      <c r="AH39" s="57">
        <f t="shared" ref="AH39:AH40" si="39">Y35/Y$38</f>
        <v>8.9214548856584985E-3</v>
      </c>
      <c r="AL39" s="52"/>
      <c r="AM39" s="52"/>
      <c r="AN39" s="52"/>
      <c r="AO39" s="52"/>
      <c r="AP39" s="52"/>
    </row>
    <row r="40" spans="2:42" ht="15.75" hidden="1" customHeight="1" outlineLevel="1">
      <c r="B40" s="8" t="s">
        <v>240</v>
      </c>
      <c r="D40" s="79">
        <f>D7</f>
        <v>-150</v>
      </c>
      <c r="E40" s="79">
        <f t="shared" ref="E40:Y40" si="40">D42</f>
        <v>-150</v>
      </c>
      <c r="F40" s="79">
        <f t="shared" si="40"/>
        <v>-150</v>
      </c>
      <c r="G40" s="79">
        <f t="shared" si="40"/>
        <v>-150</v>
      </c>
      <c r="H40" s="79">
        <f t="shared" si="40"/>
        <v>-150</v>
      </c>
      <c r="I40" s="79">
        <f t="shared" si="40"/>
        <v>-150</v>
      </c>
      <c r="J40" s="79">
        <f t="shared" si="40"/>
        <v>-150</v>
      </c>
      <c r="K40" s="79">
        <f t="shared" si="40"/>
        <v>-150</v>
      </c>
      <c r="L40" s="79">
        <f t="shared" si="40"/>
        <v>-150</v>
      </c>
      <c r="M40" s="79">
        <f t="shared" si="40"/>
        <v>-150</v>
      </c>
      <c r="N40" s="79">
        <f t="shared" si="40"/>
        <v>-150</v>
      </c>
      <c r="O40" s="79">
        <f t="shared" si="40"/>
        <v>-150</v>
      </c>
      <c r="P40" s="79">
        <f t="shared" si="40"/>
        <v>-150</v>
      </c>
      <c r="Q40" s="79">
        <f t="shared" si="40"/>
        <v>-150</v>
      </c>
      <c r="R40" s="79">
        <f t="shared" si="40"/>
        <v>-150</v>
      </c>
      <c r="S40" s="79">
        <f t="shared" si="40"/>
        <v>-150</v>
      </c>
      <c r="T40" s="79">
        <f t="shared" si="40"/>
        <v>-150</v>
      </c>
      <c r="U40" s="79">
        <f t="shared" si="40"/>
        <v>-150</v>
      </c>
      <c r="V40" s="79">
        <f t="shared" si="40"/>
        <v>-150</v>
      </c>
      <c r="W40" s="79">
        <f t="shared" si="40"/>
        <v>-150</v>
      </c>
      <c r="X40" s="79">
        <f t="shared" si="40"/>
        <v>-150</v>
      </c>
      <c r="Y40" s="79">
        <f t="shared" si="40"/>
        <v>-150</v>
      </c>
      <c r="AA40" s="57">
        <f>IFERROR((E40/D40)-1,"")</f>
        <v>0</v>
      </c>
      <c r="AB40" s="57">
        <f>IFERROR((J40/D40)^(1/6)-1,"")</f>
        <v>0</v>
      </c>
      <c r="AC40" s="57">
        <f>IFERROR((O40/D40)^(1/11)-1,"")</f>
        <v>0</v>
      </c>
      <c r="AD40" s="57">
        <f>IFERROR((T40/D40)^(1/16)-1,"")</f>
        <v>0</v>
      </c>
      <c r="AE40" s="57">
        <f>IFERROR((Y40/D40)^(1/21)-1,"")</f>
        <v>0</v>
      </c>
      <c r="AG40" s="57">
        <f t="shared" si="38"/>
        <v>0.8</v>
      </c>
      <c r="AH40" s="57">
        <f t="shared" si="39"/>
        <v>0.31681726078176531</v>
      </c>
      <c r="AL40" s="57"/>
      <c r="AM40" s="57"/>
      <c r="AN40" s="57"/>
      <c r="AO40" s="57"/>
    </row>
    <row r="41" spans="2:42" ht="15.75" hidden="1" customHeight="1" outlineLevel="1">
      <c r="B41" s="98" t="s">
        <v>177</v>
      </c>
      <c r="C41" s="98"/>
      <c r="D41" s="79">
        <f t="shared" ref="D41:Y41" si="41">-D28-D29</f>
        <v>0</v>
      </c>
      <c r="E41" s="79">
        <f t="shared" si="41"/>
        <v>0</v>
      </c>
      <c r="F41" s="79">
        <f t="shared" si="41"/>
        <v>0</v>
      </c>
      <c r="G41" s="79">
        <f t="shared" si="41"/>
        <v>0</v>
      </c>
      <c r="H41" s="79">
        <f t="shared" si="41"/>
        <v>0</v>
      </c>
      <c r="I41" s="79">
        <f t="shared" si="41"/>
        <v>0</v>
      </c>
      <c r="J41" s="79">
        <f t="shared" si="41"/>
        <v>0</v>
      </c>
      <c r="K41" s="79">
        <f t="shared" si="41"/>
        <v>0</v>
      </c>
      <c r="L41" s="79">
        <f t="shared" si="41"/>
        <v>0</v>
      </c>
      <c r="M41" s="79">
        <f t="shared" si="41"/>
        <v>0</v>
      </c>
      <c r="N41" s="79">
        <f t="shared" si="41"/>
        <v>0</v>
      </c>
      <c r="O41" s="79">
        <f t="shared" si="41"/>
        <v>0</v>
      </c>
      <c r="P41" s="79">
        <f t="shared" si="41"/>
        <v>0</v>
      </c>
      <c r="Q41" s="79">
        <f t="shared" si="41"/>
        <v>0</v>
      </c>
      <c r="R41" s="79">
        <f t="shared" si="41"/>
        <v>0</v>
      </c>
      <c r="S41" s="79">
        <f t="shared" si="41"/>
        <v>0</v>
      </c>
      <c r="T41" s="79">
        <f t="shared" si="41"/>
        <v>0</v>
      </c>
      <c r="U41" s="79">
        <f t="shared" si="41"/>
        <v>0</v>
      </c>
      <c r="V41" s="79">
        <f t="shared" si="41"/>
        <v>0</v>
      </c>
      <c r="W41" s="79">
        <f t="shared" si="41"/>
        <v>0</v>
      </c>
      <c r="X41" s="79">
        <f t="shared" si="41"/>
        <v>0</v>
      </c>
      <c r="Y41" s="79">
        <f t="shared" si="41"/>
        <v>0</v>
      </c>
      <c r="AG41" s="57" t="e">
        <f>#REF!/D$38</f>
        <v>#REF!</v>
      </c>
      <c r="AH41" s="57" t="e">
        <f>#REF!/Y$38</f>
        <v>#REF!</v>
      </c>
      <c r="AL41" s="57"/>
      <c r="AM41" s="57"/>
      <c r="AN41" s="57"/>
      <c r="AO41" s="57"/>
    </row>
    <row r="42" spans="2:42" ht="15.75" customHeight="1" collapsed="1">
      <c r="B42" s="204" t="s">
        <v>221</v>
      </c>
      <c r="C42" s="204"/>
      <c r="D42" s="205">
        <f t="shared" ref="D42:Y42" si="42">SUM(D40:D41)</f>
        <v>-150</v>
      </c>
      <c r="E42" s="205">
        <f t="shared" si="42"/>
        <v>-150</v>
      </c>
      <c r="F42" s="205">
        <f t="shared" si="42"/>
        <v>-150</v>
      </c>
      <c r="G42" s="205">
        <f t="shared" si="42"/>
        <v>-150</v>
      </c>
      <c r="H42" s="205">
        <f t="shared" si="42"/>
        <v>-150</v>
      </c>
      <c r="I42" s="205">
        <f t="shared" si="42"/>
        <v>-150</v>
      </c>
      <c r="J42" s="205">
        <f t="shared" si="42"/>
        <v>-150</v>
      </c>
      <c r="K42" s="205">
        <f t="shared" si="42"/>
        <v>-150</v>
      </c>
      <c r="L42" s="205">
        <f t="shared" si="42"/>
        <v>-150</v>
      </c>
      <c r="M42" s="205">
        <f t="shared" si="42"/>
        <v>-150</v>
      </c>
      <c r="N42" s="205">
        <f t="shared" si="42"/>
        <v>-150</v>
      </c>
      <c r="O42" s="205">
        <f t="shared" si="42"/>
        <v>-150</v>
      </c>
      <c r="P42" s="205">
        <f t="shared" si="42"/>
        <v>-150</v>
      </c>
      <c r="Q42" s="205">
        <f t="shared" si="42"/>
        <v>-150</v>
      </c>
      <c r="R42" s="205">
        <f t="shared" si="42"/>
        <v>-150</v>
      </c>
      <c r="S42" s="205">
        <f t="shared" si="42"/>
        <v>-150</v>
      </c>
      <c r="T42" s="205">
        <f t="shared" si="42"/>
        <v>-150</v>
      </c>
      <c r="U42" s="205">
        <f t="shared" si="42"/>
        <v>-150</v>
      </c>
      <c r="V42" s="205">
        <f t="shared" si="42"/>
        <v>-150</v>
      </c>
      <c r="W42" s="205">
        <f t="shared" si="42"/>
        <v>-150</v>
      </c>
      <c r="X42" s="205">
        <f t="shared" si="42"/>
        <v>-150</v>
      </c>
      <c r="Y42" s="205">
        <f t="shared" si="42"/>
        <v>-150</v>
      </c>
      <c r="Z42" s="66"/>
      <c r="AA42" s="86">
        <f>IFERROR((E42/D42)-1,"")</f>
        <v>0</v>
      </c>
      <c r="AB42" s="86">
        <f>IFERROR((J42/D42)^(1/6)-1,"")</f>
        <v>0</v>
      </c>
      <c r="AC42" s="86">
        <f>IFERROR((O42/D42)^(1/11)-1,"")</f>
        <v>0</v>
      </c>
      <c r="AD42" s="86">
        <f>IFERROR((T42/D42)^(1/16)-1,"")</f>
        <v>0</v>
      </c>
      <c r="AE42" s="206">
        <f>IFERROR((Y42/D42)^(1/21)-1,"")</f>
        <v>0</v>
      </c>
      <c r="AG42" s="57">
        <f t="shared" ref="AG42:AG43" si="43">D37/D$38</f>
        <v>0.14999999999999991</v>
      </c>
      <c r="AH42" s="57">
        <f t="shared" ref="AH42:AH43" si="44">Y37/Y$38</f>
        <v>4.5063331022636759E-2</v>
      </c>
      <c r="AL42" s="57"/>
      <c r="AM42" s="57"/>
      <c r="AN42" s="57"/>
      <c r="AO42" s="57"/>
    </row>
    <row r="43" spans="2:42" ht="15.75" customHeight="1">
      <c r="B43" s="74" t="s">
        <v>155</v>
      </c>
      <c r="C43" s="74"/>
      <c r="D43" s="132" t="str">
        <f t="shared" ref="D43:Y43" si="45">IFERROR(-D42/D34,"NM")</f>
        <v>NM</v>
      </c>
      <c r="E43" s="132">
        <f t="shared" si="45"/>
        <v>2.7237566051097675</v>
      </c>
      <c r="F43" s="132">
        <f t="shared" si="45"/>
        <v>1.7335658391836848</v>
      </c>
      <c r="G43" s="132">
        <f t="shared" si="45"/>
        <v>1.1455411247654306</v>
      </c>
      <c r="H43" s="132">
        <f t="shared" si="45"/>
        <v>0.78019982089671214</v>
      </c>
      <c r="I43" s="132">
        <f t="shared" si="45"/>
        <v>0.54541551867538696</v>
      </c>
      <c r="J43" s="132">
        <f t="shared" si="45"/>
        <v>0.39041336898328699</v>
      </c>
      <c r="K43" s="132">
        <f t="shared" si="45"/>
        <v>0.28574624050121872</v>
      </c>
      <c r="L43" s="132">
        <f t="shared" si="45"/>
        <v>0.21366979637157987</v>
      </c>
      <c r="M43" s="132">
        <f t="shared" si="45"/>
        <v>0.16316579144123877</v>
      </c>
      <c r="N43" s="132">
        <f t="shared" si="45"/>
        <v>0.12722311655743437</v>
      </c>
      <c r="O43" s="132">
        <f t="shared" si="45"/>
        <v>0.10128777962354601</v>
      </c>
      <c r="P43" s="132">
        <f t="shared" si="45"/>
        <v>8.2349045442111246E-2</v>
      </c>
      <c r="Q43" s="132">
        <f t="shared" si="45"/>
        <v>6.8385784106361328E-2</v>
      </c>
      <c r="R43" s="132">
        <f t="shared" si="45"/>
        <v>5.6818230115342615E-2</v>
      </c>
      <c r="S43" s="132">
        <f t="shared" si="45"/>
        <v>4.7227319918590166E-2</v>
      </c>
      <c r="T43" s="132">
        <f t="shared" si="45"/>
        <v>3.9269584756337989E-2</v>
      </c>
      <c r="U43" s="132">
        <f t="shared" si="45"/>
        <v>3.2662863871034911E-2</v>
      </c>
      <c r="V43" s="132">
        <f t="shared" si="45"/>
        <v>2.7174900204940462E-2</v>
      </c>
      <c r="W43" s="132">
        <f t="shared" si="45"/>
        <v>2.2614186855274349E-2</v>
      </c>
      <c r="X43" s="132">
        <f t="shared" si="45"/>
        <v>1.8822584436970092E-2</v>
      </c>
      <c r="Y43" s="132">
        <f t="shared" si="45"/>
        <v>1.5669341367048527E-2</v>
      </c>
      <c r="AA43" s="57"/>
      <c r="AB43" s="57"/>
      <c r="AC43" s="57"/>
      <c r="AD43" s="57"/>
      <c r="AE43" s="57"/>
      <c r="AG43" s="203">
        <f t="shared" si="43"/>
        <v>1</v>
      </c>
      <c r="AH43" s="203">
        <f t="shared" si="44"/>
        <v>1</v>
      </c>
      <c r="AL43" s="57"/>
      <c r="AM43" s="57"/>
      <c r="AN43" s="57"/>
      <c r="AO43" s="57"/>
    </row>
    <row r="44" spans="2:42" ht="3.75" customHeight="1">
      <c r="B44" s="66"/>
      <c r="C44" s="66"/>
      <c r="D44" s="107"/>
      <c r="E44" s="85"/>
      <c r="F44" s="85"/>
      <c r="G44" s="85"/>
      <c r="H44" s="85"/>
      <c r="I44" s="85"/>
      <c r="J44" s="85"/>
      <c r="K44" s="85"/>
      <c r="L44" s="85"/>
      <c r="M44" s="85"/>
      <c r="N44" s="85"/>
      <c r="O44" s="85"/>
      <c r="P44" s="85"/>
      <c r="Q44" s="85"/>
      <c r="R44" s="85"/>
      <c r="S44" s="85"/>
      <c r="T44" s="85"/>
      <c r="U44" s="85"/>
      <c r="V44" s="85"/>
      <c r="W44" s="85"/>
      <c r="X44" s="85"/>
      <c r="Y44" s="85"/>
      <c r="AA44" s="57"/>
      <c r="AB44" s="57"/>
      <c r="AC44" s="57"/>
      <c r="AD44" s="57"/>
      <c r="AE44" s="57"/>
    </row>
    <row r="45" spans="2:42" ht="15.75" customHeight="1">
      <c r="B45" s="82" t="s">
        <v>241</v>
      </c>
      <c r="C45" s="82"/>
      <c r="D45" s="110">
        <f t="shared" ref="D45:Y45" si="46">D38+D42</f>
        <v>349.5</v>
      </c>
      <c r="E45" s="110">
        <f t="shared" si="46"/>
        <v>438.19535825832588</v>
      </c>
      <c r="F45" s="110">
        <f t="shared" si="46"/>
        <v>561.86287119881467</v>
      </c>
      <c r="G45" s="110">
        <f t="shared" si="46"/>
        <v>707.91451794090028</v>
      </c>
      <c r="H45" s="110">
        <f t="shared" si="46"/>
        <v>881.14747257737326</v>
      </c>
      <c r="I45" s="110">
        <f t="shared" si="46"/>
        <v>1087.0389814028572</v>
      </c>
      <c r="J45" s="110">
        <f t="shared" si="46"/>
        <v>1331.5856105737296</v>
      </c>
      <c r="K45" s="110">
        <f t="shared" si="46"/>
        <v>1621.0089381616876</v>
      </c>
      <c r="L45" s="110">
        <f t="shared" si="46"/>
        <v>1961.3092565662141</v>
      </c>
      <c r="M45" s="110">
        <f t="shared" si="46"/>
        <v>2357.6667846410533</v>
      </c>
      <c r="N45" s="110">
        <f t="shared" si="46"/>
        <v>2813.716450217918</v>
      </c>
      <c r="O45" s="110">
        <f t="shared" si="46"/>
        <v>3330.7556159068267</v>
      </c>
      <c r="P45" s="110">
        <f t="shared" si="46"/>
        <v>3906.9797278167207</v>
      </c>
      <c r="Q45" s="110">
        <f t="shared" si="46"/>
        <v>4536.8717330005902</v>
      </c>
      <c r="R45" s="110">
        <f t="shared" si="46"/>
        <v>5265.7243553512853</v>
      </c>
      <c r="S45" s="110">
        <f t="shared" si="46"/>
        <v>6110.6426183657941</v>
      </c>
      <c r="T45" s="110">
        <f t="shared" si="46"/>
        <v>7091.9098449679241</v>
      </c>
      <c r="U45" s="110">
        <f t="shared" si="46"/>
        <v>8233.6019058327183</v>
      </c>
      <c r="V45" s="110">
        <f t="shared" si="46"/>
        <v>9564.3224363766858</v>
      </c>
      <c r="W45" s="110">
        <f t="shared" si="46"/>
        <v>11118.083050730205</v>
      </c>
      <c r="X45" s="110">
        <f t="shared" si="46"/>
        <v>12935.357372093329</v>
      </c>
      <c r="Y45" s="110">
        <f t="shared" si="46"/>
        <v>15064.343446890245</v>
      </c>
      <c r="AA45" s="203">
        <f>IFERROR((E45/D45)-1,"")</f>
        <v>0.25377784909392243</v>
      </c>
      <c r="AB45" s="203">
        <f>IFERROR((J45/D45)^(1/6)-1,"")</f>
        <v>0.24974186623307482</v>
      </c>
      <c r="AC45" s="203">
        <f>IFERROR((O45/D45)^(1/11)-1,"")</f>
        <v>0.22746379148147944</v>
      </c>
      <c r="AD45" s="203">
        <f>IFERROR((T45/D45)^(1/16)-1,"")</f>
        <v>0.20699994865555316</v>
      </c>
      <c r="AE45" s="84">
        <f>IFERROR((Y45/D45)^(1/21)-1,"")</f>
        <v>0.19628175049707308</v>
      </c>
    </row>
    <row r="46" spans="2:42" ht="15.75" customHeight="1"/>
    <row r="47" spans="2:42" ht="15.75" customHeight="1">
      <c r="B47" s="272" t="s">
        <v>128</v>
      </c>
      <c r="C47" s="268"/>
      <c r="D47" s="268"/>
      <c r="E47" s="268"/>
      <c r="F47" s="268"/>
      <c r="G47" s="268"/>
      <c r="H47" s="268"/>
      <c r="I47" s="268"/>
      <c r="J47" s="268"/>
      <c r="K47" s="268"/>
      <c r="L47" s="268"/>
      <c r="M47" s="268"/>
      <c r="N47" s="268"/>
      <c r="O47" s="268"/>
      <c r="P47" s="268"/>
      <c r="Q47" s="268"/>
      <c r="R47" s="268"/>
      <c r="S47" s="268"/>
      <c r="T47" s="268"/>
      <c r="U47" s="268"/>
      <c r="V47" s="268"/>
      <c r="W47" s="268"/>
      <c r="X47" s="268"/>
      <c r="Y47" s="268"/>
      <c r="Z47" s="268"/>
      <c r="AA47" s="268"/>
      <c r="AB47" s="268"/>
      <c r="AC47" s="268"/>
      <c r="AD47" s="268"/>
      <c r="AE47" s="268"/>
      <c r="AF47" s="268"/>
      <c r="AG47" s="268"/>
      <c r="AH47" s="268"/>
      <c r="AI47" s="268"/>
      <c r="AJ47" s="268"/>
      <c r="AK47" s="268"/>
      <c r="AL47" s="268"/>
      <c r="AM47" s="268"/>
      <c r="AN47" s="268"/>
    </row>
    <row r="48" spans="2:4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spans="2:40" ht="15.75" customHeight="1"/>
    <row r="66" spans="2:40" ht="15.75" customHeight="1"/>
    <row r="67" spans="2:40" ht="15.75" customHeight="1"/>
    <row r="68" spans="2:40" ht="15.75" customHeight="1"/>
    <row r="69" spans="2:40" ht="15.75" customHeight="1"/>
    <row r="70" spans="2:40" ht="15.75" customHeight="1"/>
    <row r="71" spans="2:40" ht="15.75" customHeight="1"/>
    <row r="72" spans="2:40" ht="15.75" customHeight="1"/>
    <row r="73" spans="2:40" ht="15.75" customHeight="1"/>
    <row r="74" spans="2:40" ht="15.75" customHeight="1"/>
    <row r="75" spans="2:40" ht="15.75" customHeight="1"/>
    <row r="76" spans="2:40" ht="15.75" customHeight="1"/>
    <row r="77" spans="2:40" ht="15.75" customHeight="1">
      <c r="B77" s="272" t="s">
        <v>129</v>
      </c>
      <c r="C77" s="268"/>
      <c r="D77" s="268"/>
      <c r="E77" s="268"/>
      <c r="F77" s="268"/>
      <c r="G77" s="268"/>
      <c r="H77" s="268"/>
      <c r="I77" s="268"/>
      <c r="J77" s="268"/>
      <c r="K77" s="268"/>
      <c r="L77" s="268"/>
      <c r="M77" s="268"/>
      <c r="N77" s="268"/>
      <c r="O77" s="268"/>
      <c r="P77" s="268"/>
      <c r="Q77" s="268"/>
      <c r="R77" s="268"/>
      <c r="S77" s="268"/>
      <c r="T77" s="268"/>
      <c r="U77" s="268"/>
      <c r="V77" s="268"/>
      <c r="W77" s="268"/>
      <c r="X77" s="268"/>
      <c r="Y77" s="268"/>
      <c r="Z77" s="268"/>
      <c r="AA77" s="268"/>
      <c r="AB77" s="268"/>
      <c r="AC77" s="268"/>
      <c r="AD77" s="268"/>
      <c r="AE77" s="268"/>
      <c r="AF77" s="268"/>
      <c r="AG77" s="268"/>
      <c r="AH77" s="268"/>
      <c r="AI77" s="268"/>
      <c r="AJ77" s="268"/>
      <c r="AK77" s="268"/>
      <c r="AL77" s="268"/>
      <c r="AM77" s="268"/>
      <c r="AN77" s="268"/>
    </row>
    <row r="78" spans="2:40" ht="15.75" customHeight="1">
      <c r="C78" s="79">
        <f>$Y$45/10^3</f>
        <v>15.064343446890245</v>
      </c>
      <c r="D78" s="112">
        <f>$AE$45</f>
        <v>0.19628175049707308</v>
      </c>
      <c r="E78" s="161">
        <f>$Y$21/10^6</f>
        <v>0.71441371043959367</v>
      </c>
    </row>
    <row r="79" spans="2:40" ht="15.75" customHeight="1">
      <c r="B79" s="8" t="s">
        <v>3</v>
      </c>
      <c r="C79" s="79">
        <v>6.1183440990582332</v>
      </c>
      <c r="D79" s="112">
        <v>0.14603892215136183</v>
      </c>
      <c r="E79" s="161">
        <v>0</v>
      </c>
    </row>
    <row r="80" spans="2:40" ht="15.75" customHeight="1">
      <c r="B80" s="8" t="s">
        <v>4</v>
      </c>
      <c r="C80" s="79">
        <v>15.064343446890245</v>
      </c>
      <c r="D80" s="112">
        <v>0.19628175049707308</v>
      </c>
      <c r="E80" s="161">
        <v>0.71441371043959367</v>
      </c>
    </row>
    <row r="81" spans="2:5" ht="15.75" customHeight="1">
      <c r="B81" s="8" t="s">
        <v>5</v>
      </c>
      <c r="C81" s="79">
        <v>26.688425226292914</v>
      </c>
      <c r="D81" s="112">
        <v>0.22930812166554393</v>
      </c>
      <c r="E81" s="161">
        <v>1.6541630755592986</v>
      </c>
    </row>
    <row r="82" spans="2:5" ht="15.75" customHeight="1">
      <c r="B82" s="8" t="s">
        <v>6</v>
      </c>
      <c r="C82" s="79">
        <v>41.114688640829357</v>
      </c>
      <c r="D82" s="112">
        <v>0.25486674630773321</v>
      </c>
      <c r="E82" s="161">
        <v>2.8546667491957622</v>
      </c>
    </row>
    <row r="83" spans="2:5" ht="15.75" customHeight="1">
      <c r="B83" s="8" t="s">
        <v>7</v>
      </c>
      <c r="C83" s="79">
        <v>57.734675468702939</v>
      </c>
      <c r="D83" s="112">
        <v>0.27531817774451528</v>
      </c>
      <c r="E83" s="161">
        <v>4.2109715090789113</v>
      </c>
    </row>
    <row r="84" spans="2:5" ht="15.75" customHeight="1"/>
    <row r="85" spans="2:5" ht="15.75" customHeight="1"/>
    <row r="86" spans="2:5" ht="15.75" customHeight="1"/>
    <row r="87" spans="2:5" ht="15.75" customHeight="1"/>
    <row r="88" spans="2:5" ht="15.75" customHeight="1"/>
    <row r="89" spans="2:5" ht="15.75" customHeight="1"/>
    <row r="90" spans="2:5" ht="15.75" customHeight="1"/>
    <row r="91" spans="2:5" ht="15.75" customHeight="1"/>
    <row r="92" spans="2:5" ht="15.75" customHeight="1"/>
    <row r="93" spans="2:5" ht="15.75" customHeight="1"/>
    <row r="94" spans="2:5" ht="15.75" customHeight="1"/>
    <row r="95" spans="2:5" ht="15.75" customHeight="1"/>
    <row r="96" spans="2: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47:AN47"/>
    <mergeCell ref="B77:AN77"/>
    <mergeCell ref="B3:AE3"/>
    <mergeCell ref="AJ3:AN3"/>
    <mergeCell ref="B17:AE17"/>
    <mergeCell ref="D18:Y18"/>
    <mergeCell ref="AA18:AE18"/>
    <mergeCell ref="AG18:AH18"/>
  </mergeCells>
  <conditionalFormatting sqref="D10:E10 J10 O10 T10">
    <cfRule type="expression" dxfId="1" priority="1">
      <formula>D10=$T$1</formula>
    </cfRule>
  </conditionalFormatting>
  <hyperlinks>
    <hyperlink ref="AJ1" location="SelectedCase" display="Base" xr:uid="{00000000-0004-0000-0700-000000000000}"/>
  </hyperlinks>
  <pageMargins left="0.7" right="0.7" top="0.75" bottom="0.75" header="0" footer="0"/>
  <pageSetup orientation="portrait"/>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Cover!$A$5:$E$5</xm:f>
          </x14:formula1>
          <xm:sqref>T1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AE2D5"/>
    <pageSetUpPr fitToPage="1"/>
  </sheetPr>
  <dimension ref="B1:BH1000"/>
  <sheetViews>
    <sheetView showGridLines="0" workbookViewId="0">
      <pane ySplit="1" topLeftCell="A2" activePane="bottomLeft" state="frozen"/>
      <selection pane="bottomLeft" activeCell="B3" sqref="B3"/>
    </sheetView>
  </sheetViews>
  <sheetFormatPr defaultColWidth="12.5703125" defaultRowHeight="15" customHeight="1" outlineLevelRow="1" outlineLevelCol="1"/>
  <cols>
    <col min="1" max="1" width="0.85546875" customWidth="1"/>
    <col min="2" max="5" width="12.42578125" customWidth="1"/>
    <col min="6" max="9" width="14.42578125" hidden="1" customWidth="1" outlineLevel="1"/>
    <col min="10" max="10" width="12.42578125" customWidth="1"/>
    <col min="11" max="14" width="14.42578125" hidden="1" customWidth="1" outlineLevel="1"/>
    <col min="15" max="15" width="12.42578125" customWidth="1"/>
    <col min="16" max="19" width="14.42578125" hidden="1" customWidth="1" outlineLevel="1"/>
    <col min="20" max="20" width="12.42578125" customWidth="1"/>
    <col min="21" max="24" width="14.42578125" hidden="1" customWidth="1" outlineLevel="1"/>
    <col min="25" max="25" width="12.42578125" customWidth="1"/>
    <col min="26" max="26" width="1.5703125" customWidth="1"/>
    <col min="27" max="30" width="8.85546875" hidden="1" customWidth="1" outlineLevel="1"/>
    <col min="31" max="31" width="11.5703125" customWidth="1"/>
    <col min="32" max="32" width="1.5703125" customWidth="1"/>
    <col min="33" max="35" width="8.85546875" hidden="1" customWidth="1" outlineLevel="1"/>
    <col min="36" max="42" width="11.85546875" customWidth="1"/>
    <col min="43" max="60" width="8.85546875" customWidth="1"/>
  </cols>
  <sheetData>
    <row r="1" spans="2:40">
      <c r="B1" s="9" t="s">
        <v>26</v>
      </c>
      <c r="C1" s="9"/>
      <c r="D1" s="11" t="s">
        <v>19</v>
      </c>
      <c r="E1" s="10"/>
      <c r="F1" s="91"/>
      <c r="G1" s="91"/>
      <c r="H1" s="91"/>
      <c r="I1" s="91"/>
      <c r="J1" s="91"/>
      <c r="K1" s="10"/>
      <c r="L1" s="10"/>
      <c r="M1" s="10"/>
      <c r="N1" s="10"/>
      <c r="O1" s="114" t="s">
        <v>98</v>
      </c>
      <c r="P1" s="10"/>
      <c r="Q1" s="10"/>
      <c r="R1" s="10"/>
      <c r="S1" s="10"/>
      <c r="T1" s="93" t="s">
        <v>7</v>
      </c>
      <c r="U1" s="10"/>
      <c r="V1" s="10"/>
      <c r="W1" s="10"/>
      <c r="X1" s="10"/>
      <c r="Y1" s="10"/>
      <c r="Z1" s="10"/>
      <c r="AA1" s="10"/>
      <c r="AB1" s="10"/>
      <c r="AC1" s="10"/>
      <c r="AD1" s="10"/>
      <c r="AE1" s="234" t="s">
        <v>99</v>
      </c>
      <c r="AF1" s="222"/>
      <c r="AG1" s="10"/>
      <c r="AH1" s="10"/>
      <c r="AI1" s="10"/>
      <c r="AJ1" s="223" t="s">
        <v>31</v>
      </c>
      <c r="AK1" s="10"/>
      <c r="AL1" s="10"/>
      <c r="AM1" s="10"/>
      <c r="AN1" s="10"/>
    </row>
    <row r="2" spans="2:40" ht="3.75" customHeight="1"/>
    <row r="3" spans="2:40">
      <c r="B3" s="272" t="s">
        <v>27</v>
      </c>
      <c r="C3" s="268"/>
      <c r="D3" s="268"/>
      <c r="E3" s="268"/>
      <c r="F3" s="268"/>
      <c r="G3" s="268"/>
      <c r="H3" s="268"/>
      <c r="I3" s="268"/>
      <c r="J3" s="268"/>
      <c r="K3" s="268"/>
      <c r="L3" s="268"/>
      <c r="M3" s="268"/>
      <c r="N3" s="268"/>
      <c r="O3" s="268"/>
      <c r="P3" s="268"/>
      <c r="Q3" s="268"/>
      <c r="R3" s="268"/>
      <c r="S3" s="268"/>
      <c r="T3" s="268"/>
      <c r="U3" s="268"/>
      <c r="V3" s="268"/>
      <c r="W3" s="268"/>
      <c r="X3" s="268"/>
      <c r="Y3" s="268"/>
      <c r="Z3" s="268"/>
      <c r="AA3" s="268"/>
      <c r="AB3" s="268"/>
      <c r="AC3" s="268"/>
      <c r="AD3" s="268"/>
      <c r="AE3" s="268"/>
      <c r="AJ3" s="272" t="s">
        <v>101</v>
      </c>
      <c r="AK3" s="268"/>
      <c r="AL3" s="268"/>
      <c r="AM3" s="268"/>
      <c r="AN3" s="268"/>
    </row>
    <row r="4" spans="2:40">
      <c r="B4" s="8" t="s">
        <v>217</v>
      </c>
      <c r="D4" s="162">
        <v>4.9000000000000004</v>
      </c>
      <c r="J4" s="96" t="s">
        <v>248</v>
      </c>
      <c r="Y4" s="96" t="s">
        <v>216</v>
      </c>
      <c r="AJ4" s="185" t="s">
        <v>42</v>
      </c>
      <c r="AK4" s="235" t="s">
        <v>105</v>
      </c>
      <c r="AL4" s="235" t="s">
        <v>106</v>
      </c>
      <c r="AM4" s="235" t="s">
        <v>107</v>
      </c>
      <c r="AN4" s="235" t="s">
        <v>108</v>
      </c>
    </row>
    <row r="5" spans="2:40">
      <c r="B5" s="8" t="s">
        <v>219</v>
      </c>
      <c r="C5" s="8"/>
      <c r="D5" s="162">
        <v>-5.9</v>
      </c>
      <c r="J5" s="8" t="s">
        <v>249</v>
      </c>
      <c r="O5" s="163">
        <v>0</v>
      </c>
      <c r="Y5" s="8" t="s">
        <v>218</v>
      </c>
      <c r="AE5" s="38">
        <v>7.0000000000000007E-2</v>
      </c>
      <c r="AJ5" s="1">
        <v>2024</v>
      </c>
      <c r="AK5" s="150">
        <f t="shared" ref="AK5:AK39" si="0">HLOOKUP($AJ5,$D$16:$Y$51,29)</f>
        <v>0.6</v>
      </c>
      <c r="AL5" s="150">
        <f t="shared" ref="AL5:AL39" si="1">HLOOKUP($AJ5,$D$16:$Y$51,33)</f>
        <v>-36</v>
      </c>
      <c r="AM5" s="150">
        <f t="shared" ref="AM5:AM39" si="2">HLOOKUP($AJ5,$D$16:$Y$51,36)</f>
        <v>-35.4</v>
      </c>
      <c r="AN5" s="156">
        <f t="shared" ref="AN5:AN39" si="3">HLOOKUP($AJ5,$D$16:$Y$51,9)</f>
        <v>0</v>
      </c>
    </row>
    <row r="6" spans="2:40">
      <c r="B6" s="8" t="s">
        <v>221</v>
      </c>
      <c r="C6" s="8"/>
      <c r="D6" s="162">
        <v>-34</v>
      </c>
      <c r="J6" s="8" t="s">
        <v>250</v>
      </c>
      <c r="O6" s="162">
        <v>0.6</v>
      </c>
      <c r="Y6" s="8" t="s">
        <v>220</v>
      </c>
      <c r="AE6" s="38">
        <v>0.04</v>
      </c>
      <c r="AJ6" s="54">
        <f t="shared" ref="AJ6:AJ11" si="4">AJ5+1</f>
        <v>2025</v>
      </c>
      <c r="AK6" s="149">
        <f t="shared" si="0"/>
        <v>0.7166646191646191</v>
      </c>
      <c r="AL6" s="149">
        <f t="shared" si="1"/>
        <v>-38.250500000000002</v>
      </c>
      <c r="AM6" s="149">
        <f t="shared" si="2"/>
        <v>-37.533835380835384</v>
      </c>
      <c r="AN6" s="158">
        <f t="shared" si="3"/>
        <v>1</v>
      </c>
    </row>
    <row r="7" spans="2:40">
      <c r="B7" s="8" t="s">
        <v>222</v>
      </c>
      <c r="C7" s="8"/>
      <c r="D7" s="38">
        <v>3.5000000000000003E-2</v>
      </c>
      <c r="AJ7" s="1">
        <f t="shared" si="4"/>
        <v>2026</v>
      </c>
      <c r="AK7" s="150">
        <f t="shared" si="0"/>
        <v>0.926566376042113</v>
      </c>
      <c r="AL7" s="150">
        <f t="shared" si="1"/>
        <v>-40.504510000000003</v>
      </c>
      <c r="AM7" s="150">
        <f t="shared" si="2"/>
        <v>-39.577943623957893</v>
      </c>
      <c r="AN7" s="156">
        <f t="shared" si="3"/>
        <v>2</v>
      </c>
    </row>
    <row r="8" spans="2:40">
      <c r="D8" s="103" t="s">
        <v>3</v>
      </c>
      <c r="E8" s="103" t="s">
        <v>4</v>
      </c>
      <c r="J8" s="103" t="s">
        <v>5</v>
      </c>
      <c r="O8" s="103" t="s">
        <v>6</v>
      </c>
      <c r="T8" s="103" t="s">
        <v>7</v>
      </c>
      <c r="V8" s="8" t="str">
        <f>T1</f>
        <v>Triple Maxi</v>
      </c>
      <c r="AJ8" s="1">
        <f t="shared" si="4"/>
        <v>2027</v>
      </c>
      <c r="AK8" s="150">
        <f t="shared" si="0"/>
        <v>1.2849341979427207</v>
      </c>
      <c r="AL8" s="150">
        <f t="shared" si="1"/>
        <v>-42.764682875000005</v>
      </c>
      <c r="AM8" s="150">
        <f t="shared" si="2"/>
        <v>-41.479748677057287</v>
      </c>
      <c r="AN8" s="156">
        <f t="shared" si="3"/>
        <v>3</v>
      </c>
    </row>
    <row r="9" spans="2:40">
      <c r="B9" s="8" t="s">
        <v>251</v>
      </c>
      <c r="D9" s="95">
        <v>0</v>
      </c>
      <c r="E9" s="95">
        <v>0.5</v>
      </c>
      <c r="F9" s="164"/>
      <c r="G9" s="164"/>
      <c r="H9" s="164"/>
      <c r="I9" s="164"/>
      <c r="J9" s="95">
        <v>1</v>
      </c>
      <c r="K9" s="164"/>
      <c r="L9" s="164"/>
      <c r="M9" s="164"/>
      <c r="N9" s="164"/>
      <c r="O9" s="95">
        <v>2</v>
      </c>
      <c r="P9" s="164"/>
      <c r="Q9" s="164"/>
      <c r="R9" s="164"/>
      <c r="S9" s="164"/>
      <c r="T9" s="95">
        <v>4</v>
      </c>
      <c r="V9" s="165">
        <f t="shared" ref="V9:V12" si="5">INDEX($B$8:$T$13,MATCH(B9,$B$8:$B$13,0),MATCH($V$8,$B$8:$T$8,0))</f>
        <v>4</v>
      </c>
      <c r="AJ9" s="1">
        <f t="shared" si="4"/>
        <v>2028</v>
      </c>
      <c r="AK9" s="150">
        <f t="shared" si="0"/>
        <v>1.8690204491976479</v>
      </c>
      <c r="AL9" s="150">
        <f t="shared" si="1"/>
        <v>-45.037864408750004</v>
      </c>
      <c r="AM9" s="150">
        <f t="shared" si="2"/>
        <v>-43.168843959552355</v>
      </c>
      <c r="AN9" s="156">
        <f t="shared" si="3"/>
        <v>4</v>
      </c>
    </row>
    <row r="10" spans="2:40">
      <c r="B10" s="8" t="s">
        <v>252</v>
      </c>
      <c r="C10" s="8"/>
      <c r="D10" s="146">
        <v>0</v>
      </c>
      <c r="E10" s="146">
        <v>1</v>
      </c>
      <c r="J10" s="146">
        <v>2</v>
      </c>
      <c r="O10" s="146">
        <v>4</v>
      </c>
      <c r="T10" s="146">
        <v>4</v>
      </c>
      <c r="V10" s="147">
        <f t="shared" si="5"/>
        <v>4</v>
      </c>
      <c r="AJ10" s="1">
        <f t="shared" si="4"/>
        <v>2029</v>
      </c>
      <c r="AK10" s="150">
        <f t="shared" si="0"/>
        <v>2.366197576106909</v>
      </c>
      <c r="AL10" s="150">
        <f t="shared" si="1"/>
        <v>-46.91993830678625</v>
      </c>
      <c r="AM10" s="150">
        <f t="shared" si="2"/>
        <v>-44.553740730679344</v>
      </c>
      <c r="AN10" s="156">
        <f t="shared" si="3"/>
        <v>4</v>
      </c>
    </row>
    <row r="11" spans="2:40">
      <c r="B11" s="8" t="s">
        <v>244</v>
      </c>
      <c r="D11" s="38"/>
      <c r="E11" s="38"/>
      <c r="F11" s="38"/>
      <c r="G11" s="38"/>
      <c r="H11" s="38"/>
      <c r="I11" s="38"/>
      <c r="J11" s="38"/>
      <c r="K11" s="38"/>
      <c r="L11" s="38"/>
      <c r="M11" s="38"/>
      <c r="N11" s="38"/>
      <c r="O11" s="38">
        <v>0.5</v>
      </c>
      <c r="P11" s="38"/>
      <c r="Q11" s="38"/>
      <c r="R11" s="38"/>
      <c r="S11" s="38"/>
      <c r="T11" s="38">
        <v>0.75</v>
      </c>
      <c r="V11" s="42">
        <f t="shared" si="5"/>
        <v>0.75</v>
      </c>
      <c r="AJ11" s="54">
        <f t="shared" si="4"/>
        <v>2030</v>
      </c>
      <c r="AK11" s="149">
        <f t="shared" si="0"/>
        <v>3.0126451665868283</v>
      </c>
      <c r="AL11" s="149">
        <f t="shared" si="1"/>
        <v>-48.67393963259007</v>
      </c>
      <c r="AM11" s="149">
        <f t="shared" si="2"/>
        <v>-45.661294466003241</v>
      </c>
      <c r="AN11" s="158">
        <f t="shared" si="3"/>
        <v>4</v>
      </c>
    </row>
    <row r="12" spans="2:40" hidden="1" outlineLevel="1">
      <c r="B12" s="8" t="s">
        <v>253</v>
      </c>
      <c r="C12" s="119"/>
      <c r="D12" s="38"/>
      <c r="E12" s="38"/>
      <c r="F12" s="38"/>
      <c r="G12" s="38"/>
      <c r="H12" s="38"/>
      <c r="I12" s="38"/>
      <c r="J12" s="38"/>
      <c r="K12" s="38"/>
      <c r="L12" s="38"/>
      <c r="M12" s="38"/>
      <c r="N12" s="38"/>
      <c r="O12" s="38"/>
      <c r="P12" s="38"/>
      <c r="Q12" s="38"/>
      <c r="R12" s="38"/>
      <c r="S12" s="38"/>
      <c r="T12" s="38">
        <v>0</v>
      </c>
      <c r="V12" s="42">
        <f t="shared" si="5"/>
        <v>0</v>
      </c>
      <c r="AK12" s="8" t="e">
        <f t="shared" si="0"/>
        <v>#N/A</v>
      </c>
      <c r="AL12" s="8" t="e">
        <f t="shared" si="1"/>
        <v>#N/A</v>
      </c>
      <c r="AM12" s="8" t="e">
        <f t="shared" si="2"/>
        <v>#N/A</v>
      </c>
      <c r="AN12" s="159" t="e">
        <f t="shared" si="3"/>
        <v>#N/A</v>
      </c>
    </row>
    <row r="13" spans="2:40" collapsed="1">
      <c r="AJ13" s="1">
        <f>AJ11+1</f>
        <v>2031</v>
      </c>
      <c r="AK13" s="150">
        <f t="shared" si="0"/>
        <v>3.836614888209418</v>
      </c>
      <c r="AL13" s="150">
        <f t="shared" si="1"/>
        <v>-50.27319578247787</v>
      </c>
      <c r="AM13" s="150">
        <f t="shared" si="2"/>
        <v>-46.436580894268452</v>
      </c>
      <c r="AN13" s="156">
        <f t="shared" si="3"/>
        <v>4</v>
      </c>
    </row>
    <row r="14" spans="2:40">
      <c r="B14" s="272" t="s">
        <v>65</v>
      </c>
      <c r="C14" s="268"/>
      <c r="D14" s="268"/>
      <c r="E14" s="268"/>
      <c r="F14" s="268"/>
      <c r="G14" s="268"/>
      <c r="H14" s="268"/>
      <c r="I14" s="268"/>
      <c r="J14" s="268"/>
      <c r="K14" s="268"/>
      <c r="L14" s="268"/>
      <c r="M14" s="268"/>
      <c r="N14" s="268"/>
      <c r="O14" s="268"/>
      <c r="P14" s="268"/>
      <c r="Q14" s="268"/>
      <c r="R14" s="268"/>
      <c r="S14" s="268"/>
      <c r="T14" s="268"/>
      <c r="U14" s="268"/>
      <c r="V14" s="268"/>
      <c r="W14" s="268"/>
      <c r="X14" s="268"/>
      <c r="Y14" s="268"/>
      <c r="Z14" s="268"/>
      <c r="AA14" s="268"/>
      <c r="AB14" s="268"/>
      <c r="AC14" s="268"/>
      <c r="AD14" s="268"/>
      <c r="AE14" s="268"/>
      <c r="AJ14" s="1">
        <f t="shared" ref="AJ14:AJ16" si="6">AJ13+1</f>
        <v>2032</v>
      </c>
      <c r="AK14" s="150">
        <f t="shared" si="0"/>
        <v>4.8643904809339391</v>
      </c>
      <c r="AL14" s="150">
        <f t="shared" si="1"/>
        <v>-51.688202751079302</v>
      </c>
      <c r="AM14" s="150">
        <f t="shared" si="2"/>
        <v>-46.823812270145361</v>
      </c>
      <c r="AN14" s="156">
        <f t="shared" si="3"/>
        <v>4</v>
      </c>
    </row>
    <row r="15" spans="2:40">
      <c r="B15" s="226"/>
      <c r="C15" s="226"/>
      <c r="D15" s="194"/>
      <c r="E15" s="194"/>
      <c r="F15" s="194"/>
      <c r="G15" s="194"/>
      <c r="H15" s="194"/>
      <c r="I15" s="194"/>
      <c r="J15" s="194"/>
      <c r="K15" s="194"/>
      <c r="L15" s="194"/>
      <c r="M15" s="194"/>
      <c r="N15" s="194"/>
      <c r="O15" s="194"/>
      <c r="P15" s="194"/>
      <c r="Q15" s="194"/>
      <c r="R15" s="194"/>
      <c r="S15" s="194"/>
      <c r="T15" s="194"/>
      <c r="U15" s="194"/>
      <c r="V15" s="194"/>
      <c r="W15" s="194"/>
      <c r="X15" s="194"/>
      <c r="Y15" s="194"/>
      <c r="AA15" s="275" t="s">
        <v>66</v>
      </c>
      <c r="AB15" s="268"/>
      <c r="AC15" s="268"/>
      <c r="AD15" s="268"/>
      <c r="AE15" s="268"/>
      <c r="AG15" s="279" t="s">
        <v>119</v>
      </c>
      <c r="AH15" s="257"/>
      <c r="AJ15" s="1">
        <f t="shared" si="6"/>
        <v>2033</v>
      </c>
      <c r="AK15" s="150">
        <f t="shared" si="0"/>
        <v>6.1168742394868811</v>
      </c>
      <c r="AL15" s="150">
        <f t="shared" si="1"/>
        <v>-52.886379399795075</v>
      </c>
      <c r="AM15" s="150">
        <f t="shared" si="2"/>
        <v>-46.769505160308192</v>
      </c>
      <c r="AN15" s="156">
        <f t="shared" si="3"/>
        <v>4</v>
      </c>
    </row>
    <row r="16" spans="2:40">
      <c r="B16" s="227"/>
      <c r="C16" s="226"/>
      <c r="D16" s="196">
        <f>Macro!C17</f>
        <v>2024</v>
      </c>
      <c r="E16" s="196">
        <f>Macro!D17</f>
        <v>2025</v>
      </c>
      <c r="F16" s="196">
        <f>Macro!E17</f>
        <v>2026</v>
      </c>
      <c r="G16" s="196">
        <f>Macro!F17</f>
        <v>2027</v>
      </c>
      <c r="H16" s="196">
        <f>Macro!G17</f>
        <v>2028</v>
      </c>
      <c r="I16" s="196">
        <f>Macro!H17</f>
        <v>2029</v>
      </c>
      <c r="J16" s="196">
        <f>Macro!I17</f>
        <v>2030</v>
      </c>
      <c r="K16" s="196">
        <f>Macro!J17</f>
        <v>2031</v>
      </c>
      <c r="L16" s="196">
        <f>Macro!K17</f>
        <v>2032</v>
      </c>
      <c r="M16" s="196">
        <f>Macro!L17</f>
        <v>2033</v>
      </c>
      <c r="N16" s="196">
        <f>Macro!M17</f>
        <v>2034</v>
      </c>
      <c r="O16" s="196">
        <f>Macro!N17</f>
        <v>2035</v>
      </c>
      <c r="P16" s="196">
        <f>Macro!O17</f>
        <v>2036</v>
      </c>
      <c r="Q16" s="196">
        <f>Macro!P17</f>
        <v>2037</v>
      </c>
      <c r="R16" s="196">
        <f>Macro!Q17</f>
        <v>2038</v>
      </c>
      <c r="S16" s="196">
        <f>Macro!R17</f>
        <v>2039</v>
      </c>
      <c r="T16" s="196">
        <f>Macro!S17</f>
        <v>2040</v>
      </c>
      <c r="U16" s="196">
        <f>Macro!T17</f>
        <v>2041</v>
      </c>
      <c r="V16" s="196">
        <f>Macro!U17</f>
        <v>2042</v>
      </c>
      <c r="W16" s="196">
        <f>Macro!V17</f>
        <v>2043</v>
      </c>
      <c r="X16" s="196">
        <f>Macro!W17</f>
        <v>2044</v>
      </c>
      <c r="Y16" s="196">
        <f>Macro!X17</f>
        <v>2045</v>
      </c>
      <c r="Z16" s="1"/>
      <c r="AA16" s="196" t="s">
        <v>69</v>
      </c>
      <c r="AB16" s="196" t="s">
        <v>70</v>
      </c>
      <c r="AC16" s="196" t="s">
        <v>71</v>
      </c>
      <c r="AD16" s="196" t="s">
        <v>72</v>
      </c>
      <c r="AE16" s="196" t="s">
        <v>73</v>
      </c>
      <c r="AF16" s="245"/>
      <c r="AG16" s="245">
        <f>D16</f>
        <v>2024</v>
      </c>
      <c r="AH16" s="245">
        <f>Y16</f>
        <v>2045</v>
      </c>
      <c r="AJ16" s="1">
        <f t="shared" si="6"/>
        <v>2034</v>
      </c>
      <c r="AK16" s="150">
        <f t="shared" si="0"/>
        <v>7.6054808523769184</v>
      </c>
      <c r="AL16" s="150">
        <f t="shared" si="1"/>
        <v>-53.831802309087259</v>
      </c>
      <c r="AM16" s="150">
        <f t="shared" si="2"/>
        <v>-46.226321456710338</v>
      </c>
      <c r="AN16" s="156">
        <f t="shared" si="3"/>
        <v>4</v>
      </c>
    </row>
    <row r="17" spans="2:60" hidden="1" outlineLevel="1">
      <c r="B17" s="8" t="s">
        <v>254</v>
      </c>
      <c r="D17" s="166">
        <f>O5</f>
        <v>0</v>
      </c>
      <c r="E17" s="166">
        <f t="shared" ref="E17:Y17" si="7">D24</f>
        <v>0</v>
      </c>
      <c r="F17" s="166">
        <f t="shared" si="7"/>
        <v>1</v>
      </c>
      <c r="G17" s="166">
        <f t="shared" si="7"/>
        <v>2</v>
      </c>
      <c r="H17" s="166">
        <f t="shared" si="7"/>
        <v>3</v>
      </c>
      <c r="I17" s="166">
        <f t="shared" si="7"/>
        <v>4</v>
      </c>
      <c r="J17" s="166">
        <f t="shared" si="7"/>
        <v>4</v>
      </c>
      <c r="K17" s="166">
        <f t="shared" si="7"/>
        <v>4</v>
      </c>
      <c r="L17" s="166">
        <f t="shared" si="7"/>
        <v>4</v>
      </c>
      <c r="M17" s="166">
        <f t="shared" si="7"/>
        <v>4</v>
      </c>
      <c r="N17" s="166">
        <f t="shared" si="7"/>
        <v>4</v>
      </c>
      <c r="O17" s="166">
        <f t="shared" si="7"/>
        <v>4</v>
      </c>
      <c r="P17" s="166">
        <f t="shared" si="7"/>
        <v>4</v>
      </c>
      <c r="Q17" s="166">
        <f t="shared" si="7"/>
        <v>4</v>
      </c>
      <c r="R17" s="166">
        <f t="shared" si="7"/>
        <v>4.015939109838631</v>
      </c>
      <c r="S17" s="166">
        <f t="shared" si="7"/>
        <v>4.1163036328454785</v>
      </c>
      <c r="T17" s="166">
        <f t="shared" si="7"/>
        <v>4.2801872488098116</v>
      </c>
      <c r="U17" s="166">
        <f t="shared" si="7"/>
        <v>4.4905600741187053</v>
      </c>
      <c r="V17" s="166">
        <f t="shared" si="7"/>
        <v>4.7336268949967542</v>
      </c>
      <c r="W17" s="166">
        <f t="shared" si="7"/>
        <v>4.9982856076968396</v>
      </c>
      <c r="X17" s="166">
        <f t="shared" si="7"/>
        <v>5.275670742611406</v>
      </c>
      <c r="Y17" s="166">
        <f t="shared" si="7"/>
        <v>5.5587691846725331</v>
      </c>
      <c r="AG17" s="203">
        <f>D44/D$44</f>
        <v>1</v>
      </c>
      <c r="AH17" s="203">
        <f>Y44/Y$44</f>
        <v>1</v>
      </c>
      <c r="AK17" s="8" t="e">
        <f t="shared" si="0"/>
        <v>#N/A</v>
      </c>
      <c r="AL17" s="8" t="e">
        <f t="shared" si="1"/>
        <v>#N/A</v>
      </c>
      <c r="AM17" s="8" t="e">
        <f t="shared" si="2"/>
        <v>#N/A</v>
      </c>
      <c r="AN17" s="159" t="e">
        <f t="shared" si="3"/>
        <v>#N/A</v>
      </c>
    </row>
    <row r="18" spans="2:60" hidden="1" outlineLevel="1">
      <c r="B18" s="133" t="s">
        <v>255</v>
      </c>
      <c r="C18" s="98"/>
      <c r="D18" s="166"/>
      <c r="E18" s="166">
        <f t="shared" ref="E18:Y18" si="8">+IF(E16&lt;=$D$16+$V$10,$V$9/$V$10,0)</f>
        <v>1</v>
      </c>
      <c r="F18" s="166">
        <f t="shared" si="8"/>
        <v>1</v>
      </c>
      <c r="G18" s="166">
        <f t="shared" si="8"/>
        <v>1</v>
      </c>
      <c r="H18" s="166">
        <f t="shared" si="8"/>
        <v>1</v>
      </c>
      <c r="I18" s="166">
        <f t="shared" si="8"/>
        <v>0</v>
      </c>
      <c r="J18" s="166">
        <f t="shared" si="8"/>
        <v>0</v>
      </c>
      <c r="K18" s="166">
        <f t="shared" si="8"/>
        <v>0</v>
      </c>
      <c r="L18" s="166">
        <f t="shared" si="8"/>
        <v>0</v>
      </c>
      <c r="M18" s="166">
        <f t="shared" si="8"/>
        <v>0</v>
      </c>
      <c r="N18" s="166">
        <f t="shared" si="8"/>
        <v>0</v>
      </c>
      <c r="O18" s="166">
        <f t="shared" si="8"/>
        <v>0</v>
      </c>
      <c r="P18" s="166">
        <f t="shared" si="8"/>
        <v>0</v>
      </c>
      <c r="Q18" s="166">
        <f t="shared" si="8"/>
        <v>0</v>
      </c>
      <c r="R18" s="166">
        <f t="shared" si="8"/>
        <v>0</v>
      </c>
      <c r="S18" s="166">
        <f t="shared" si="8"/>
        <v>0</v>
      </c>
      <c r="T18" s="166">
        <f t="shared" si="8"/>
        <v>0</v>
      </c>
      <c r="U18" s="166">
        <f t="shared" si="8"/>
        <v>0</v>
      </c>
      <c r="V18" s="166">
        <f t="shared" si="8"/>
        <v>0</v>
      </c>
      <c r="W18" s="166">
        <f t="shared" si="8"/>
        <v>0</v>
      </c>
      <c r="X18" s="166">
        <f t="shared" si="8"/>
        <v>0</v>
      </c>
      <c r="Y18" s="166">
        <f t="shared" si="8"/>
        <v>0</v>
      </c>
      <c r="AK18" s="8" t="e">
        <f t="shared" si="0"/>
        <v>#N/A</v>
      </c>
      <c r="AL18" s="8" t="e">
        <f t="shared" si="1"/>
        <v>#N/A</v>
      </c>
      <c r="AM18" s="8" t="e">
        <f t="shared" si="2"/>
        <v>#N/A</v>
      </c>
      <c r="AN18" s="159" t="e">
        <f t="shared" si="3"/>
        <v>#N/A</v>
      </c>
      <c r="AO18" s="57"/>
    </row>
    <row r="19" spans="2:60" hidden="1" outlineLevel="1">
      <c r="B19" s="133" t="s">
        <v>256</v>
      </c>
      <c r="C19" s="98"/>
      <c r="E19" s="166">
        <f t="shared" ref="E19:Y19" si="9">MAX(E33*$V$11,0)/E22*10^3</f>
        <v>0</v>
      </c>
      <c r="F19" s="166">
        <f t="shared" si="9"/>
        <v>0</v>
      </c>
      <c r="G19" s="166">
        <f t="shared" si="9"/>
        <v>0</v>
      </c>
      <c r="H19" s="166">
        <f t="shared" si="9"/>
        <v>0</v>
      </c>
      <c r="I19" s="166">
        <f t="shared" si="9"/>
        <v>0</v>
      </c>
      <c r="J19" s="166">
        <f t="shared" si="9"/>
        <v>0</v>
      </c>
      <c r="K19" s="166">
        <f t="shared" si="9"/>
        <v>0</v>
      </c>
      <c r="L19" s="166">
        <f t="shared" si="9"/>
        <v>0</v>
      </c>
      <c r="M19" s="166">
        <f t="shared" si="9"/>
        <v>0</v>
      </c>
      <c r="N19" s="166">
        <f t="shared" si="9"/>
        <v>0</v>
      </c>
      <c r="O19" s="166">
        <f t="shared" si="9"/>
        <v>0</v>
      </c>
      <c r="P19" s="166">
        <f t="shared" si="9"/>
        <v>0</v>
      </c>
      <c r="Q19" s="166">
        <f t="shared" si="9"/>
        <v>1.5939109838631154E-2</v>
      </c>
      <c r="R19" s="166">
        <f t="shared" si="9"/>
        <v>0.1003645230068473</v>
      </c>
      <c r="S19" s="166">
        <f t="shared" si="9"/>
        <v>0.16388361596433271</v>
      </c>
      <c r="T19" s="166">
        <f t="shared" si="9"/>
        <v>0.21037282530889378</v>
      </c>
      <c r="U19" s="166">
        <f t="shared" si="9"/>
        <v>0.24306682087804857</v>
      </c>
      <c r="V19" s="166">
        <f t="shared" si="9"/>
        <v>0.26465871270008551</v>
      </c>
      <c r="W19" s="166">
        <f t="shared" si="9"/>
        <v>0.27738513491456651</v>
      </c>
      <c r="X19" s="166">
        <f t="shared" si="9"/>
        <v>0.28309844206112678</v>
      </c>
      <c r="Y19" s="166">
        <f t="shared" si="9"/>
        <v>0.28332792687934372</v>
      </c>
      <c r="AK19" s="8" t="e">
        <f t="shared" si="0"/>
        <v>#N/A</v>
      </c>
      <c r="AL19" s="8" t="e">
        <f t="shared" si="1"/>
        <v>#N/A</v>
      </c>
      <c r="AM19" s="8" t="e">
        <f t="shared" si="2"/>
        <v>#N/A</v>
      </c>
      <c r="AN19" s="159" t="e">
        <f t="shared" si="3"/>
        <v>#N/A</v>
      </c>
      <c r="AO19" s="57"/>
      <c r="AQ19" s="79"/>
      <c r="AR19" s="79"/>
      <c r="AS19" s="79"/>
      <c r="AT19" s="79"/>
      <c r="AU19" s="79"/>
      <c r="AV19" s="79"/>
      <c r="AW19" s="79"/>
      <c r="AX19" s="79"/>
      <c r="AY19" s="79"/>
      <c r="AZ19" s="79"/>
      <c r="BA19" s="79"/>
      <c r="BB19" s="79"/>
      <c r="BC19" s="79"/>
      <c r="BD19" s="79"/>
      <c r="BE19" s="79"/>
      <c r="BF19" s="79"/>
      <c r="BG19" s="79"/>
      <c r="BH19" s="79"/>
    </row>
    <row r="20" spans="2:60" hidden="1" outlineLevel="1">
      <c r="B20" s="133" t="s">
        <v>257</v>
      </c>
      <c r="C20" s="98"/>
      <c r="E20" s="166">
        <f t="shared" ref="E20:Y20" si="10">IF(E19&gt;0,0,E28*$V$12/E22*10^3)</f>
        <v>0</v>
      </c>
      <c r="F20" s="166">
        <f t="shared" si="10"/>
        <v>0</v>
      </c>
      <c r="G20" s="166">
        <f t="shared" si="10"/>
        <v>0</v>
      </c>
      <c r="H20" s="166">
        <f t="shared" si="10"/>
        <v>0</v>
      </c>
      <c r="I20" s="166">
        <f t="shared" si="10"/>
        <v>0</v>
      </c>
      <c r="J20" s="166">
        <f t="shared" si="10"/>
        <v>0</v>
      </c>
      <c r="K20" s="166">
        <f t="shared" si="10"/>
        <v>0</v>
      </c>
      <c r="L20" s="166">
        <f t="shared" si="10"/>
        <v>0</v>
      </c>
      <c r="M20" s="166">
        <f t="shared" si="10"/>
        <v>0</v>
      </c>
      <c r="N20" s="166">
        <f t="shared" si="10"/>
        <v>0</v>
      </c>
      <c r="O20" s="166">
        <f t="shared" si="10"/>
        <v>0</v>
      </c>
      <c r="P20" s="166">
        <f t="shared" si="10"/>
        <v>0</v>
      </c>
      <c r="Q20" s="166">
        <f t="shared" si="10"/>
        <v>0</v>
      </c>
      <c r="R20" s="166">
        <f t="shared" si="10"/>
        <v>0</v>
      </c>
      <c r="S20" s="166">
        <f t="shared" si="10"/>
        <v>0</v>
      </c>
      <c r="T20" s="166">
        <f t="shared" si="10"/>
        <v>0</v>
      </c>
      <c r="U20" s="166">
        <f t="shared" si="10"/>
        <v>0</v>
      </c>
      <c r="V20" s="166">
        <f t="shared" si="10"/>
        <v>0</v>
      </c>
      <c r="W20" s="166">
        <f t="shared" si="10"/>
        <v>0</v>
      </c>
      <c r="X20" s="166">
        <f t="shared" si="10"/>
        <v>0</v>
      </c>
      <c r="Y20" s="166">
        <f t="shared" si="10"/>
        <v>0</v>
      </c>
      <c r="AK20" s="8" t="e">
        <f t="shared" si="0"/>
        <v>#N/A</v>
      </c>
      <c r="AL20" s="8" t="e">
        <f t="shared" si="1"/>
        <v>#N/A</v>
      </c>
      <c r="AM20" s="8" t="e">
        <f t="shared" si="2"/>
        <v>#N/A</v>
      </c>
      <c r="AN20" s="159" t="e">
        <f t="shared" si="3"/>
        <v>#N/A</v>
      </c>
      <c r="AO20" s="57"/>
    </row>
    <row r="21" spans="2:60" ht="15.75" customHeight="1" collapsed="1">
      <c r="B21" s="8" t="s">
        <v>258</v>
      </c>
      <c r="D21" s="164"/>
      <c r="E21" s="164">
        <f t="shared" ref="E21:Y21" si="11">E18+E19+E20</f>
        <v>1</v>
      </c>
      <c r="F21" s="164">
        <f t="shared" si="11"/>
        <v>1</v>
      </c>
      <c r="G21" s="164">
        <f t="shared" si="11"/>
        <v>1</v>
      </c>
      <c r="H21" s="164">
        <f t="shared" si="11"/>
        <v>1</v>
      </c>
      <c r="I21" s="164">
        <f t="shared" si="11"/>
        <v>0</v>
      </c>
      <c r="J21" s="164">
        <f t="shared" si="11"/>
        <v>0</v>
      </c>
      <c r="K21" s="164">
        <f t="shared" si="11"/>
        <v>0</v>
      </c>
      <c r="L21" s="164">
        <f t="shared" si="11"/>
        <v>0</v>
      </c>
      <c r="M21" s="164">
        <f t="shared" si="11"/>
        <v>0</v>
      </c>
      <c r="N21" s="164">
        <f t="shared" si="11"/>
        <v>0</v>
      </c>
      <c r="O21" s="164">
        <f t="shared" si="11"/>
        <v>0</v>
      </c>
      <c r="P21" s="164">
        <f t="shared" si="11"/>
        <v>0</v>
      </c>
      <c r="Q21" s="164">
        <f t="shared" si="11"/>
        <v>1.5939109838631154E-2</v>
      </c>
      <c r="R21" s="164">
        <f t="shared" si="11"/>
        <v>0.1003645230068473</v>
      </c>
      <c r="S21" s="164">
        <f t="shared" si="11"/>
        <v>0.16388361596433271</v>
      </c>
      <c r="T21" s="164">
        <f t="shared" si="11"/>
        <v>0.21037282530889378</v>
      </c>
      <c r="U21" s="164">
        <f t="shared" si="11"/>
        <v>0.24306682087804857</v>
      </c>
      <c r="V21" s="164">
        <f t="shared" si="11"/>
        <v>0.26465871270008551</v>
      </c>
      <c r="W21" s="164">
        <f t="shared" si="11"/>
        <v>0.27738513491456651</v>
      </c>
      <c r="X21" s="164">
        <f t="shared" si="11"/>
        <v>0.28309844206112678</v>
      </c>
      <c r="Y21" s="164">
        <f t="shared" si="11"/>
        <v>0.28332792687934372</v>
      </c>
      <c r="AJ21" s="54">
        <f>AJ16+1</f>
        <v>2035</v>
      </c>
      <c r="AK21" s="149">
        <f t="shared" si="0"/>
        <v>9.327677467582193</v>
      </c>
      <c r="AL21" s="149">
        <f t="shared" si="1"/>
        <v>-54.484919755895078</v>
      </c>
      <c r="AM21" s="149">
        <f t="shared" si="2"/>
        <v>-45.157242288312887</v>
      </c>
      <c r="AN21" s="158">
        <f t="shared" si="3"/>
        <v>4</v>
      </c>
      <c r="AO21" s="57"/>
    </row>
    <row r="22" spans="2:60" ht="15.75" customHeight="1">
      <c r="B22" s="8" t="s">
        <v>259</v>
      </c>
      <c r="D22" s="52">
        <f>Macro!C20</f>
        <v>65</v>
      </c>
      <c r="E22" s="52">
        <f>Macro!D20</f>
        <v>97.5</v>
      </c>
      <c r="F22" s="52">
        <f>Macro!E20</f>
        <v>143.8125</v>
      </c>
      <c r="G22" s="52">
        <f>Macro!F20</f>
        <v>208.52812499999999</v>
      </c>
      <c r="H22" s="52">
        <f>Macro!G20</f>
        <v>297.15257812499993</v>
      </c>
      <c r="I22" s="52">
        <f>Macro!H20</f>
        <v>416.01360937499987</v>
      </c>
      <c r="J22" s="52">
        <f>Macro!I20</f>
        <v>572.01871289062478</v>
      </c>
      <c r="K22" s="52">
        <f>Macro!J20</f>
        <v>772.22526240234333</v>
      </c>
      <c r="L22" s="52">
        <f>Macro!K20</f>
        <v>1023.1984726831047</v>
      </c>
      <c r="M22" s="52">
        <f>Macro!L20</f>
        <v>1330.1580144880359</v>
      </c>
      <c r="N22" s="52">
        <f>Macro!M20</f>
        <v>1695.9514684722456</v>
      </c>
      <c r="O22" s="52">
        <f>Macro!N20</f>
        <v>2119.9393355903067</v>
      </c>
      <c r="P22" s="52">
        <f>Macro!O20</f>
        <v>2596.9256860981254</v>
      </c>
      <c r="Q22" s="52">
        <f>Macro!P20</f>
        <v>3116.3108233177504</v>
      </c>
      <c r="R22" s="52">
        <f>Macro!Q20</f>
        <v>3739.5729879813002</v>
      </c>
      <c r="S22" s="52">
        <f>Macro!R20</f>
        <v>4487.4875855775599</v>
      </c>
      <c r="T22" s="52">
        <f>Macro!S20</f>
        <v>5384.9851026930719</v>
      </c>
      <c r="U22" s="52">
        <f>Macro!T20</f>
        <v>6461.9821232316863</v>
      </c>
      <c r="V22" s="52">
        <f>Macro!U20</f>
        <v>7754.3785478780228</v>
      </c>
      <c r="W22" s="52">
        <f>Macro!V20</f>
        <v>9305.2542574536274</v>
      </c>
      <c r="X22" s="52">
        <f>Macro!W20</f>
        <v>11166.305108944352</v>
      </c>
      <c r="Y22" s="52">
        <f>Macro!X20</f>
        <v>13399.566130733223</v>
      </c>
      <c r="AA22" s="57">
        <f>IFERROR((E22/D22)-1,"")</f>
        <v>0.5</v>
      </c>
      <c r="AB22" s="57">
        <f>IFERROR((J22/D22)^(1/6)-1,"")</f>
        <v>0.43686559725988783</v>
      </c>
      <c r="AC22" s="57">
        <f>IFERROR((O22/D22)^(1/11)-1,"")</f>
        <v>0.37272244333469207</v>
      </c>
      <c r="AD22" s="57">
        <f>IFERROR((T22/D22)^(1/16)-1,"")</f>
        <v>0.31792879499327231</v>
      </c>
      <c r="AE22" s="57">
        <f>IFERROR((Y22/D22)^(1/21)-1,"")</f>
        <v>0.28883975252734717</v>
      </c>
      <c r="AJ22" s="1">
        <f>AJ21+1</f>
        <v>2036</v>
      </c>
      <c r="AK22" s="150">
        <f t="shared" si="0"/>
        <v>11.262706313416595</v>
      </c>
      <c r="AL22" s="150">
        <f t="shared" si="1"/>
        <v>-54.802243250992682</v>
      </c>
      <c r="AM22" s="150">
        <f t="shared" si="2"/>
        <v>-43.539536937576088</v>
      </c>
      <c r="AN22" s="156">
        <f t="shared" si="3"/>
        <v>4</v>
      </c>
      <c r="AO22" s="157"/>
      <c r="AP22" s="157"/>
    </row>
    <row r="23" spans="2:60" ht="15.75" hidden="1" customHeight="1" outlineLevel="1">
      <c r="B23" s="8" t="s">
        <v>260</v>
      </c>
      <c r="D23" s="52"/>
      <c r="E23" s="52">
        <f t="shared" ref="E23:Y23" si="12">E21*E22</f>
        <v>97.5</v>
      </c>
      <c r="F23" s="52">
        <f t="shared" si="12"/>
        <v>143.8125</v>
      </c>
      <c r="G23" s="52">
        <f t="shared" si="12"/>
        <v>208.52812499999999</v>
      </c>
      <c r="H23" s="52">
        <f t="shared" si="12"/>
        <v>297.15257812499993</v>
      </c>
      <c r="I23" s="52">
        <f t="shared" si="12"/>
        <v>0</v>
      </c>
      <c r="J23" s="52">
        <f t="shared" si="12"/>
        <v>0</v>
      </c>
      <c r="K23" s="52">
        <f t="shared" si="12"/>
        <v>0</v>
      </c>
      <c r="L23" s="52">
        <f t="shared" si="12"/>
        <v>0</v>
      </c>
      <c r="M23" s="52">
        <f t="shared" si="12"/>
        <v>0</v>
      </c>
      <c r="N23" s="52">
        <f t="shared" si="12"/>
        <v>0</v>
      </c>
      <c r="O23" s="52">
        <f t="shared" si="12"/>
        <v>0</v>
      </c>
      <c r="P23" s="52">
        <f t="shared" si="12"/>
        <v>0</v>
      </c>
      <c r="Q23" s="52">
        <f t="shared" si="12"/>
        <v>49.671220504176709</v>
      </c>
      <c r="R23" s="52">
        <f t="shared" si="12"/>
        <v>375.32045918803391</v>
      </c>
      <c r="S23" s="52">
        <f t="shared" si="12"/>
        <v>735.42569211950342</v>
      </c>
      <c r="T23" s="52">
        <f t="shared" si="12"/>
        <v>1132.854530299845</v>
      </c>
      <c r="U23" s="52">
        <f t="shared" si="12"/>
        <v>1570.6934512647083</v>
      </c>
      <c r="V23" s="52">
        <f t="shared" si="12"/>
        <v>2052.2638442705561</v>
      </c>
      <c r="W23" s="52">
        <f t="shared" si="12"/>
        <v>2581.1392076181187</v>
      </c>
      <c r="X23" s="52">
        <f t="shared" si="12"/>
        <v>3161.1635799213468</v>
      </c>
      <c r="Y23" s="52">
        <f t="shared" si="12"/>
        <v>3796.471292903313</v>
      </c>
      <c r="AA23" s="57"/>
      <c r="AB23" s="57"/>
      <c r="AC23" s="57"/>
      <c r="AD23" s="57"/>
      <c r="AE23" s="57"/>
      <c r="AK23" s="8" t="e">
        <f t="shared" si="0"/>
        <v>#N/A</v>
      </c>
      <c r="AL23" s="8" t="e">
        <f t="shared" si="1"/>
        <v>#N/A</v>
      </c>
      <c r="AM23" s="8" t="e">
        <f t="shared" si="2"/>
        <v>#N/A</v>
      </c>
      <c r="AN23" s="159" t="e">
        <f t="shared" si="3"/>
        <v>#N/A</v>
      </c>
      <c r="AO23" s="157"/>
      <c r="AP23" s="157"/>
    </row>
    <row r="24" spans="2:60" ht="15.75" customHeight="1" collapsed="1">
      <c r="B24" s="204" t="s">
        <v>261</v>
      </c>
      <c r="C24" s="204"/>
      <c r="D24" s="247">
        <f t="shared" ref="D24:Y24" si="13">D17+D21</f>
        <v>0</v>
      </c>
      <c r="E24" s="248">
        <f t="shared" si="13"/>
        <v>1</v>
      </c>
      <c r="F24" s="248">
        <f t="shared" si="13"/>
        <v>2</v>
      </c>
      <c r="G24" s="248">
        <f t="shared" si="13"/>
        <v>3</v>
      </c>
      <c r="H24" s="248">
        <f t="shared" si="13"/>
        <v>4</v>
      </c>
      <c r="I24" s="248">
        <f t="shared" si="13"/>
        <v>4</v>
      </c>
      <c r="J24" s="248">
        <f t="shared" si="13"/>
        <v>4</v>
      </c>
      <c r="K24" s="248">
        <f t="shared" si="13"/>
        <v>4</v>
      </c>
      <c r="L24" s="248">
        <f t="shared" si="13"/>
        <v>4</v>
      </c>
      <c r="M24" s="248">
        <f t="shared" si="13"/>
        <v>4</v>
      </c>
      <c r="N24" s="248">
        <f t="shared" si="13"/>
        <v>4</v>
      </c>
      <c r="O24" s="248">
        <f t="shared" si="13"/>
        <v>4</v>
      </c>
      <c r="P24" s="248">
        <f t="shared" si="13"/>
        <v>4</v>
      </c>
      <c r="Q24" s="248">
        <f t="shared" si="13"/>
        <v>4.015939109838631</v>
      </c>
      <c r="R24" s="248">
        <f t="shared" si="13"/>
        <v>4.1163036328454785</v>
      </c>
      <c r="S24" s="248">
        <f t="shared" si="13"/>
        <v>4.2801872488098116</v>
      </c>
      <c r="T24" s="248">
        <f t="shared" si="13"/>
        <v>4.4905600741187053</v>
      </c>
      <c r="U24" s="248">
        <f t="shared" si="13"/>
        <v>4.7336268949967542</v>
      </c>
      <c r="V24" s="248">
        <f t="shared" si="13"/>
        <v>4.9982856076968396</v>
      </c>
      <c r="W24" s="248">
        <f t="shared" si="13"/>
        <v>5.275670742611406</v>
      </c>
      <c r="X24" s="248">
        <f t="shared" si="13"/>
        <v>5.5587691846725331</v>
      </c>
      <c r="Y24" s="248">
        <f t="shared" si="13"/>
        <v>5.8420971115518769</v>
      </c>
      <c r="AA24" s="57"/>
      <c r="AB24" s="57"/>
      <c r="AC24" s="57"/>
      <c r="AD24" s="57"/>
      <c r="AE24" s="229"/>
      <c r="AJ24" s="1">
        <f>AJ22+1</f>
        <v>2037</v>
      </c>
      <c r="AK24" s="150">
        <f t="shared" si="0"/>
        <v>13.417866599745986</v>
      </c>
      <c r="AL24" s="150">
        <f t="shared" si="1"/>
        <v>-54.785686177491286</v>
      </c>
      <c r="AM24" s="150">
        <f t="shared" si="2"/>
        <v>-41.367819577745301</v>
      </c>
      <c r="AN24" s="156">
        <f t="shared" si="3"/>
        <v>4.015939109838631</v>
      </c>
      <c r="AO24" s="157"/>
      <c r="AP24" s="157"/>
    </row>
    <row r="25" spans="2:60" ht="15.75" customHeight="1">
      <c r="B25" s="8" t="s">
        <v>262</v>
      </c>
      <c r="E25" s="167">
        <f t="shared" ref="E25:Y25" si="14">IFERROR(-SUM($E$32:E32,$E$34:E34,$E$35:E35)/E24*10^3,"NA")</f>
        <v>97.5</v>
      </c>
      <c r="F25" s="167">
        <f t="shared" si="14"/>
        <v>120.65625</v>
      </c>
      <c r="G25" s="167">
        <f t="shared" si="14"/>
        <v>149.94687500000001</v>
      </c>
      <c r="H25" s="167">
        <f t="shared" si="14"/>
        <v>186.74830078124998</v>
      </c>
      <c r="I25" s="167">
        <f t="shared" si="14"/>
        <v>186.74830078124998</v>
      </c>
      <c r="J25" s="167">
        <f t="shared" si="14"/>
        <v>186.74830078124998</v>
      </c>
      <c r="K25" s="167">
        <f t="shared" si="14"/>
        <v>186.74830078124998</v>
      </c>
      <c r="L25" s="167">
        <f t="shared" si="14"/>
        <v>186.74830078124998</v>
      </c>
      <c r="M25" s="167">
        <f t="shared" si="14"/>
        <v>186.74830078124998</v>
      </c>
      <c r="N25" s="167">
        <f t="shared" si="14"/>
        <v>186.74830078124998</v>
      </c>
      <c r="O25" s="167">
        <f t="shared" si="14"/>
        <v>186.74830078124998</v>
      </c>
      <c r="P25" s="167">
        <f t="shared" si="14"/>
        <v>186.74830078124998</v>
      </c>
      <c r="Q25" s="167">
        <f t="shared" si="14"/>
        <v>198.3756231954394</v>
      </c>
      <c r="R25" s="167">
        <f t="shared" si="14"/>
        <v>284.71779230898284</v>
      </c>
      <c r="S25" s="167">
        <f t="shared" si="14"/>
        <v>445.63717988438617</v>
      </c>
      <c r="T25" s="167">
        <f t="shared" si="14"/>
        <v>677.03472508008394</v>
      </c>
      <c r="U25" s="167">
        <f t="shared" si="14"/>
        <v>974.08576104188899</v>
      </c>
      <c r="V25" s="167">
        <f t="shared" si="14"/>
        <v>1333.101571969228</v>
      </c>
      <c r="W25" s="167">
        <f t="shared" si="14"/>
        <v>1752.2628039925921</v>
      </c>
      <c r="X25" s="167">
        <f t="shared" si="14"/>
        <v>2231.7035977168566</v>
      </c>
      <c r="Y25" s="167">
        <f t="shared" si="14"/>
        <v>2773.3185826674412</v>
      </c>
      <c r="AG25" s="86"/>
      <c r="AH25" s="86"/>
      <c r="AJ25" s="1">
        <f>AJ24+1</f>
        <v>2038</v>
      </c>
      <c r="AK25" s="150">
        <f t="shared" si="0"/>
        <v>16.32501118310827</v>
      </c>
      <c r="AL25" s="150">
        <f t="shared" si="1"/>
        <v>-54.660579357761939</v>
      </c>
      <c r="AM25" s="150">
        <f t="shared" si="2"/>
        <v>-38.335568174653673</v>
      </c>
      <c r="AN25" s="156">
        <f t="shared" si="3"/>
        <v>4.1163036328454785</v>
      </c>
      <c r="AO25" s="57"/>
    </row>
    <row r="26" spans="2:60" ht="15.75" hidden="1" customHeight="1" outlineLevel="1">
      <c r="B26" s="8" t="s">
        <v>263</v>
      </c>
      <c r="E26" s="167">
        <f t="shared" ref="E26:Y26" si="15">IFERROR(E24*E25,"NA")</f>
        <v>97.5</v>
      </c>
      <c r="F26" s="167">
        <f t="shared" si="15"/>
        <v>241.3125</v>
      </c>
      <c r="G26" s="167">
        <f t="shared" si="15"/>
        <v>449.84062500000005</v>
      </c>
      <c r="H26" s="167">
        <f t="shared" si="15"/>
        <v>746.99320312499992</v>
      </c>
      <c r="I26" s="167">
        <f t="shared" si="15"/>
        <v>746.99320312499992</v>
      </c>
      <c r="J26" s="167">
        <f t="shared" si="15"/>
        <v>746.99320312499992</v>
      </c>
      <c r="K26" s="167">
        <f t="shared" si="15"/>
        <v>746.99320312499992</v>
      </c>
      <c r="L26" s="167">
        <f t="shared" si="15"/>
        <v>746.99320312499992</v>
      </c>
      <c r="M26" s="167">
        <f t="shared" si="15"/>
        <v>746.99320312499992</v>
      </c>
      <c r="N26" s="167">
        <f t="shared" si="15"/>
        <v>746.99320312499992</v>
      </c>
      <c r="O26" s="167">
        <f t="shared" si="15"/>
        <v>746.99320312499992</v>
      </c>
      <c r="P26" s="167">
        <f t="shared" si="15"/>
        <v>746.99320312499992</v>
      </c>
      <c r="Q26" s="167">
        <f t="shared" si="15"/>
        <v>796.66442362917655</v>
      </c>
      <c r="R26" s="167">
        <f t="shared" si="15"/>
        <v>1171.9848828172105</v>
      </c>
      <c r="S26" s="167">
        <f t="shared" si="15"/>
        <v>1907.4105749367141</v>
      </c>
      <c r="T26" s="167">
        <f t="shared" si="15"/>
        <v>3040.2651052365591</v>
      </c>
      <c r="U26" s="167">
        <f t="shared" si="15"/>
        <v>4610.9585565012676</v>
      </c>
      <c r="V26" s="167">
        <f t="shared" si="15"/>
        <v>6663.2224007718251</v>
      </c>
      <c r="W26" s="167">
        <f t="shared" si="15"/>
        <v>9244.3616083899433</v>
      </c>
      <c r="X26" s="167">
        <f t="shared" si="15"/>
        <v>12405.525188311291</v>
      </c>
      <c r="Y26" s="167">
        <f t="shared" si="15"/>
        <v>16201.996481214603</v>
      </c>
      <c r="AG26" s="86"/>
      <c r="AH26" s="86"/>
      <c r="AK26" s="8" t="e">
        <f t="shared" si="0"/>
        <v>#N/A</v>
      </c>
      <c r="AL26" s="8" t="e">
        <f t="shared" si="1"/>
        <v>#N/A</v>
      </c>
      <c r="AM26" s="8" t="e">
        <f t="shared" si="2"/>
        <v>#N/A</v>
      </c>
      <c r="AN26" s="159" t="e">
        <f t="shared" si="3"/>
        <v>#N/A</v>
      </c>
      <c r="AO26" s="57"/>
    </row>
    <row r="27" spans="2:60" ht="15.75" customHeight="1" collapsed="1">
      <c r="B27" s="197" t="s">
        <v>264</v>
      </c>
      <c r="C27" s="197"/>
      <c r="D27" s="198"/>
      <c r="E27" s="198"/>
      <c r="F27" s="198"/>
      <c r="G27" s="198"/>
      <c r="H27" s="198"/>
      <c r="I27" s="198"/>
      <c r="J27" s="198"/>
      <c r="K27" s="198"/>
      <c r="L27" s="198"/>
      <c r="M27" s="198"/>
      <c r="N27" s="198"/>
      <c r="O27" s="198"/>
      <c r="P27" s="198"/>
      <c r="Q27" s="198"/>
      <c r="R27" s="198"/>
      <c r="S27" s="198"/>
      <c r="T27" s="198"/>
      <c r="U27" s="198"/>
      <c r="V27" s="198"/>
      <c r="W27" s="198"/>
      <c r="X27" s="198"/>
      <c r="Y27" s="198"/>
      <c r="AE27" s="198"/>
      <c r="AF27" s="245"/>
      <c r="AG27" s="245"/>
      <c r="AH27" s="245"/>
      <c r="AJ27" s="1">
        <f>AJ25+1</f>
        <v>2039</v>
      </c>
      <c r="AK27" s="150">
        <f t="shared" si="0"/>
        <v>20.168842890165209</v>
      </c>
      <c r="AL27" s="150">
        <f t="shared" si="1"/>
        <v>-54.415437460388773</v>
      </c>
      <c r="AM27" s="150">
        <f t="shared" si="2"/>
        <v>-34.246594570223564</v>
      </c>
      <c r="AN27" s="156">
        <f t="shared" si="3"/>
        <v>4.2801872488098116</v>
      </c>
      <c r="AP27" s="168"/>
      <c r="AQ27" s="169"/>
      <c r="AR27" s="169"/>
      <c r="AT27" s="170"/>
      <c r="AU27" s="170"/>
      <c r="AV27" s="170"/>
      <c r="AW27" s="170"/>
      <c r="AX27" s="170"/>
      <c r="AY27" s="170"/>
      <c r="BA27" s="88"/>
      <c r="BB27" s="112"/>
      <c r="BC27" s="112"/>
      <c r="BD27" s="112"/>
      <c r="BE27" s="112"/>
      <c r="BF27" s="112"/>
    </row>
    <row r="28" spans="2:60" ht="15.75" customHeight="1">
      <c r="B28" s="98" t="s">
        <v>230</v>
      </c>
      <c r="C28" s="98"/>
      <c r="D28" s="171">
        <f t="shared" ref="D28:D29" si="16">D4</f>
        <v>4.9000000000000004</v>
      </c>
      <c r="E28" s="171">
        <f t="shared" ref="E28:Y28" si="17">D28*(1+$AE$5)</f>
        <v>5.2430000000000003</v>
      </c>
      <c r="F28" s="171">
        <f t="shared" si="17"/>
        <v>5.6100100000000008</v>
      </c>
      <c r="G28" s="171">
        <f t="shared" si="17"/>
        <v>6.0027107000000015</v>
      </c>
      <c r="H28" s="171">
        <f t="shared" si="17"/>
        <v>6.4229004490000019</v>
      </c>
      <c r="I28" s="171">
        <f t="shared" si="17"/>
        <v>6.8725034804300025</v>
      </c>
      <c r="J28" s="171">
        <f t="shared" si="17"/>
        <v>7.3535787240601032</v>
      </c>
      <c r="K28" s="171">
        <f t="shared" si="17"/>
        <v>7.8683292347443112</v>
      </c>
      <c r="L28" s="171">
        <f t="shared" si="17"/>
        <v>8.4191122811764139</v>
      </c>
      <c r="M28" s="171">
        <f t="shared" si="17"/>
        <v>9.0084501408587627</v>
      </c>
      <c r="N28" s="171">
        <f t="shared" si="17"/>
        <v>9.6390416507188768</v>
      </c>
      <c r="O28" s="171">
        <f t="shared" si="17"/>
        <v>10.313774566269199</v>
      </c>
      <c r="P28" s="171">
        <f t="shared" si="17"/>
        <v>11.035738785908043</v>
      </c>
      <c r="Q28" s="171">
        <f t="shared" si="17"/>
        <v>11.808240500921606</v>
      </c>
      <c r="R28" s="171">
        <f t="shared" si="17"/>
        <v>12.634817335986119</v>
      </c>
      <c r="S28" s="171">
        <f t="shared" si="17"/>
        <v>13.519254549505147</v>
      </c>
      <c r="T28" s="171">
        <f t="shared" si="17"/>
        <v>14.465602367970508</v>
      </c>
      <c r="U28" s="171">
        <f t="shared" si="17"/>
        <v>15.478194533728445</v>
      </c>
      <c r="V28" s="171">
        <f t="shared" si="17"/>
        <v>16.561668151089435</v>
      </c>
      <c r="W28" s="171">
        <f t="shared" si="17"/>
        <v>17.720984921665696</v>
      </c>
      <c r="X28" s="171">
        <f t="shared" si="17"/>
        <v>18.961453866182296</v>
      </c>
      <c r="Y28" s="171">
        <f t="shared" si="17"/>
        <v>20.288755636815058</v>
      </c>
      <c r="Z28" s="1"/>
      <c r="AA28" s="57">
        <f t="shared" ref="AA28:AA34" si="18">IFERROR((E28/D28)-1,"")</f>
        <v>7.0000000000000062E-2</v>
      </c>
      <c r="AB28" s="57">
        <f t="shared" ref="AB28:AB34" si="19">IFERROR((J28/D28)^(1/6)-1,"")</f>
        <v>7.0000000000000062E-2</v>
      </c>
      <c r="AC28" s="57">
        <f t="shared" ref="AC28:AC34" si="20">IFERROR((O28/D28)^(1/11)-1,"")</f>
        <v>7.0000000000000062E-2</v>
      </c>
      <c r="AD28" s="57">
        <f t="shared" ref="AD28:AD34" si="21">IFERROR((T28/D28)^(1/16)-1,"")</f>
        <v>7.0000000000000062E-2</v>
      </c>
      <c r="AE28" s="57">
        <f t="shared" ref="AE28:AE34" si="22">IFERROR((Y28/D28)^(1/21)-1,"")</f>
        <v>7.0000000000000062E-2</v>
      </c>
      <c r="AF28" s="245"/>
      <c r="AG28" s="245"/>
      <c r="AH28" s="245"/>
      <c r="AJ28" s="54">
        <f t="shared" ref="AJ28:AJ31" si="23">AJ27+1</f>
        <v>2040</v>
      </c>
      <c r="AK28" s="149">
        <f t="shared" si="0"/>
        <v>25.173867931895213</v>
      </c>
      <c r="AL28" s="149">
        <f t="shared" si="1"/>
        <v>-54.037819283622156</v>
      </c>
      <c r="AM28" s="149">
        <f t="shared" si="2"/>
        <v>-28.863951351726943</v>
      </c>
      <c r="AN28" s="158">
        <f t="shared" si="3"/>
        <v>4.4905600741187053</v>
      </c>
      <c r="AP28" s="168"/>
    </row>
    <row r="29" spans="2:60" ht="15" customHeight="1">
      <c r="B29" s="98" t="s">
        <v>231</v>
      </c>
      <c r="C29" s="98"/>
      <c r="D29" s="171">
        <f t="shared" si="16"/>
        <v>-5.9</v>
      </c>
      <c r="E29" s="171">
        <f t="shared" ref="E29:Y29" si="24">D29*(1+$AE$6)</f>
        <v>-6.136000000000001</v>
      </c>
      <c r="F29" s="171">
        <f t="shared" si="24"/>
        <v>-6.3814400000000013</v>
      </c>
      <c r="G29" s="171">
        <f t="shared" si="24"/>
        <v>-6.6366976000000015</v>
      </c>
      <c r="H29" s="171">
        <f t="shared" si="24"/>
        <v>-6.9021655040000018</v>
      </c>
      <c r="I29" s="171">
        <f t="shared" si="24"/>
        <v>-7.1782521241600019</v>
      </c>
      <c r="J29" s="171">
        <f t="shared" si="24"/>
        <v>-7.4653822091264024</v>
      </c>
      <c r="K29" s="171">
        <f t="shared" si="24"/>
        <v>-7.7639974974914585</v>
      </c>
      <c r="L29" s="171">
        <f t="shared" si="24"/>
        <v>-8.0745573973911178</v>
      </c>
      <c r="M29" s="171">
        <f t="shared" si="24"/>
        <v>-8.3975396932867632</v>
      </c>
      <c r="N29" s="171">
        <f t="shared" si="24"/>
        <v>-8.7334412810182336</v>
      </c>
      <c r="O29" s="171">
        <f t="shared" si="24"/>
        <v>-9.0827789322589627</v>
      </c>
      <c r="P29" s="171">
        <f t="shared" si="24"/>
        <v>-9.4460900895493207</v>
      </c>
      <c r="Q29" s="171">
        <f t="shared" si="24"/>
        <v>-9.8239336931312931</v>
      </c>
      <c r="R29" s="171">
        <f t="shared" si="24"/>
        <v>-10.216891040856545</v>
      </c>
      <c r="S29" s="171">
        <f t="shared" si="24"/>
        <v>-10.625566682490808</v>
      </c>
      <c r="T29" s="171">
        <f t="shared" si="24"/>
        <v>-11.050589349790441</v>
      </c>
      <c r="U29" s="171">
        <f t="shared" si="24"/>
        <v>-11.492612923782058</v>
      </c>
      <c r="V29" s="171">
        <f t="shared" si="24"/>
        <v>-11.95231744073334</v>
      </c>
      <c r="W29" s="171">
        <f t="shared" si="24"/>
        <v>-12.430410138362674</v>
      </c>
      <c r="X29" s="171">
        <f t="shared" si="24"/>
        <v>-12.927626543897182</v>
      </c>
      <c r="Y29" s="171">
        <f t="shared" si="24"/>
        <v>-13.44473160565307</v>
      </c>
      <c r="AA29" s="57">
        <f t="shared" si="18"/>
        <v>4.0000000000000036E-2</v>
      </c>
      <c r="AB29" s="57">
        <f t="shared" si="19"/>
        <v>4.0000000000000036E-2</v>
      </c>
      <c r="AC29" s="57">
        <f t="shared" si="20"/>
        <v>4.0000000000000036E-2</v>
      </c>
      <c r="AD29" s="57">
        <f t="shared" si="21"/>
        <v>4.0000000000000036E-2</v>
      </c>
      <c r="AE29" s="57">
        <f t="shared" si="22"/>
        <v>4.0000000000000036E-2</v>
      </c>
      <c r="AF29" s="245"/>
      <c r="AG29" s="245"/>
      <c r="AH29" s="245"/>
      <c r="AJ29" s="1">
        <f t="shared" si="23"/>
        <v>2041</v>
      </c>
      <c r="AK29" s="150">
        <f t="shared" si="0"/>
        <v>31.612575293929115</v>
      </c>
      <c r="AL29" s="150">
        <f t="shared" si="1"/>
        <v>-53.514254799867253</v>
      </c>
      <c r="AM29" s="150">
        <f t="shared" si="2"/>
        <v>-21.901679505938137</v>
      </c>
      <c r="AN29" s="156">
        <f t="shared" si="3"/>
        <v>4.7336268949967542</v>
      </c>
    </row>
    <row r="30" spans="2:60" ht="15" customHeight="1">
      <c r="B30" s="98" t="s">
        <v>178</v>
      </c>
      <c r="C30" s="98"/>
      <c r="D30" s="172">
        <v>-1</v>
      </c>
      <c r="E30" s="171">
        <f t="shared" ref="E30:Y30" si="25">$D$7*E46</f>
        <v>-1.2600000000000002</v>
      </c>
      <c r="F30" s="171">
        <f t="shared" si="25"/>
        <v>-1.3387675000000001</v>
      </c>
      <c r="G30" s="171">
        <f t="shared" si="25"/>
        <v>-1.4176578500000003</v>
      </c>
      <c r="H30" s="171">
        <f t="shared" si="25"/>
        <v>-1.4967639006250004</v>
      </c>
      <c r="I30" s="171">
        <f t="shared" si="25"/>
        <v>-1.5763252543062503</v>
      </c>
      <c r="J30" s="171">
        <f t="shared" si="25"/>
        <v>-1.6421978407375188</v>
      </c>
      <c r="K30" s="171">
        <f t="shared" si="25"/>
        <v>-1.7035878871406527</v>
      </c>
      <c r="L30" s="171">
        <f t="shared" si="25"/>
        <v>-1.7595618523867256</v>
      </c>
      <c r="M30" s="171">
        <f t="shared" si="25"/>
        <v>-1.8090870962877756</v>
      </c>
      <c r="N30" s="171">
        <f t="shared" si="25"/>
        <v>-1.8510232789928278</v>
      </c>
      <c r="O30" s="171">
        <f t="shared" si="25"/>
        <v>-1.8841130808180542</v>
      </c>
      <c r="P30" s="171">
        <f t="shared" si="25"/>
        <v>-1.9069721914563278</v>
      </c>
      <c r="Q30" s="171">
        <f t="shared" si="25"/>
        <v>-1.918078513784744</v>
      </c>
      <c r="R30" s="171">
        <f t="shared" si="25"/>
        <v>-1.9174990162121952</v>
      </c>
      <c r="S30" s="171">
        <f t="shared" si="25"/>
        <v>-1.913120277521668</v>
      </c>
      <c r="T30" s="171">
        <f t="shared" si="25"/>
        <v>-1.9045403111136072</v>
      </c>
      <c r="U30" s="171">
        <f t="shared" si="25"/>
        <v>-1.8913236749267757</v>
      </c>
      <c r="V30" s="171">
        <f t="shared" si="25"/>
        <v>-1.8729989179953541</v>
      </c>
      <c r="W30" s="171">
        <f t="shared" si="25"/>
        <v>-1.8490558398121975</v>
      </c>
      <c r="X30" s="171">
        <f t="shared" si="25"/>
        <v>-1.8189425490566529</v>
      </c>
      <c r="Y30" s="171">
        <f t="shared" si="25"/>
        <v>-1.7820623072909036</v>
      </c>
      <c r="AA30" s="57">
        <f t="shared" si="18"/>
        <v>0.26000000000000023</v>
      </c>
      <c r="AB30" s="57">
        <f t="shared" si="19"/>
        <v>8.6186113333220682E-2</v>
      </c>
      <c r="AC30" s="57">
        <f t="shared" si="20"/>
        <v>5.9277442658068891E-2</v>
      </c>
      <c r="AD30" s="57">
        <f t="shared" si="21"/>
        <v>4.1086669384189145E-2</v>
      </c>
      <c r="AE30" s="57">
        <f t="shared" si="22"/>
        <v>2.7894894114024904E-2</v>
      </c>
      <c r="AG30" s="57"/>
      <c r="AH30" s="57"/>
      <c r="AJ30" s="1">
        <f t="shared" si="23"/>
        <v>2042</v>
      </c>
      <c r="AK30" s="150">
        <f t="shared" si="0"/>
        <v>39.815268045250505</v>
      </c>
      <c r="AL30" s="150">
        <f t="shared" si="1"/>
        <v>-52.830166851777065</v>
      </c>
      <c r="AM30" s="150">
        <f t="shared" si="2"/>
        <v>-13.01489880652656</v>
      </c>
      <c r="AN30" s="156">
        <f t="shared" si="3"/>
        <v>4.9982856076968396</v>
      </c>
    </row>
    <row r="31" spans="2:60" ht="15.75" customHeight="1">
      <c r="B31" s="82" t="s">
        <v>265</v>
      </c>
      <c r="C31" s="82"/>
      <c r="D31" s="173">
        <f t="shared" ref="D31:Y31" si="26">SUM(D28:D30)</f>
        <v>-2</v>
      </c>
      <c r="E31" s="173">
        <f t="shared" si="26"/>
        <v>-2.1530000000000009</v>
      </c>
      <c r="F31" s="173">
        <f t="shared" si="26"/>
        <v>-2.1101975000000008</v>
      </c>
      <c r="G31" s="173">
        <f t="shared" si="26"/>
        <v>-2.0516447500000004</v>
      </c>
      <c r="H31" s="173">
        <f t="shared" si="26"/>
        <v>-1.9760289556250004</v>
      </c>
      <c r="I31" s="173">
        <f t="shared" si="26"/>
        <v>-1.8820738980362497</v>
      </c>
      <c r="J31" s="173">
        <f t="shared" si="26"/>
        <v>-1.7540013258038181</v>
      </c>
      <c r="K31" s="173">
        <f t="shared" si="26"/>
        <v>-1.5992561498878</v>
      </c>
      <c r="L31" s="173">
        <f t="shared" si="26"/>
        <v>-1.4150069686014295</v>
      </c>
      <c r="M31" s="173">
        <f t="shared" si="26"/>
        <v>-1.1981766487157761</v>
      </c>
      <c r="N31" s="173">
        <f t="shared" si="26"/>
        <v>-0.94542290929218464</v>
      </c>
      <c r="O31" s="173">
        <f t="shared" si="26"/>
        <v>-0.6531174468078178</v>
      </c>
      <c r="P31" s="173">
        <f t="shared" si="26"/>
        <v>-0.3173234950976056</v>
      </c>
      <c r="Q31" s="173">
        <f t="shared" si="26"/>
        <v>6.6228294005568955E-2</v>
      </c>
      <c r="R31" s="173">
        <f t="shared" si="26"/>
        <v>0.50042727891737848</v>
      </c>
      <c r="S31" s="173">
        <f t="shared" si="26"/>
        <v>0.98056758949267131</v>
      </c>
      <c r="T31" s="173">
        <f t="shared" si="26"/>
        <v>1.5104727070664601</v>
      </c>
      <c r="U31" s="173">
        <f t="shared" si="26"/>
        <v>2.0942579350196109</v>
      </c>
      <c r="V31" s="173">
        <f t="shared" si="26"/>
        <v>2.7363517923607406</v>
      </c>
      <c r="W31" s="173">
        <f t="shared" si="26"/>
        <v>3.4415189434908244</v>
      </c>
      <c r="X31" s="173">
        <f t="shared" si="26"/>
        <v>4.2148847732284622</v>
      </c>
      <c r="Y31" s="173">
        <f t="shared" si="26"/>
        <v>5.0619617238710841</v>
      </c>
      <c r="Z31" s="201"/>
      <c r="AA31" s="203">
        <f t="shared" si="18"/>
        <v>7.6500000000000457E-2</v>
      </c>
      <c r="AB31" s="203">
        <f t="shared" si="19"/>
        <v>-2.1637074637242071E-2</v>
      </c>
      <c r="AC31" s="203">
        <f t="shared" si="20"/>
        <v>-9.6736080863929819E-2</v>
      </c>
      <c r="AD31" s="203" t="str">
        <f t="shared" si="21"/>
        <v/>
      </c>
      <c r="AE31" s="84">
        <f t="shared" si="22"/>
        <v>-2.0452116252827395</v>
      </c>
      <c r="AG31" s="57"/>
      <c r="AH31" s="57"/>
      <c r="AJ31" s="1">
        <f t="shared" si="23"/>
        <v>2043</v>
      </c>
      <c r="AK31" s="150">
        <f t="shared" si="0"/>
        <v>50.181878100914567</v>
      </c>
      <c r="AL31" s="150">
        <f t="shared" si="1"/>
        <v>-51.96978711590436</v>
      </c>
      <c r="AM31" s="150">
        <f t="shared" si="2"/>
        <v>-1.7879090149897934</v>
      </c>
      <c r="AN31" s="156">
        <f t="shared" si="3"/>
        <v>5.275670742611406</v>
      </c>
      <c r="AO31" s="119"/>
    </row>
    <row r="32" spans="2:60" ht="15.75" hidden="1" customHeight="1" outlineLevel="1">
      <c r="B32" s="98" t="s">
        <v>266</v>
      </c>
      <c r="C32" s="98"/>
      <c r="D32" s="174">
        <f>-D18*Macro!C20/10^3</f>
        <v>0</v>
      </c>
      <c r="E32" s="174">
        <f>-E18*Macro!D20/10^3</f>
        <v>-9.7500000000000003E-2</v>
      </c>
      <c r="F32" s="174">
        <f>-F18*Macro!E20/10^3</f>
        <v>-0.14381250000000001</v>
      </c>
      <c r="G32" s="174">
        <f>-G18*Macro!F20/10^3</f>
        <v>-0.20852812499999998</v>
      </c>
      <c r="H32" s="174">
        <f>-H18*Macro!G20/10^3</f>
        <v>-0.29715257812499996</v>
      </c>
      <c r="I32" s="174">
        <f>-I18*Macro!H20/10^3</f>
        <v>0</v>
      </c>
      <c r="J32" s="174">
        <f>-J18*Macro!I20/10^3</f>
        <v>0</v>
      </c>
      <c r="K32" s="174">
        <f>-K18*Macro!J20/10^3</f>
        <v>0</v>
      </c>
      <c r="L32" s="174">
        <f>-L18*Macro!K20/10^3</f>
        <v>0</v>
      </c>
      <c r="M32" s="174">
        <f>-M18*Macro!L20/10^3</f>
        <v>0</v>
      </c>
      <c r="N32" s="174">
        <f>-N18*Macro!M20/10^3</f>
        <v>0</v>
      </c>
      <c r="O32" s="174">
        <f>-O18*Macro!N20/10^3</f>
        <v>0</v>
      </c>
      <c r="P32" s="174">
        <f>-P18*Macro!O20/10^3</f>
        <v>0</v>
      </c>
      <c r="Q32" s="174">
        <f>-Q18*Macro!P20/10^3</f>
        <v>0</v>
      </c>
      <c r="R32" s="174">
        <f>-R18*Macro!Q20/10^3</f>
        <v>0</v>
      </c>
      <c r="S32" s="174">
        <f>-S18*Macro!R20/10^3</f>
        <v>0</v>
      </c>
      <c r="T32" s="174">
        <f>-T18*Macro!S20/10^3</f>
        <v>0</v>
      </c>
      <c r="U32" s="174">
        <f>-U18*Macro!T20/10^3</f>
        <v>0</v>
      </c>
      <c r="V32" s="174">
        <f>-V18*Macro!U20/10^3</f>
        <v>0</v>
      </c>
      <c r="W32" s="174">
        <f>-W18*Macro!V20/10^3</f>
        <v>0</v>
      </c>
      <c r="X32" s="174">
        <f>-X18*Macro!W20/10^3</f>
        <v>0</v>
      </c>
      <c r="Y32" s="174">
        <f>-Y18*Macro!X20/10^3</f>
        <v>0</v>
      </c>
      <c r="AA32" s="57" t="str">
        <f t="shared" si="18"/>
        <v/>
      </c>
      <c r="AB32" s="57" t="str">
        <f t="shared" si="19"/>
        <v/>
      </c>
      <c r="AC32" s="57" t="str">
        <f t="shared" si="20"/>
        <v/>
      </c>
      <c r="AD32" s="57" t="str">
        <f t="shared" si="21"/>
        <v/>
      </c>
      <c r="AE32" s="57" t="str">
        <f t="shared" si="22"/>
        <v/>
      </c>
      <c r="AG32" s="57"/>
      <c r="AH32" s="57"/>
      <c r="AK32" s="8" t="e">
        <f t="shared" si="0"/>
        <v>#N/A</v>
      </c>
      <c r="AL32" s="8" t="e">
        <f t="shared" si="1"/>
        <v>#N/A</v>
      </c>
      <c r="AM32" s="8" t="e">
        <f t="shared" si="2"/>
        <v>#N/A</v>
      </c>
      <c r="AN32" s="159" t="e">
        <f t="shared" si="3"/>
        <v>#N/A</v>
      </c>
      <c r="AO32" s="161"/>
    </row>
    <row r="33" spans="2:42" ht="15.75" hidden="1" customHeight="1" outlineLevel="1">
      <c r="B33" s="201" t="s">
        <v>265</v>
      </c>
      <c r="C33" s="201"/>
      <c r="D33" s="249">
        <f t="shared" ref="D33:Y33" si="27">SUM(D31:D32)</f>
        <v>-2</v>
      </c>
      <c r="E33" s="249">
        <f t="shared" si="27"/>
        <v>-2.2505000000000011</v>
      </c>
      <c r="F33" s="249">
        <f t="shared" si="27"/>
        <v>-2.254010000000001</v>
      </c>
      <c r="G33" s="249">
        <f t="shared" si="27"/>
        <v>-2.2601728750000003</v>
      </c>
      <c r="H33" s="249">
        <f t="shared" si="27"/>
        <v>-2.2731815337500003</v>
      </c>
      <c r="I33" s="249">
        <f t="shared" si="27"/>
        <v>-1.8820738980362497</v>
      </c>
      <c r="J33" s="249">
        <f t="shared" si="27"/>
        <v>-1.7540013258038181</v>
      </c>
      <c r="K33" s="249">
        <f t="shared" si="27"/>
        <v>-1.5992561498878</v>
      </c>
      <c r="L33" s="249">
        <f t="shared" si="27"/>
        <v>-1.4150069686014295</v>
      </c>
      <c r="M33" s="249">
        <f t="shared" si="27"/>
        <v>-1.1981766487157761</v>
      </c>
      <c r="N33" s="249">
        <f t="shared" si="27"/>
        <v>-0.94542290929218464</v>
      </c>
      <c r="O33" s="249">
        <f t="shared" si="27"/>
        <v>-0.6531174468078178</v>
      </c>
      <c r="P33" s="249">
        <f t="shared" si="27"/>
        <v>-0.3173234950976056</v>
      </c>
      <c r="Q33" s="249">
        <f t="shared" si="27"/>
        <v>6.6228294005568955E-2</v>
      </c>
      <c r="R33" s="249">
        <f t="shared" si="27"/>
        <v>0.50042727891737848</v>
      </c>
      <c r="S33" s="249">
        <f t="shared" si="27"/>
        <v>0.98056758949267131</v>
      </c>
      <c r="T33" s="249">
        <f t="shared" si="27"/>
        <v>1.5104727070664601</v>
      </c>
      <c r="U33" s="249">
        <f t="shared" si="27"/>
        <v>2.0942579350196109</v>
      </c>
      <c r="V33" s="249">
        <f t="shared" si="27"/>
        <v>2.7363517923607406</v>
      </c>
      <c r="W33" s="249">
        <f t="shared" si="27"/>
        <v>3.4415189434908244</v>
      </c>
      <c r="X33" s="249">
        <f t="shared" si="27"/>
        <v>4.2148847732284622</v>
      </c>
      <c r="Y33" s="249">
        <f t="shared" si="27"/>
        <v>5.0619617238710841</v>
      </c>
      <c r="Z33" s="201"/>
      <c r="AA33" s="203">
        <f t="shared" si="18"/>
        <v>0.12525000000000053</v>
      </c>
      <c r="AB33" s="203">
        <f t="shared" si="19"/>
        <v>-2.1637074637242071E-2</v>
      </c>
      <c r="AC33" s="203">
        <f t="shared" si="20"/>
        <v>-9.6736080863929819E-2</v>
      </c>
      <c r="AD33" s="203" t="str">
        <f t="shared" si="21"/>
        <v/>
      </c>
      <c r="AE33" s="203">
        <f t="shared" si="22"/>
        <v>-2.0452116252827395</v>
      </c>
      <c r="AG33" s="57"/>
      <c r="AH33" s="57"/>
      <c r="AK33" s="8" t="e">
        <f t="shared" si="0"/>
        <v>#N/A</v>
      </c>
      <c r="AL33" s="8" t="e">
        <f t="shared" si="1"/>
        <v>#N/A</v>
      </c>
      <c r="AM33" s="8" t="e">
        <f t="shared" si="2"/>
        <v>#N/A</v>
      </c>
      <c r="AN33" s="159" t="e">
        <f t="shared" si="3"/>
        <v>#N/A</v>
      </c>
      <c r="AO33" s="119"/>
    </row>
    <row r="34" spans="2:42" ht="15.75" hidden="1" customHeight="1" outlineLevel="1">
      <c r="B34" s="98" t="s">
        <v>267</v>
      </c>
      <c r="C34" s="98"/>
      <c r="D34" s="174">
        <f t="shared" ref="D34:Y34" si="28">-D19*D$22/10^3</f>
        <v>0</v>
      </c>
      <c r="E34" s="174">
        <f t="shared" si="28"/>
        <v>0</v>
      </c>
      <c r="F34" s="174">
        <f t="shared" si="28"/>
        <v>0</v>
      </c>
      <c r="G34" s="174">
        <f t="shared" si="28"/>
        <v>0</v>
      </c>
      <c r="H34" s="174">
        <f t="shared" si="28"/>
        <v>0</v>
      </c>
      <c r="I34" s="174">
        <f t="shared" si="28"/>
        <v>0</v>
      </c>
      <c r="J34" s="174">
        <f t="shared" si="28"/>
        <v>0</v>
      </c>
      <c r="K34" s="174">
        <f t="shared" si="28"/>
        <v>0</v>
      </c>
      <c r="L34" s="174">
        <f t="shared" si="28"/>
        <v>0</v>
      </c>
      <c r="M34" s="174">
        <f t="shared" si="28"/>
        <v>0</v>
      </c>
      <c r="N34" s="174">
        <f t="shared" si="28"/>
        <v>0</v>
      </c>
      <c r="O34" s="174">
        <f t="shared" si="28"/>
        <v>0</v>
      </c>
      <c r="P34" s="174">
        <f t="shared" si="28"/>
        <v>0</v>
      </c>
      <c r="Q34" s="174">
        <f t="shared" si="28"/>
        <v>-4.9671220504176709E-2</v>
      </c>
      <c r="R34" s="174">
        <f t="shared" si="28"/>
        <v>-0.37532045918803392</v>
      </c>
      <c r="S34" s="174">
        <f t="shared" si="28"/>
        <v>-0.73542569211950337</v>
      </c>
      <c r="T34" s="174">
        <f t="shared" si="28"/>
        <v>-1.132854530299845</v>
      </c>
      <c r="U34" s="174">
        <f t="shared" si="28"/>
        <v>-1.5706934512647084</v>
      </c>
      <c r="V34" s="174">
        <f t="shared" si="28"/>
        <v>-2.0522638442705561</v>
      </c>
      <c r="W34" s="174">
        <f t="shared" si="28"/>
        <v>-2.5811392076181185</v>
      </c>
      <c r="X34" s="174">
        <f t="shared" si="28"/>
        <v>-3.1611635799213467</v>
      </c>
      <c r="Y34" s="174">
        <f t="shared" si="28"/>
        <v>-3.7964712929033131</v>
      </c>
      <c r="AA34" s="57" t="str">
        <f t="shared" si="18"/>
        <v/>
      </c>
      <c r="AB34" s="57" t="str">
        <f t="shared" si="19"/>
        <v/>
      </c>
      <c r="AC34" s="57" t="str">
        <f t="shared" si="20"/>
        <v/>
      </c>
      <c r="AD34" s="57" t="str">
        <f t="shared" si="21"/>
        <v/>
      </c>
      <c r="AE34" s="57" t="str">
        <f t="shared" si="22"/>
        <v/>
      </c>
      <c r="AG34" s="57"/>
      <c r="AH34" s="57"/>
      <c r="AK34" s="157" t="e">
        <f t="shared" si="0"/>
        <v>#N/A</v>
      </c>
      <c r="AL34" s="8" t="e">
        <f t="shared" si="1"/>
        <v>#N/A</v>
      </c>
      <c r="AM34" s="157" t="e">
        <f t="shared" si="2"/>
        <v>#N/A</v>
      </c>
      <c r="AN34" s="159" t="e">
        <f t="shared" si="3"/>
        <v>#N/A</v>
      </c>
      <c r="AO34" s="157"/>
      <c r="AP34" s="157"/>
    </row>
    <row r="35" spans="2:42" ht="15.75" hidden="1" customHeight="1" outlineLevel="1">
      <c r="B35" s="98" t="s">
        <v>268</v>
      </c>
      <c r="C35" s="98"/>
      <c r="D35" s="174">
        <f t="shared" ref="D35:Y35" si="29">-D20*D$22/10^3</f>
        <v>0</v>
      </c>
      <c r="E35" s="174">
        <f t="shared" si="29"/>
        <v>0</v>
      </c>
      <c r="F35" s="174">
        <f t="shared" si="29"/>
        <v>0</v>
      </c>
      <c r="G35" s="174">
        <f t="shared" si="29"/>
        <v>0</v>
      </c>
      <c r="H35" s="174">
        <f t="shared" si="29"/>
        <v>0</v>
      </c>
      <c r="I35" s="174">
        <f t="shared" si="29"/>
        <v>0</v>
      </c>
      <c r="J35" s="174">
        <f t="shared" si="29"/>
        <v>0</v>
      </c>
      <c r="K35" s="174">
        <f t="shared" si="29"/>
        <v>0</v>
      </c>
      <c r="L35" s="174">
        <f t="shared" si="29"/>
        <v>0</v>
      </c>
      <c r="M35" s="174">
        <f t="shared" si="29"/>
        <v>0</v>
      </c>
      <c r="N35" s="174">
        <f t="shared" si="29"/>
        <v>0</v>
      </c>
      <c r="O35" s="174">
        <f t="shared" si="29"/>
        <v>0</v>
      </c>
      <c r="P35" s="174">
        <f t="shared" si="29"/>
        <v>0</v>
      </c>
      <c r="Q35" s="174">
        <f t="shared" si="29"/>
        <v>0</v>
      </c>
      <c r="R35" s="174">
        <f t="shared" si="29"/>
        <v>0</v>
      </c>
      <c r="S35" s="174">
        <f t="shared" si="29"/>
        <v>0</v>
      </c>
      <c r="T35" s="174">
        <f t="shared" si="29"/>
        <v>0</v>
      </c>
      <c r="U35" s="174">
        <f t="shared" si="29"/>
        <v>0</v>
      </c>
      <c r="V35" s="174">
        <f t="shared" si="29"/>
        <v>0</v>
      </c>
      <c r="W35" s="174">
        <f t="shared" si="29"/>
        <v>0</v>
      </c>
      <c r="X35" s="174">
        <f t="shared" si="29"/>
        <v>0</v>
      </c>
      <c r="Y35" s="174">
        <f t="shared" si="29"/>
        <v>0</v>
      </c>
      <c r="AG35" s="57"/>
      <c r="AH35" s="57"/>
      <c r="AK35" s="157" t="e">
        <f t="shared" si="0"/>
        <v>#N/A</v>
      </c>
      <c r="AL35" s="8" t="e">
        <f t="shared" si="1"/>
        <v>#N/A</v>
      </c>
      <c r="AM35" s="157" t="e">
        <f t="shared" si="2"/>
        <v>#N/A</v>
      </c>
      <c r="AN35" s="159" t="e">
        <f t="shared" si="3"/>
        <v>#N/A</v>
      </c>
      <c r="AO35" s="157"/>
      <c r="AP35" s="157"/>
    </row>
    <row r="36" spans="2:42" ht="15.75" hidden="1" customHeight="1" outlineLevel="1">
      <c r="B36" s="98" t="s">
        <v>269</v>
      </c>
      <c r="C36" s="98"/>
      <c r="D36" s="171">
        <f t="shared" ref="D36:Y36" si="30">-D33-D34-D35</f>
        <v>2</v>
      </c>
      <c r="E36" s="171">
        <f t="shared" si="30"/>
        <v>2.2505000000000011</v>
      </c>
      <c r="F36" s="171">
        <f t="shared" si="30"/>
        <v>2.254010000000001</v>
      </c>
      <c r="G36" s="171">
        <f t="shared" si="30"/>
        <v>2.2601728750000003</v>
      </c>
      <c r="H36" s="171">
        <f t="shared" si="30"/>
        <v>2.2731815337500003</v>
      </c>
      <c r="I36" s="171">
        <f t="shared" si="30"/>
        <v>1.8820738980362497</v>
      </c>
      <c r="J36" s="171">
        <f t="shared" si="30"/>
        <v>1.7540013258038181</v>
      </c>
      <c r="K36" s="171">
        <f t="shared" si="30"/>
        <v>1.5992561498878</v>
      </c>
      <c r="L36" s="171">
        <f t="shared" si="30"/>
        <v>1.4150069686014295</v>
      </c>
      <c r="M36" s="171">
        <f t="shared" si="30"/>
        <v>1.1981766487157761</v>
      </c>
      <c r="N36" s="171">
        <f t="shared" si="30"/>
        <v>0.94542290929218464</v>
      </c>
      <c r="O36" s="171">
        <f t="shared" si="30"/>
        <v>0.6531174468078178</v>
      </c>
      <c r="P36" s="171">
        <f t="shared" si="30"/>
        <v>0.3173234950976056</v>
      </c>
      <c r="Q36" s="171">
        <f t="shared" si="30"/>
        <v>-1.6557073501392246E-2</v>
      </c>
      <c r="R36" s="171">
        <f t="shared" si="30"/>
        <v>-0.12510681972934456</v>
      </c>
      <c r="S36" s="171">
        <f t="shared" si="30"/>
        <v>-0.24514189737316794</v>
      </c>
      <c r="T36" s="171">
        <f t="shared" si="30"/>
        <v>-0.37761817676661513</v>
      </c>
      <c r="U36" s="171">
        <f t="shared" si="30"/>
        <v>-0.5235644837549025</v>
      </c>
      <c r="V36" s="171">
        <f t="shared" si="30"/>
        <v>-0.68408794809018447</v>
      </c>
      <c r="W36" s="171">
        <f t="shared" si="30"/>
        <v>-0.86037973587270589</v>
      </c>
      <c r="X36" s="171">
        <f t="shared" si="30"/>
        <v>-1.0537211933071156</v>
      </c>
      <c r="Y36" s="171">
        <f t="shared" si="30"/>
        <v>-1.265490430967771</v>
      </c>
      <c r="AA36" s="57">
        <f t="shared" ref="AA36:AA37" si="31">IFERROR((E36/D36)-1,"")</f>
        <v>0.12525000000000053</v>
      </c>
      <c r="AB36" s="57">
        <f t="shared" ref="AB36:AB37" si="32">IFERROR((J36/D36)^(1/6)-1,"")</f>
        <v>-2.1637074637242071E-2</v>
      </c>
      <c r="AC36" s="57">
        <f t="shared" ref="AC36:AC37" si="33">IFERROR((O36/D36)^(1/11)-1,"")</f>
        <v>-9.6736080863929819E-2</v>
      </c>
      <c r="AD36" s="57" t="str">
        <f t="shared" ref="AD36:AD37" si="34">IFERROR((T36/D36)^(1/16)-1,"")</f>
        <v/>
      </c>
      <c r="AE36" s="57">
        <f t="shared" ref="AE36:AE37" si="35">IFERROR((Y36/D36)^(1/21)-1,"")</f>
        <v>-1.9784411470459413</v>
      </c>
      <c r="AG36" s="57"/>
      <c r="AH36" s="57"/>
      <c r="AK36" s="157" t="e">
        <f t="shared" si="0"/>
        <v>#N/A</v>
      </c>
      <c r="AL36" s="8" t="e">
        <f t="shared" si="1"/>
        <v>#N/A</v>
      </c>
      <c r="AM36" s="157" t="e">
        <f t="shared" si="2"/>
        <v>#N/A</v>
      </c>
      <c r="AN36" s="159" t="e">
        <f t="shared" si="3"/>
        <v>#N/A</v>
      </c>
      <c r="AO36" s="157"/>
      <c r="AP36" s="157"/>
    </row>
    <row r="37" spans="2:42" ht="15.75" hidden="1" customHeight="1" outlineLevel="1">
      <c r="B37" s="241" t="s">
        <v>270</v>
      </c>
      <c r="C37" s="241"/>
      <c r="D37" s="249">
        <f t="shared" ref="D37:Y37" si="36">D33+D34+D35+D36</f>
        <v>0</v>
      </c>
      <c r="E37" s="249">
        <f t="shared" si="36"/>
        <v>0</v>
      </c>
      <c r="F37" s="249">
        <f t="shared" si="36"/>
        <v>0</v>
      </c>
      <c r="G37" s="249">
        <f t="shared" si="36"/>
        <v>0</v>
      </c>
      <c r="H37" s="249">
        <f t="shared" si="36"/>
        <v>0</v>
      </c>
      <c r="I37" s="249">
        <f t="shared" si="36"/>
        <v>0</v>
      </c>
      <c r="J37" s="249">
        <f t="shared" si="36"/>
        <v>0</v>
      </c>
      <c r="K37" s="249">
        <f t="shared" si="36"/>
        <v>0</v>
      </c>
      <c r="L37" s="249">
        <f t="shared" si="36"/>
        <v>0</v>
      </c>
      <c r="M37" s="249">
        <f t="shared" si="36"/>
        <v>0</v>
      </c>
      <c r="N37" s="249">
        <f t="shared" si="36"/>
        <v>0</v>
      </c>
      <c r="O37" s="249">
        <f t="shared" si="36"/>
        <v>0</v>
      </c>
      <c r="P37" s="249">
        <f t="shared" si="36"/>
        <v>0</v>
      </c>
      <c r="Q37" s="249">
        <f t="shared" si="36"/>
        <v>0</v>
      </c>
      <c r="R37" s="249">
        <f t="shared" si="36"/>
        <v>0</v>
      </c>
      <c r="S37" s="249">
        <f t="shared" si="36"/>
        <v>0</v>
      </c>
      <c r="T37" s="249">
        <f t="shared" si="36"/>
        <v>0</v>
      </c>
      <c r="U37" s="249">
        <f t="shared" si="36"/>
        <v>0</v>
      </c>
      <c r="V37" s="249">
        <f t="shared" si="36"/>
        <v>0</v>
      </c>
      <c r="W37" s="249">
        <f t="shared" si="36"/>
        <v>0</v>
      </c>
      <c r="X37" s="249">
        <f t="shared" si="36"/>
        <v>0</v>
      </c>
      <c r="Y37" s="249">
        <f t="shared" si="36"/>
        <v>0</v>
      </c>
      <c r="Z37" s="66"/>
      <c r="AA37" s="203" t="str">
        <f t="shared" si="31"/>
        <v/>
      </c>
      <c r="AB37" s="203" t="str">
        <f t="shared" si="32"/>
        <v/>
      </c>
      <c r="AC37" s="203" t="str">
        <f t="shared" si="33"/>
        <v/>
      </c>
      <c r="AD37" s="203" t="str">
        <f t="shared" si="34"/>
        <v/>
      </c>
      <c r="AE37" s="203" t="str">
        <f t="shared" si="35"/>
        <v/>
      </c>
      <c r="AG37" s="57"/>
      <c r="AH37" s="57"/>
      <c r="AK37" s="157" t="e">
        <f t="shared" si="0"/>
        <v>#N/A</v>
      </c>
      <c r="AL37" s="8" t="e">
        <f t="shared" si="1"/>
        <v>#N/A</v>
      </c>
      <c r="AM37" s="157" t="e">
        <f t="shared" si="2"/>
        <v>#N/A</v>
      </c>
      <c r="AN37" s="159" t="e">
        <f t="shared" si="3"/>
        <v>#N/A</v>
      </c>
      <c r="AO37" s="157"/>
      <c r="AP37" s="157"/>
    </row>
    <row r="38" spans="2:42" ht="15.75" customHeight="1" collapsed="1">
      <c r="B38" s="197" t="s">
        <v>271</v>
      </c>
      <c r="C38" s="197"/>
      <c r="D38" s="198"/>
      <c r="E38" s="198"/>
      <c r="F38" s="198"/>
      <c r="G38" s="198"/>
      <c r="H38" s="198"/>
      <c r="I38" s="198"/>
      <c r="J38" s="198"/>
      <c r="K38" s="198"/>
      <c r="L38" s="198"/>
      <c r="M38" s="198"/>
      <c r="N38" s="198"/>
      <c r="O38" s="198"/>
      <c r="P38" s="198"/>
      <c r="Q38" s="198"/>
      <c r="R38" s="198"/>
      <c r="S38" s="198"/>
      <c r="T38" s="198"/>
      <c r="U38" s="198"/>
      <c r="V38" s="198"/>
      <c r="W38" s="198"/>
      <c r="X38" s="198"/>
      <c r="Y38" s="198"/>
      <c r="AE38" s="198"/>
      <c r="AJ38" s="1">
        <f>AJ31+1</f>
        <v>2044</v>
      </c>
      <c r="AK38" s="150">
        <f t="shared" si="0"/>
        <v>63.196162363373261</v>
      </c>
      <c r="AL38" s="150">
        <f t="shared" si="1"/>
        <v>-50.916065922597241</v>
      </c>
      <c r="AM38" s="150">
        <f t="shared" si="2"/>
        <v>12.28009644077602</v>
      </c>
      <c r="AN38" s="156">
        <f t="shared" si="3"/>
        <v>5.5587691846725331</v>
      </c>
      <c r="AO38" s="57"/>
    </row>
    <row r="39" spans="2:42" ht="15.75" customHeight="1">
      <c r="B39" s="8" t="s">
        <v>57</v>
      </c>
      <c r="D39" s="175">
        <f>D24*Macro!C20/10^3</f>
        <v>0</v>
      </c>
      <c r="E39" s="174">
        <f>E24*Macro!D20/10^3</f>
        <v>9.7500000000000003E-2</v>
      </c>
      <c r="F39" s="171">
        <f>F24*Macro!E20/10^3</f>
        <v>0.28762500000000002</v>
      </c>
      <c r="G39" s="171">
        <f>G24*Macro!F20/10^3</f>
        <v>0.62558437499999986</v>
      </c>
      <c r="H39" s="171">
        <f>H24*Macro!G20/10^3</f>
        <v>1.1886103124999998</v>
      </c>
      <c r="I39" s="171">
        <f>I24*Macro!H20/10^3</f>
        <v>1.6640544374999995</v>
      </c>
      <c r="J39" s="171">
        <f>J24*Macro!I20/10^3</f>
        <v>2.2880748515624991</v>
      </c>
      <c r="K39" s="171">
        <f>K24*Macro!J20/10^3</f>
        <v>3.0889010496093734</v>
      </c>
      <c r="L39" s="171">
        <f>L24*Macro!K20/10^3</f>
        <v>4.0927938907324188</v>
      </c>
      <c r="M39" s="171">
        <f>M24*Macro!L20/10^3</f>
        <v>5.3206320579521433</v>
      </c>
      <c r="N39" s="171">
        <f>N24*Macro!M20/10^3</f>
        <v>6.7838058738889826</v>
      </c>
      <c r="O39" s="171">
        <f>O24*Macro!N20/10^3</f>
        <v>8.4797573423612267</v>
      </c>
      <c r="P39" s="171">
        <f>P24*Macro!O20/10^3</f>
        <v>10.387702744392502</v>
      </c>
      <c r="Q39" s="171">
        <f>Q24*Macro!P20/10^3</f>
        <v>12.514914513775178</v>
      </c>
      <c r="R39" s="171">
        <f>R24*Macro!Q20/10^3</f>
        <v>15.393217875718246</v>
      </c>
      <c r="S39" s="171">
        <f>S24*Macro!R20/10^3</f>
        <v>19.2072871429814</v>
      </c>
      <c r="T39" s="171">
        <f>T24*Macro!S20/10^3</f>
        <v>24.181599101877524</v>
      </c>
      <c r="U39" s="171">
        <f>U24*Macro!T20/10^3</f>
        <v>30.588612373517741</v>
      </c>
      <c r="V39" s="171">
        <f>V24*Macro!U20/10^3</f>
        <v>38.758598692491837</v>
      </c>
      <c r="W39" s="171">
        <f>W24*Macro!V20/10^3</f>
        <v>49.091457638608325</v>
      </c>
      <c r="X39" s="171">
        <f>X24*Macro!W20/10^3</f>
        <v>62.070912746251345</v>
      </c>
      <c r="Y39" s="171">
        <f>Y24*Macro!X20/10^3</f>
        <v>78.281566588404928</v>
      </c>
      <c r="AA39" s="57" t="str">
        <f t="shared" ref="AA39:AA44" si="37">IFERROR((E39/D39)-1,"")</f>
        <v/>
      </c>
      <c r="AB39" s="57" t="str">
        <f t="shared" ref="AB39:AB44" si="38">IFERROR((J39/D39)^(1/6)-1,"")</f>
        <v/>
      </c>
      <c r="AC39" s="57" t="str">
        <f t="shared" ref="AC39:AC44" si="39">IFERROR((O39/D39)^(1/11)-1,"")</f>
        <v/>
      </c>
      <c r="AD39" s="57" t="str">
        <f t="shared" ref="AD39:AD44" si="40">IFERROR((T39/D39)^(1/16)-1,"")</f>
        <v/>
      </c>
      <c r="AE39" s="57" t="str">
        <f t="shared" ref="AE39:AE44" si="41">IFERROR((Y39/D39)^(1/21)-1,"")</f>
        <v/>
      </c>
      <c r="AJ39" s="54">
        <f>AJ38+1</f>
        <v>2045</v>
      </c>
      <c r="AK39" s="149">
        <f t="shared" si="0"/>
        <v>79.442757839488976</v>
      </c>
      <c r="AL39" s="149">
        <f t="shared" si="1"/>
        <v>-49.650575491629468</v>
      </c>
      <c r="AM39" s="149">
        <f t="shared" si="2"/>
        <v>29.792182347859509</v>
      </c>
      <c r="AN39" s="158">
        <f t="shared" si="3"/>
        <v>5.8420971115518769</v>
      </c>
    </row>
    <row r="40" spans="2:42" ht="15.75" customHeight="1">
      <c r="B40" s="8" t="s">
        <v>49</v>
      </c>
      <c r="D40" s="176">
        <f>O6</f>
        <v>0.6</v>
      </c>
      <c r="E40" s="171">
        <f>D40*(1+Macro!D69)</f>
        <v>0.61916461916461907</v>
      </c>
      <c r="F40" s="171">
        <f>E40*(1+Macro!E69)</f>
        <v>0.63894137604211299</v>
      </c>
      <c r="G40" s="171">
        <f>F40*(1+Macro!F69)</f>
        <v>0.65934982294272093</v>
      </c>
      <c r="H40" s="171">
        <f>G40*(1+Macro!G69)</f>
        <v>0.68041013669764805</v>
      </c>
      <c r="I40" s="171">
        <f>H40*(1+Macro!H69)</f>
        <v>0.70214313860690947</v>
      </c>
      <c r="J40" s="171">
        <f>I40*(1+Macro!I69)</f>
        <v>0.72457031502432911</v>
      </c>
      <c r="K40" s="171">
        <f>J40*(1+Macro!J69)</f>
        <v>0.7477138386000447</v>
      </c>
      <c r="L40" s="171">
        <f>K40*(1+Macro!K69)</f>
        <v>0.77159659020152027</v>
      </c>
      <c r="M40" s="171">
        <f>L40*(1+Macro!L69)</f>
        <v>0.79624218153473825</v>
      </c>
      <c r="N40" s="171">
        <f>M40*(1+Macro!M69)</f>
        <v>0.82167497848793614</v>
      </c>
      <c r="O40" s="171">
        <f>N40*(1+Macro!N69)</f>
        <v>0.84792012522096594</v>
      </c>
      <c r="P40" s="171">
        <f>O40*(1+Macro!O69)</f>
        <v>0.87500356902409249</v>
      </c>
      <c r="Q40" s="171">
        <f>P40*(1+Macro!P69)</f>
        <v>0.90295208597080789</v>
      </c>
      <c r="R40" s="171">
        <f>Q40*(1+Macro!Q69)</f>
        <v>0.93179330739002275</v>
      </c>
      <c r="S40" s="171">
        <f>R40*(1+Macro!R69)</f>
        <v>0.9615557471838071</v>
      </c>
      <c r="T40" s="171">
        <f>S40*(1+Macro!S69)</f>
        <v>0.99226883001768784</v>
      </c>
      <c r="U40" s="171">
        <f>T40*(1+Macro!T69)</f>
        <v>1.0239629204113732</v>
      </c>
      <c r="V40" s="171">
        <f>U40*(1+Macro!U69)</f>
        <v>1.056669352758665</v>
      </c>
      <c r="W40" s="171">
        <f>V40*(1+Macro!V69)</f>
        <v>1.090420462306239</v>
      </c>
      <c r="X40" s="171">
        <f>W40*(1+Macro!W69)</f>
        <v>1.1252496171219173</v>
      </c>
      <c r="Y40" s="171">
        <f>X40*(1+Macro!X69)</f>
        <v>1.1611912510840423</v>
      </c>
      <c r="AA40" s="57">
        <f t="shared" si="37"/>
        <v>3.1941031941031817E-2</v>
      </c>
      <c r="AB40" s="57">
        <f t="shared" si="38"/>
        <v>3.1941031941031817E-2</v>
      </c>
      <c r="AC40" s="57">
        <f t="shared" si="39"/>
        <v>3.1941031941031817E-2</v>
      </c>
      <c r="AD40" s="57">
        <f t="shared" si="40"/>
        <v>3.1941031941031817E-2</v>
      </c>
      <c r="AE40" s="57">
        <f t="shared" si="41"/>
        <v>3.1941031941031817E-2</v>
      </c>
      <c r="AJ40" s="154"/>
      <c r="AK40" s="154"/>
    </row>
    <row r="41" spans="2:42" ht="15.75" hidden="1" customHeight="1" outlineLevel="1">
      <c r="B41" s="8" t="s">
        <v>53</v>
      </c>
      <c r="D41" s="176"/>
      <c r="E41" s="171"/>
      <c r="F41" s="171"/>
      <c r="G41" s="171"/>
      <c r="H41" s="171"/>
      <c r="I41" s="171"/>
      <c r="J41" s="171"/>
      <c r="K41" s="171"/>
      <c r="L41" s="171"/>
      <c r="M41" s="171"/>
      <c r="N41" s="171"/>
      <c r="O41" s="171"/>
      <c r="P41" s="171"/>
      <c r="Q41" s="171"/>
      <c r="R41" s="171"/>
      <c r="S41" s="171"/>
      <c r="T41" s="171"/>
      <c r="U41" s="171"/>
      <c r="V41" s="171"/>
      <c r="W41" s="171"/>
      <c r="X41" s="171"/>
      <c r="Y41" s="171"/>
      <c r="AA41" s="57" t="str">
        <f t="shared" si="37"/>
        <v/>
      </c>
      <c r="AB41" s="57" t="str">
        <f t="shared" si="38"/>
        <v/>
      </c>
      <c r="AC41" s="57" t="str">
        <f t="shared" si="39"/>
        <v/>
      </c>
      <c r="AD41" s="57" t="str">
        <f t="shared" si="40"/>
        <v/>
      </c>
      <c r="AE41" s="57" t="str">
        <f t="shared" si="41"/>
        <v/>
      </c>
    </row>
    <row r="42" spans="2:42" ht="15.75" hidden="1" customHeight="1" outlineLevel="1">
      <c r="B42" s="8" t="s">
        <v>272</v>
      </c>
      <c r="D42" s="176"/>
      <c r="E42" s="171"/>
      <c r="F42" s="171"/>
      <c r="G42" s="171"/>
      <c r="H42" s="171"/>
      <c r="I42" s="171"/>
      <c r="J42" s="171"/>
      <c r="K42" s="171"/>
      <c r="L42" s="171"/>
      <c r="M42" s="171"/>
      <c r="N42" s="171"/>
      <c r="O42" s="171"/>
      <c r="P42" s="171"/>
      <c r="Q42" s="171"/>
      <c r="R42" s="171"/>
      <c r="S42" s="171"/>
      <c r="T42" s="171"/>
      <c r="U42" s="171"/>
      <c r="V42" s="171"/>
      <c r="W42" s="171"/>
      <c r="X42" s="171"/>
      <c r="Y42" s="171"/>
      <c r="AA42" s="57" t="str">
        <f t="shared" si="37"/>
        <v/>
      </c>
      <c r="AB42" s="57" t="str">
        <f t="shared" si="38"/>
        <v/>
      </c>
      <c r="AC42" s="57" t="str">
        <f t="shared" si="39"/>
        <v/>
      </c>
      <c r="AD42" s="57" t="str">
        <f t="shared" si="40"/>
        <v/>
      </c>
      <c r="AE42" s="57" t="str">
        <f t="shared" si="41"/>
        <v/>
      </c>
    </row>
    <row r="43" spans="2:42" ht="15.75" hidden="1" customHeight="1" outlineLevel="1">
      <c r="B43" s="8" t="s">
        <v>60</v>
      </c>
      <c r="D43" s="176"/>
      <c r="E43" s="171"/>
      <c r="F43" s="171"/>
      <c r="G43" s="171"/>
      <c r="H43" s="171"/>
      <c r="I43" s="171"/>
      <c r="J43" s="171"/>
      <c r="K43" s="171"/>
      <c r="L43" s="171"/>
      <c r="M43" s="171"/>
      <c r="N43" s="171"/>
      <c r="O43" s="171"/>
      <c r="P43" s="171"/>
      <c r="Q43" s="171"/>
      <c r="R43" s="171"/>
      <c r="S43" s="171"/>
      <c r="T43" s="171"/>
      <c r="U43" s="171"/>
      <c r="V43" s="171"/>
      <c r="W43" s="171"/>
      <c r="X43" s="171"/>
      <c r="Y43" s="171"/>
      <c r="AA43" s="57" t="str">
        <f t="shared" si="37"/>
        <v/>
      </c>
      <c r="AB43" s="57" t="str">
        <f t="shared" si="38"/>
        <v/>
      </c>
      <c r="AC43" s="57" t="str">
        <f t="shared" si="39"/>
        <v/>
      </c>
      <c r="AD43" s="57" t="str">
        <f t="shared" si="40"/>
        <v/>
      </c>
      <c r="AE43" s="57" t="str">
        <f t="shared" si="41"/>
        <v/>
      </c>
    </row>
    <row r="44" spans="2:42" ht="15.75" customHeight="1" collapsed="1">
      <c r="B44" s="82" t="s">
        <v>273</v>
      </c>
      <c r="C44" s="82"/>
      <c r="D44" s="173">
        <f t="shared" ref="D44:Y44" si="42">SUM(D39:D43)</f>
        <v>0.6</v>
      </c>
      <c r="E44" s="173">
        <f t="shared" si="42"/>
        <v>0.7166646191646191</v>
      </c>
      <c r="F44" s="173">
        <f t="shared" si="42"/>
        <v>0.926566376042113</v>
      </c>
      <c r="G44" s="173">
        <f t="shared" si="42"/>
        <v>1.2849341979427207</v>
      </c>
      <c r="H44" s="173">
        <f t="shared" si="42"/>
        <v>1.8690204491976479</v>
      </c>
      <c r="I44" s="173">
        <f t="shared" si="42"/>
        <v>2.366197576106909</v>
      </c>
      <c r="J44" s="173">
        <f t="shared" si="42"/>
        <v>3.0126451665868283</v>
      </c>
      <c r="K44" s="173">
        <f t="shared" si="42"/>
        <v>3.836614888209418</v>
      </c>
      <c r="L44" s="173">
        <f t="shared" si="42"/>
        <v>4.8643904809339391</v>
      </c>
      <c r="M44" s="173">
        <f t="shared" si="42"/>
        <v>6.1168742394868811</v>
      </c>
      <c r="N44" s="173">
        <f t="shared" si="42"/>
        <v>7.6054808523769184</v>
      </c>
      <c r="O44" s="173">
        <f t="shared" si="42"/>
        <v>9.327677467582193</v>
      </c>
      <c r="P44" s="173">
        <f t="shared" si="42"/>
        <v>11.262706313416595</v>
      </c>
      <c r="Q44" s="173">
        <f t="shared" si="42"/>
        <v>13.417866599745986</v>
      </c>
      <c r="R44" s="173">
        <f t="shared" si="42"/>
        <v>16.32501118310827</v>
      </c>
      <c r="S44" s="173">
        <f t="shared" si="42"/>
        <v>20.168842890165209</v>
      </c>
      <c r="T44" s="173">
        <f t="shared" si="42"/>
        <v>25.173867931895213</v>
      </c>
      <c r="U44" s="173">
        <f t="shared" si="42"/>
        <v>31.612575293929115</v>
      </c>
      <c r="V44" s="173">
        <f t="shared" si="42"/>
        <v>39.815268045250505</v>
      </c>
      <c r="W44" s="173">
        <f t="shared" si="42"/>
        <v>50.181878100914567</v>
      </c>
      <c r="X44" s="173">
        <f t="shared" si="42"/>
        <v>63.196162363373261</v>
      </c>
      <c r="Y44" s="173">
        <f t="shared" si="42"/>
        <v>79.442757839488976</v>
      </c>
      <c r="Z44" s="201"/>
      <c r="AA44" s="203">
        <f t="shared" si="37"/>
        <v>0.19444103194103191</v>
      </c>
      <c r="AB44" s="203">
        <f t="shared" si="38"/>
        <v>0.3085775203598633</v>
      </c>
      <c r="AC44" s="203">
        <f t="shared" si="39"/>
        <v>0.28330325935541767</v>
      </c>
      <c r="AD44" s="203">
        <f t="shared" si="40"/>
        <v>0.26306272525693042</v>
      </c>
      <c r="AE44" s="84">
        <f t="shared" si="41"/>
        <v>0.26195248433534157</v>
      </c>
    </row>
    <row r="45" spans="2:42" ht="3.75" customHeight="1">
      <c r="B45" s="66"/>
      <c r="C45" s="66"/>
      <c r="D45" s="177"/>
      <c r="E45" s="177"/>
      <c r="F45" s="177"/>
      <c r="G45" s="177"/>
      <c r="H45" s="177"/>
      <c r="I45" s="177"/>
      <c r="J45" s="177"/>
      <c r="K45" s="177"/>
      <c r="L45" s="177"/>
      <c r="M45" s="177"/>
      <c r="N45" s="177"/>
      <c r="O45" s="177"/>
      <c r="P45" s="177"/>
      <c r="Q45" s="177"/>
      <c r="R45" s="177"/>
      <c r="S45" s="177"/>
      <c r="T45" s="177"/>
      <c r="U45" s="177"/>
      <c r="V45" s="177"/>
      <c r="W45" s="177"/>
      <c r="X45" s="177"/>
      <c r="Y45" s="177"/>
      <c r="AA45" s="86"/>
      <c r="AB45" s="86"/>
      <c r="AC45" s="86"/>
      <c r="AD45" s="86"/>
      <c r="AE45" s="86"/>
    </row>
    <row r="46" spans="2:42" ht="15.75" hidden="1" customHeight="1" outlineLevel="1">
      <c r="B46" s="8" t="s">
        <v>274</v>
      </c>
      <c r="D46" s="171">
        <f>D6</f>
        <v>-34</v>
      </c>
      <c r="E46" s="171">
        <f t="shared" ref="E46:Y46" si="43">D48</f>
        <v>-36</v>
      </c>
      <c r="F46" s="171">
        <f t="shared" si="43"/>
        <v>-38.250500000000002</v>
      </c>
      <c r="G46" s="171">
        <f t="shared" si="43"/>
        <v>-40.504510000000003</v>
      </c>
      <c r="H46" s="171">
        <f t="shared" si="43"/>
        <v>-42.764682875000005</v>
      </c>
      <c r="I46" s="171">
        <f t="shared" si="43"/>
        <v>-45.037864408750004</v>
      </c>
      <c r="J46" s="171">
        <f t="shared" si="43"/>
        <v>-46.91993830678625</v>
      </c>
      <c r="K46" s="171">
        <f t="shared" si="43"/>
        <v>-48.67393963259007</v>
      </c>
      <c r="L46" s="171">
        <f t="shared" si="43"/>
        <v>-50.27319578247787</v>
      </c>
      <c r="M46" s="171">
        <f t="shared" si="43"/>
        <v>-51.688202751079302</v>
      </c>
      <c r="N46" s="171">
        <f t="shared" si="43"/>
        <v>-52.886379399795075</v>
      </c>
      <c r="O46" s="171">
        <f t="shared" si="43"/>
        <v>-53.831802309087259</v>
      </c>
      <c r="P46" s="171">
        <f t="shared" si="43"/>
        <v>-54.484919755895078</v>
      </c>
      <c r="Q46" s="171">
        <f t="shared" si="43"/>
        <v>-54.802243250992682</v>
      </c>
      <c r="R46" s="171">
        <f t="shared" si="43"/>
        <v>-54.785686177491286</v>
      </c>
      <c r="S46" s="171">
        <f t="shared" si="43"/>
        <v>-54.660579357761939</v>
      </c>
      <c r="T46" s="171">
        <f t="shared" si="43"/>
        <v>-54.415437460388773</v>
      </c>
      <c r="U46" s="171">
        <f t="shared" si="43"/>
        <v>-54.037819283622156</v>
      </c>
      <c r="V46" s="171">
        <f t="shared" si="43"/>
        <v>-53.514254799867253</v>
      </c>
      <c r="W46" s="171">
        <f t="shared" si="43"/>
        <v>-52.830166851777065</v>
      </c>
      <c r="X46" s="171">
        <f t="shared" si="43"/>
        <v>-51.96978711590436</v>
      </c>
      <c r="Y46" s="171">
        <f t="shared" si="43"/>
        <v>-50.916065922597241</v>
      </c>
      <c r="AA46" s="57">
        <f>IFERROR((E46/D46)-1,"")</f>
        <v>5.8823529411764719E-2</v>
      </c>
      <c r="AB46" s="57">
        <f>IFERROR((J46/D46)^(1/6)-1,"")</f>
        <v>5.5147285245253475E-2</v>
      </c>
      <c r="AC46" s="57">
        <f>IFERROR((O46/D46)^(1/11)-1,"")</f>
        <v>4.2657852827477694E-2</v>
      </c>
      <c r="AD46" s="57">
        <f>IFERROR((T46/D46)^(1/16)-1,"")</f>
        <v>2.9829197030312393E-2</v>
      </c>
      <c r="AE46" s="57">
        <f>IFERROR((Y46/D46)^(1/21)-1,"")</f>
        <v>1.9415504159090657E-2</v>
      </c>
      <c r="AG46" s="57">
        <f t="shared" ref="AG46:AG47" si="44">D40/D$44</f>
        <v>1</v>
      </c>
      <c r="AH46" s="57">
        <f t="shared" ref="AH46:AH47" si="45">Y40/Y$44</f>
        <v>1.4616703682797423E-2</v>
      </c>
      <c r="AL46" s="166"/>
      <c r="AM46" s="166"/>
      <c r="AN46" s="166"/>
      <c r="AO46" s="166"/>
      <c r="AP46" s="178"/>
    </row>
    <row r="47" spans="2:42" ht="15.75" hidden="1" customHeight="1" outlineLevel="1">
      <c r="B47" s="98" t="s">
        <v>177</v>
      </c>
      <c r="C47" s="98"/>
      <c r="D47" s="171">
        <f t="shared" ref="D47:Y47" si="46">-D36</f>
        <v>-2</v>
      </c>
      <c r="E47" s="171">
        <f t="shared" si="46"/>
        <v>-2.2505000000000011</v>
      </c>
      <c r="F47" s="171">
        <f t="shared" si="46"/>
        <v>-2.254010000000001</v>
      </c>
      <c r="G47" s="171">
        <f t="shared" si="46"/>
        <v>-2.2601728750000003</v>
      </c>
      <c r="H47" s="171">
        <f t="shared" si="46"/>
        <v>-2.2731815337500003</v>
      </c>
      <c r="I47" s="171">
        <f t="shared" si="46"/>
        <v>-1.8820738980362497</v>
      </c>
      <c r="J47" s="171">
        <f t="shared" si="46"/>
        <v>-1.7540013258038181</v>
      </c>
      <c r="K47" s="171">
        <f t="shared" si="46"/>
        <v>-1.5992561498878</v>
      </c>
      <c r="L47" s="171">
        <f t="shared" si="46"/>
        <v>-1.4150069686014295</v>
      </c>
      <c r="M47" s="171">
        <f t="shared" si="46"/>
        <v>-1.1981766487157761</v>
      </c>
      <c r="N47" s="171">
        <f t="shared" si="46"/>
        <v>-0.94542290929218464</v>
      </c>
      <c r="O47" s="171">
        <f t="shared" si="46"/>
        <v>-0.6531174468078178</v>
      </c>
      <c r="P47" s="171">
        <f t="shared" si="46"/>
        <v>-0.3173234950976056</v>
      </c>
      <c r="Q47" s="171">
        <f t="shared" si="46"/>
        <v>1.6557073501392246E-2</v>
      </c>
      <c r="R47" s="171">
        <f t="shared" si="46"/>
        <v>0.12510681972934456</v>
      </c>
      <c r="S47" s="171">
        <f t="shared" si="46"/>
        <v>0.24514189737316794</v>
      </c>
      <c r="T47" s="171">
        <f t="shared" si="46"/>
        <v>0.37761817676661513</v>
      </c>
      <c r="U47" s="171">
        <f t="shared" si="46"/>
        <v>0.5235644837549025</v>
      </c>
      <c r="V47" s="171">
        <f t="shared" si="46"/>
        <v>0.68408794809018447</v>
      </c>
      <c r="W47" s="171">
        <f t="shared" si="46"/>
        <v>0.86037973587270589</v>
      </c>
      <c r="X47" s="171">
        <f t="shared" si="46"/>
        <v>1.0537211933071156</v>
      </c>
      <c r="Y47" s="171">
        <f t="shared" si="46"/>
        <v>1.265490430967771</v>
      </c>
      <c r="AG47" s="57">
        <f t="shared" si="44"/>
        <v>0</v>
      </c>
      <c r="AH47" s="57">
        <f t="shared" si="45"/>
        <v>0</v>
      </c>
      <c r="AL47" s="157"/>
      <c r="AM47" s="157"/>
      <c r="AN47" s="157"/>
      <c r="AO47" s="157"/>
      <c r="AP47" s="157"/>
    </row>
    <row r="48" spans="2:42" ht="15.75" customHeight="1" collapsed="1">
      <c r="B48" s="204" t="s">
        <v>275</v>
      </c>
      <c r="C48" s="204"/>
      <c r="D48" s="250">
        <f t="shared" ref="D48:Y48" si="47">SUM(D46:D47)</f>
        <v>-36</v>
      </c>
      <c r="E48" s="250">
        <f t="shared" si="47"/>
        <v>-38.250500000000002</v>
      </c>
      <c r="F48" s="250">
        <f t="shared" si="47"/>
        <v>-40.504510000000003</v>
      </c>
      <c r="G48" s="250">
        <f t="shared" si="47"/>
        <v>-42.764682875000005</v>
      </c>
      <c r="H48" s="250">
        <f t="shared" si="47"/>
        <v>-45.037864408750004</v>
      </c>
      <c r="I48" s="250">
        <f t="shared" si="47"/>
        <v>-46.91993830678625</v>
      </c>
      <c r="J48" s="250">
        <f t="shared" si="47"/>
        <v>-48.67393963259007</v>
      </c>
      <c r="K48" s="250">
        <f t="shared" si="47"/>
        <v>-50.27319578247787</v>
      </c>
      <c r="L48" s="250">
        <f t="shared" si="47"/>
        <v>-51.688202751079302</v>
      </c>
      <c r="M48" s="250">
        <f t="shared" si="47"/>
        <v>-52.886379399795075</v>
      </c>
      <c r="N48" s="250">
        <f t="shared" si="47"/>
        <v>-53.831802309087259</v>
      </c>
      <c r="O48" s="250">
        <f t="shared" si="47"/>
        <v>-54.484919755895078</v>
      </c>
      <c r="P48" s="250">
        <f t="shared" si="47"/>
        <v>-54.802243250992682</v>
      </c>
      <c r="Q48" s="250">
        <f t="shared" si="47"/>
        <v>-54.785686177491286</v>
      </c>
      <c r="R48" s="250">
        <f t="shared" si="47"/>
        <v>-54.660579357761939</v>
      </c>
      <c r="S48" s="250">
        <f t="shared" si="47"/>
        <v>-54.415437460388773</v>
      </c>
      <c r="T48" s="250">
        <f t="shared" si="47"/>
        <v>-54.037819283622156</v>
      </c>
      <c r="U48" s="250">
        <f t="shared" si="47"/>
        <v>-53.514254799867253</v>
      </c>
      <c r="V48" s="250">
        <f t="shared" si="47"/>
        <v>-52.830166851777065</v>
      </c>
      <c r="W48" s="250">
        <f t="shared" si="47"/>
        <v>-51.96978711590436</v>
      </c>
      <c r="X48" s="250">
        <f t="shared" si="47"/>
        <v>-50.916065922597241</v>
      </c>
      <c r="Y48" s="250">
        <f t="shared" si="47"/>
        <v>-49.650575491629468</v>
      </c>
      <c r="Z48" s="66"/>
      <c r="AA48" s="86">
        <f>IFERROR((E48/D48)-1,"")</f>
        <v>6.251388888888898E-2</v>
      </c>
      <c r="AB48" s="86">
        <f>IFERROR((J48/D48)^(1/6)-1,"")</f>
        <v>5.1555824032528452E-2</v>
      </c>
      <c r="AC48" s="86">
        <f>IFERROR((O48/D48)^(1/11)-1,"")</f>
        <v>3.8391814282851655E-2</v>
      </c>
      <c r="AD48" s="86">
        <f>IFERROR((T48/D48)^(1/16)-1,"")</f>
        <v>2.5710277487090316E-2</v>
      </c>
      <c r="AE48" s="206">
        <f>IFERROR((Y48/D48)^(1/21)-1,"")</f>
        <v>1.5426881803173975E-2</v>
      </c>
      <c r="AG48" s="57" t="e">
        <f>#REF!/D$44</f>
        <v>#REF!</v>
      </c>
      <c r="AH48" s="57" t="e">
        <f>#REF!/Y$44</f>
        <v>#REF!</v>
      </c>
      <c r="AL48" s="157"/>
      <c r="AM48" s="157"/>
      <c r="AN48" s="157"/>
      <c r="AO48" s="157"/>
      <c r="AP48" s="157"/>
    </row>
    <row r="49" spans="2:42" ht="15.75" customHeight="1">
      <c r="B49" s="74" t="s">
        <v>155</v>
      </c>
      <c r="C49" s="74"/>
      <c r="D49" s="132" t="str">
        <f t="shared" ref="D49:Y49" si="48">IFERROR(-D48/D39,"NM")</f>
        <v>NM</v>
      </c>
      <c r="E49" s="132">
        <f t="shared" si="48"/>
        <v>392.31282051282051</v>
      </c>
      <c r="F49" s="132">
        <f t="shared" si="48"/>
        <v>140.82402433724468</v>
      </c>
      <c r="G49" s="132">
        <f t="shared" si="48"/>
        <v>68.359576396069698</v>
      </c>
      <c r="H49" s="132">
        <f t="shared" si="48"/>
        <v>37.89119439324233</v>
      </c>
      <c r="I49" s="132">
        <f t="shared" si="48"/>
        <v>28.196155876532895</v>
      </c>
      <c r="J49" s="132">
        <f t="shared" si="48"/>
        <v>21.272879075328859</v>
      </c>
      <c r="K49" s="132">
        <f t="shared" si="48"/>
        <v>16.275430962359732</v>
      </c>
      <c r="L49" s="132">
        <f t="shared" si="48"/>
        <v>12.629075426475856</v>
      </c>
      <c r="M49" s="132">
        <f t="shared" si="48"/>
        <v>9.9398678246791796</v>
      </c>
      <c r="N49" s="132">
        <f t="shared" si="48"/>
        <v>7.9353394406946469</v>
      </c>
      <c r="O49" s="132">
        <f t="shared" si="48"/>
        <v>6.4252923233677706</v>
      </c>
      <c r="P49" s="132">
        <f t="shared" si="48"/>
        <v>5.2756845858509065</v>
      </c>
      <c r="Q49" s="132">
        <f t="shared" si="48"/>
        <v>4.3776316743665031</v>
      </c>
      <c r="R49" s="132">
        <f t="shared" si="48"/>
        <v>3.5509521010538858</v>
      </c>
      <c r="S49" s="132">
        <f t="shared" si="48"/>
        <v>2.8330621110265906</v>
      </c>
      <c r="T49" s="132">
        <f t="shared" si="48"/>
        <v>2.2346669075092938</v>
      </c>
      <c r="U49" s="132">
        <f t="shared" si="48"/>
        <v>1.7494829169236037</v>
      </c>
      <c r="V49" s="132">
        <f t="shared" si="48"/>
        <v>1.3630566799106469</v>
      </c>
      <c r="W49" s="132">
        <f t="shared" si="48"/>
        <v>1.0586319823396801</v>
      </c>
      <c r="X49" s="132">
        <f t="shared" si="48"/>
        <v>0.82028866130492373</v>
      </c>
      <c r="Y49" s="132">
        <f t="shared" si="48"/>
        <v>0.6342562835090696</v>
      </c>
      <c r="AA49" s="57"/>
      <c r="AB49" s="57"/>
      <c r="AC49" s="57"/>
      <c r="AD49" s="57"/>
      <c r="AE49" s="57"/>
      <c r="AG49" s="57">
        <f>D42/D$44</f>
        <v>0</v>
      </c>
      <c r="AH49" s="57">
        <f>Y42/Y$44</f>
        <v>0</v>
      </c>
      <c r="AL49" s="157"/>
      <c r="AM49" s="157"/>
      <c r="AN49" s="157"/>
      <c r="AO49" s="157"/>
      <c r="AP49" s="157"/>
    </row>
    <row r="50" spans="2:42" ht="3.75" customHeight="1">
      <c r="B50" s="66"/>
      <c r="C50" s="66"/>
      <c r="D50" s="177"/>
      <c r="E50" s="179"/>
      <c r="F50" s="179"/>
      <c r="G50" s="179"/>
      <c r="H50" s="179"/>
      <c r="I50" s="179"/>
      <c r="J50" s="179"/>
      <c r="K50" s="179"/>
      <c r="L50" s="179"/>
      <c r="M50" s="179"/>
      <c r="N50" s="179"/>
      <c r="O50" s="179"/>
      <c r="P50" s="179"/>
      <c r="Q50" s="179"/>
      <c r="R50" s="179"/>
      <c r="S50" s="179"/>
      <c r="T50" s="179"/>
      <c r="U50" s="179"/>
      <c r="V50" s="179"/>
      <c r="W50" s="179"/>
      <c r="X50" s="179"/>
      <c r="Y50" s="179"/>
      <c r="AA50" s="57"/>
      <c r="AB50" s="57"/>
      <c r="AC50" s="57"/>
      <c r="AD50" s="57"/>
      <c r="AE50" s="57"/>
    </row>
    <row r="51" spans="2:42" ht="15.75" customHeight="1">
      <c r="B51" s="82" t="s">
        <v>276</v>
      </c>
      <c r="C51" s="82"/>
      <c r="D51" s="173">
        <f t="shared" ref="D51:Y51" si="49">D44+D48</f>
        <v>-35.4</v>
      </c>
      <c r="E51" s="173">
        <f t="shared" si="49"/>
        <v>-37.533835380835384</v>
      </c>
      <c r="F51" s="173">
        <f t="shared" si="49"/>
        <v>-39.577943623957893</v>
      </c>
      <c r="G51" s="173">
        <f t="shared" si="49"/>
        <v>-41.479748677057287</v>
      </c>
      <c r="H51" s="173">
        <f t="shared" si="49"/>
        <v>-43.168843959552355</v>
      </c>
      <c r="I51" s="173">
        <f t="shared" si="49"/>
        <v>-44.553740730679344</v>
      </c>
      <c r="J51" s="173">
        <f t="shared" si="49"/>
        <v>-45.661294466003241</v>
      </c>
      <c r="K51" s="173">
        <f t="shared" si="49"/>
        <v>-46.436580894268452</v>
      </c>
      <c r="L51" s="173">
        <f t="shared" si="49"/>
        <v>-46.823812270145361</v>
      </c>
      <c r="M51" s="173">
        <f t="shared" si="49"/>
        <v>-46.769505160308192</v>
      </c>
      <c r="N51" s="173">
        <f t="shared" si="49"/>
        <v>-46.226321456710338</v>
      </c>
      <c r="O51" s="173">
        <f t="shared" si="49"/>
        <v>-45.157242288312887</v>
      </c>
      <c r="P51" s="173">
        <f t="shared" si="49"/>
        <v>-43.539536937576088</v>
      </c>
      <c r="Q51" s="173">
        <f t="shared" si="49"/>
        <v>-41.367819577745301</v>
      </c>
      <c r="R51" s="173">
        <f t="shared" si="49"/>
        <v>-38.335568174653673</v>
      </c>
      <c r="S51" s="173">
        <f t="shared" si="49"/>
        <v>-34.246594570223564</v>
      </c>
      <c r="T51" s="173">
        <f t="shared" si="49"/>
        <v>-28.863951351726943</v>
      </c>
      <c r="U51" s="173">
        <f t="shared" si="49"/>
        <v>-21.901679505938137</v>
      </c>
      <c r="V51" s="173">
        <f t="shared" si="49"/>
        <v>-13.01489880652656</v>
      </c>
      <c r="W51" s="173">
        <f t="shared" si="49"/>
        <v>-1.7879090149897934</v>
      </c>
      <c r="X51" s="173">
        <f t="shared" si="49"/>
        <v>12.28009644077602</v>
      </c>
      <c r="Y51" s="173">
        <f t="shared" si="49"/>
        <v>29.792182347859509</v>
      </c>
      <c r="Z51" s="201"/>
      <c r="AA51" s="203">
        <f>IFERROR((E51/D51)-1,"")</f>
        <v>6.0277835616818765E-2</v>
      </c>
      <c r="AB51" s="203">
        <f>IFERROR((J51/D51)^(1/6)-1,"")</f>
        <v>4.3335919997392613E-2</v>
      </c>
      <c r="AC51" s="203">
        <f>IFERROR((O51/D51)^(1/11)-1,"")</f>
        <v>2.2377507527726603E-2</v>
      </c>
      <c r="AD51" s="203">
        <f>IFERROR((T51/D51)^(1/16)-1,"")</f>
        <v>-1.2676366954988194E-2</v>
      </c>
      <c r="AE51" s="84"/>
    </row>
    <row r="52" spans="2:42" ht="15.75" customHeight="1"/>
    <row r="53" spans="2:42" ht="15.75" hidden="1" customHeight="1" outlineLevel="1">
      <c r="B53" s="66" t="s">
        <v>277</v>
      </c>
      <c r="C53" s="66"/>
      <c r="E53" s="171"/>
      <c r="F53" s="171"/>
      <c r="G53" s="171"/>
      <c r="H53" s="171"/>
      <c r="I53" s="171"/>
      <c r="J53" s="171"/>
      <c r="K53" s="171"/>
      <c r="L53" s="171"/>
      <c r="M53" s="171"/>
      <c r="N53" s="171"/>
      <c r="O53" s="171"/>
      <c r="P53" s="171"/>
      <c r="Q53" s="171"/>
      <c r="R53" s="171"/>
      <c r="S53" s="171"/>
      <c r="T53" s="171"/>
      <c r="U53" s="171"/>
      <c r="V53" s="171"/>
      <c r="W53" s="171"/>
      <c r="X53" s="171"/>
      <c r="Y53" s="171"/>
    </row>
    <row r="54" spans="2:42" ht="15.75" hidden="1" customHeight="1" outlineLevel="1">
      <c r="B54" s="98" t="s">
        <v>278</v>
      </c>
      <c r="C54" s="98"/>
      <c r="E54" s="171">
        <f>D39*Macro!D52</f>
        <v>0</v>
      </c>
      <c r="F54" s="171">
        <f>E39*Macro!E52</f>
        <v>4.63125E-2</v>
      </c>
      <c r="G54" s="171">
        <f>F39*Macro!F52</f>
        <v>0.12943125</v>
      </c>
      <c r="H54" s="171">
        <f>G39*Macro!G52</f>
        <v>0.2658733593749999</v>
      </c>
      <c r="I54" s="171">
        <f>H39*Macro!H52</f>
        <v>0.47544412499999983</v>
      </c>
      <c r="J54" s="171">
        <f>I39*Macro!I52</f>
        <v>0.62402041406249964</v>
      </c>
      <c r="K54" s="171">
        <f>J39*Macro!J52</f>
        <v>0.80082619804687438</v>
      </c>
      <c r="L54" s="171">
        <f>K39*Macro!K52</f>
        <v>1.0038928411230459</v>
      </c>
      <c r="M54" s="171">
        <f>L39*Macro!L52</f>
        <v>1.2278381672197249</v>
      </c>
      <c r="N54" s="171">
        <f>M39*Macro!M52</f>
        <v>1.4631738159368384</v>
      </c>
      <c r="O54" s="171">
        <f>N39*Macro!N52</f>
        <v>1.6959514684722443</v>
      </c>
      <c r="P54" s="171">
        <f>O39*Macro!O52</f>
        <v>1.9079454020312745</v>
      </c>
      <c r="Q54" s="171">
        <f>P39*Macro!P52</f>
        <v>2.0775405488785004</v>
      </c>
      <c r="R54" s="171">
        <f>Q39*Macro!Q52</f>
        <v>2.5029829027550359</v>
      </c>
      <c r="S54" s="171">
        <f>R39*Macro!R52</f>
        <v>3.0786435751436496</v>
      </c>
      <c r="T54" s="171">
        <f>S39*Macro!S52</f>
        <v>3.8414574285962804</v>
      </c>
      <c r="U54" s="171">
        <f>T39*Macro!T52</f>
        <v>4.8363198203755049</v>
      </c>
      <c r="V54" s="171">
        <f>U39*Macro!U52</f>
        <v>6.1177224747035481</v>
      </c>
      <c r="W54" s="171">
        <f>V39*Macro!V52</f>
        <v>7.7517197384983678</v>
      </c>
      <c r="X54" s="171">
        <f>W39*Macro!W52</f>
        <v>9.8182915277216658</v>
      </c>
      <c r="Y54" s="171">
        <f>X39*Macro!X52</f>
        <v>12.41418254925027</v>
      </c>
    </row>
    <row r="55" spans="2:42" ht="15.75" hidden="1" customHeight="1" outlineLevel="1">
      <c r="B55" s="98" t="s">
        <v>279</v>
      </c>
      <c r="C55" s="98"/>
      <c r="D55" s="171">
        <f t="shared" ref="D55:Y55" si="50">D31</f>
        <v>-2</v>
      </c>
      <c r="E55" s="171">
        <f t="shared" si="50"/>
        <v>-2.1530000000000009</v>
      </c>
      <c r="F55" s="171">
        <f t="shared" si="50"/>
        <v>-2.1101975000000008</v>
      </c>
      <c r="G55" s="171">
        <f t="shared" si="50"/>
        <v>-2.0516447500000004</v>
      </c>
      <c r="H55" s="171">
        <f t="shared" si="50"/>
        <v>-1.9760289556250004</v>
      </c>
      <c r="I55" s="171">
        <f t="shared" si="50"/>
        <v>-1.8820738980362497</v>
      </c>
      <c r="J55" s="171">
        <f t="shared" si="50"/>
        <v>-1.7540013258038181</v>
      </c>
      <c r="K55" s="171">
        <f t="shared" si="50"/>
        <v>-1.5992561498878</v>
      </c>
      <c r="L55" s="171">
        <f t="shared" si="50"/>
        <v>-1.4150069686014295</v>
      </c>
      <c r="M55" s="171">
        <f t="shared" si="50"/>
        <v>-1.1981766487157761</v>
      </c>
      <c r="N55" s="171">
        <f t="shared" si="50"/>
        <v>-0.94542290929218464</v>
      </c>
      <c r="O55" s="171">
        <f t="shared" si="50"/>
        <v>-0.6531174468078178</v>
      </c>
      <c r="P55" s="171">
        <f t="shared" si="50"/>
        <v>-0.3173234950976056</v>
      </c>
      <c r="Q55" s="171">
        <f t="shared" si="50"/>
        <v>6.6228294005568955E-2</v>
      </c>
      <c r="R55" s="171">
        <f t="shared" si="50"/>
        <v>0.50042727891737848</v>
      </c>
      <c r="S55" s="171">
        <f t="shared" si="50"/>
        <v>0.98056758949267131</v>
      </c>
      <c r="T55" s="171">
        <f t="shared" si="50"/>
        <v>1.5104727070664601</v>
      </c>
      <c r="U55" s="171">
        <f t="shared" si="50"/>
        <v>2.0942579350196109</v>
      </c>
      <c r="V55" s="171">
        <f t="shared" si="50"/>
        <v>2.7363517923607406</v>
      </c>
      <c r="W55" s="171">
        <f t="shared" si="50"/>
        <v>3.4415189434908244</v>
      </c>
      <c r="X55" s="171">
        <f t="shared" si="50"/>
        <v>4.2148847732284622</v>
      </c>
      <c r="Y55" s="171">
        <f t="shared" si="50"/>
        <v>5.0619617238710841</v>
      </c>
    </row>
    <row r="56" spans="2:42" ht="15.75" hidden="1" customHeight="1" outlineLevel="1">
      <c r="B56" s="201" t="s">
        <v>280</v>
      </c>
      <c r="C56" s="201"/>
      <c r="D56" s="249">
        <f t="shared" ref="D56:Y56" si="51">SUM(D54:D55)</f>
        <v>-2</v>
      </c>
      <c r="E56" s="249">
        <f t="shared" si="51"/>
        <v>-2.1530000000000009</v>
      </c>
      <c r="F56" s="249">
        <f t="shared" si="51"/>
        <v>-2.0638850000000009</v>
      </c>
      <c r="G56" s="249">
        <f t="shared" si="51"/>
        <v>-1.9222135000000002</v>
      </c>
      <c r="H56" s="249">
        <f t="shared" si="51"/>
        <v>-1.7101555962500004</v>
      </c>
      <c r="I56" s="249">
        <f t="shared" si="51"/>
        <v>-1.4066297730362498</v>
      </c>
      <c r="J56" s="249">
        <f t="shared" si="51"/>
        <v>-1.1299809117413184</v>
      </c>
      <c r="K56" s="249">
        <f t="shared" si="51"/>
        <v>-0.79842995184092558</v>
      </c>
      <c r="L56" s="249">
        <f t="shared" si="51"/>
        <v>-0.41111412747838361</v>
      </c>
      <c r="M56" s="249">
        <f t="shared" si="51"/>
        <v>2.9661518503948825E-2</v>
      </c>
      <c r="N56" s="249">
        <f t="shared" si="51"/>
        <v>0.51775090664465373</v>
      </c>
      <c r="O56" s="249">
        <f t="shared" si="51"/>
        <v>1.0428340216644265</v>
      </c>
      <c r="P56" s="249">
        <f t="shared" si="51"/>
        <v>1.5906219069336689</v>
      </c>
      <c r="Q56" s="249">
        <f t="shared" si="51"/>
        <v>2.1437688428840693</v>
      </c>
      <c r="R56" s="249">
        <f t="shared" si="51"/>
        <v>3.0034101816724146</v>
      </c>
      <c r="S56" s="249">
        <f t="shared" si="51"/>
        <v>4.0592111646363209</v>
      </c>
      <c r="T56" s="249">
        <f t="shared" si="51"/>
        <v>5.3519301356627409</v>
      </c>
      <c r="U56" s="249">
        <f t="shared" si="51"/>
        <v>6.9305777553951158</v>
      </c>
      <c r="V56" s="249">
        <f t="shared" si="51"/>
        <v>8.8540742670642878</v>
      </c>
      <c r="W56" s="249">
        <f t="shared" si="51"/>
        <v>11.193238681989193</v>
      </c>
      <c r="X56" s="249">
        <f t="shared" si="51"/>
        <v>14.033176300950128</v>
      </c>
      <c r="Y56" s="249">
        <f t="shared" si="51"/>
        <v>17.476144273121356</v>
      </c>
    </row>
    <row r="57" spans="2:42" ht="15.75" customHeight="1" collapsed="1">
      <c r="B57" s="272" t="s">
        <v>128</v>
      </c>
      <c r="C57" s="268"/>
      <c r="D57" s="268"/>
      <c r="E57" s="268"/>
      <c r="F57" s="268"/>
      <c r="G57" s="268"/>
      <c r="H57" s="268"/>
      <c r="I57" s="268"/>
      <c r="J57" s="268"/>
      <c r="K57" s="268"/>
      <c r="L57" s="268"/>
      <c r="M57" s="268"/>
      <c r="N57" s="268"/>
      <c r="O57" s="268"/>
      <c r="P57" s="268"/>
      <c r="Q57" s="268"/>
      <c r="R57" s="268"/>
      <c r="S57" s="268"/>
      <c r="T57" s="268"/>
      <c r="U57" s="268"/>
      <c r="V57" s="268"/>
      <c r="W57" s="268"/>
      <c r="X57" s="268"/>
      <c r="Y57" s="268"/>
      <c r="Z57" s="268"/>
      <c r="AA57" s="268"/>
      <c r="AB57" s="268"/>
      <c r="AC57" s="268"/>
      <c r="AD57" s="268"/>
      <c r="AE57" s="268"/>
      <c r="AF57" s="268"/>
      <c r="AG57" s="268"/>
      <c r="AH57" s="268"/>
      <c r="AI57" s="268"/>
      <c r="AJ57" s="268"/>
      <c r="AK57" s="268"/>
      <c r="AL57" s="268"/>
      <c r="AM57" s="268"/>
      <c r="AN57" s="268"/>
    </row>
    <row r="58" spans="2:42" ht="15.75" customHeight="1"/>
    <row r="59" spans="2:42" ht="15.75" customHeight="1"/>
    <row r="60" spans="2:42" ht="15.75" customHeight="1"/>
    <row r="61" spans="2:42" ht="15.75" customHeight="1"/>
    <row r="62" spans="2:42" ht="15.75" customHeight="1"/>
    <row r="63" spans="2:42" ht="15.75" customHeight="1"/>
    <row r="64" spans="2:4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spans="2:40" ht="15.75" customHeight="1"/>
    <row r="82" spans="2:40" ht="15.75" customHeight="1"/>
    <row r="83" spans="2:40" ht="15.75" customHeight="1"/>
    <row r="84" spans="2:40" ht="15.75" customHeight="1"/>
    <row r="85" spans="2:40" ht="15.75" customHeight="1"/>
    <row r="86" spans="2:40" ht="15.75" customHeight="1"/>
    <row r="87" spans="2:40" ht="15.75" customHeight="1">
      <c r="B87" s="272" t="s">
        <v>129</v>
      </c>
      <c r="C87" s="268"/>
      <c r="D87" s="268"/>
      <c r="E87" s="268"/>
      <c r="F87" s="268"/>
      <c r="G87" s="268"/>
      <c r="H87" s="268"/>
      <c r="I87" s="268"/>
      <c r="J87" s="268"/>
      <c r="K87" s="268"/>
      <c r="L87" s="268"/>
      <c r="M87" s="268"/>
      <c r="N87" s="268"/>
      <c r="O87" s="268"/>
      <c r="P87" s="268"/>
      <c r="Q87" s="268"/>
      <c r="R87" s="268"/>
      <c r="S87" s="268"/>
      <c r="T87" s="268"/>
      <c r="U87" s="268"/>
      <c r="V87" s="268"/>
      <c r="W87" s="268"/>
      <c r="X87" s="268"/>
      <c r="Y87" s="268"/>
      <c r="Z87" s="268"/>
      <c r="AA87" s="268"/>
      <c r="AB87" s="268"/>
      <c r="AC87" s="268"/>
      <c r="AD87" s="268"/>
      <c r="AE87" s="268"/>
      <c r="AF87" s="268"/>
      <c r="AG87" s="268"/>
      <c r="AH87" s="268"/>
      <c r="AI87" s="268"/>
      <c r="AJ87" s="268"/>
      <c r="AK87" s="268"/>
      <c r="AL87" s="268"/>
      <c r="AM87" s="268"/>
      <c r="AN87" s="268"/>
    </row>
    <row r="88" spans="2:40" ht="15.75" customHeight="1"/>
    <row r="89" spans="2:40" ht="15.75" customHeight="1">
      <c r="C89" s="79">
        <f>$Y$51</f>
        <v>29.792182347859509</v>
      </c>
      <c r="D89" s="112">
        <f>$AE$44</f>
        <v>0.26195248433534157</v>
      </c>
      <c r="E89" s="161">
        <f>$Y$24</f>
        <v>5.8420971115518769</v>
      </c>
    </row>
    <row r="90" spans="2:40" ht="15.75" customHeight="1">
      <c r="B90" s="8" t="s">
        <v>3</v>
      </c>
      <c r="C90" s="79">
        <v>-30.394802272894253</v>
      </c>
      <c r="D90" s="112">
        <v>3.1941031941031817E-2</v>
      </c>
      <c r="E90" s="161">
        <v>0</v>
      </c>
    </row>
    <row r="91" spans="2:40" ht="15.75" customHeight="1">
      <c r="B91" s="8" t="s">
        <v>4</v>
      </c>
      <c r="C91" s="79">
        <v>-23.792021414621598</v>
      </c>
      <c r="D91" s="112">
        <v>0.13033183254111314</v>
      </c>
      <c r="E91" s="161">
        <v>0.5</v>
      </c>
    </row>
    <row r="92" spans="2:40" ht="15.75" customHeight="1">
      <c r="B92" s="8" t="s">
        <v>5</v>
      </c>
      <c r="C92" s="79">
        <v>-17.230478209606311</v>
      </c>
      <c r="D92" s="112">
        <v>0.16400256898794052</v>
      </c>
      <c r="E92" s="161">
        <v>1</v>
      </c>
    </row>
    <row r="93" spans="2:40" ht="15.75" customHeight="1">
      <c r="B93" s="8" t="s">
        <v>6</v>
      </c>
      <c r="C93" s="79">
        <v>1.1870932648287535</v>
      </c>
      <c r="D93" s="112">
        <v>0.22810780516230111</v>
      </c>
      <c r="E93" s="161">
        <v>3.2632025077939377</v>
      </c>
    </row>
    <row r="94" spans="2:40" ht="15.75" customHeight="1">
      <c r="B94" s="8" t="s">
        <v>7</v>
      </c>
      <c r="C94" s="79">
        <v>29.792182347859509</v>
      </c>
      <c r="D94" s="112">
        <v>0.26195248433534157</v>
      </c>
      <c r="E94" s="161">
        <v>5.8420971115518769</v>
      </c>
    </row>
    <row r="95" spans="2:40" ht="15.75" customHeight="1"/>
    <row r="96" spans="2:40" ht="15.75" customHeight="1"/>
    <row r="97" spans="27:27" ht="15.75" customHeight="1"/>
    <row r="98" spans="27:27" ht="15.75" customHeight="1"/>
    <row r="99" spans="27:27" ht="15.75" customHeight="1"/>
    <row r="100" spans="27:27" ht="15.75" customHeight="1"/>
    <row r="101" spans="27:27" ht="15.75" customHeight="1">
      <c r="AA101" s="188" t="s">
        <v>281</v>
      </c>
    </row>
    <row r="102" spans="27:27" ht="15.75" customHeight="1"/>
    <row r="103" spans="27:27" ht="15.75" customHeight="1"/>
    <row r="104" spans="27:27" ht="15.75" customHeight="1"/>
    <row r="105" spans="27:27" ht="15.75" customHeight="1"/>
    <row r="106" spans="27:27" ht="15.75" customHeight="1"/>
    <row r="107" spans="27:27" ht="15.75" customHeight="1"/>
    <row r="108" spans="27:27" ht="15.75" customHeight="1"/>
    <row r="109" spans="27:27" ht="15.75" customHeight="1"/>
    <row r="110" spans="27:27" ht="15.75" customHeight="1"/>
    <row r="111" spans="27:27" ht="15.75" customHeight="1"/>
    <row r="112" spans="27:2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57:AN57"/>
    <mergeCell ref="B87:AN87"/>
    <mergeCell ref="B3:AE3"/>
    <mergeCell ref="AJ3:AN3"/>
    <mergeCell ref="B14:AE14"/>
    <mergeCell ref="AA15:AE15"/>
    <mergeCell ref="AG15:AH15"/>
  </mergeCells>
  <conditionalFormatting sqref="D8:E8 J8 O8 T8">
    <cfRule type="expression" dxfId="0" priority="1">
      <formula>D8=$T$1</formula>
    </cfRule>
  </conditionalFormatting>
  <hyperlinks>
    <hyperlink ref="AJ1" location="SelectedCase" display="Base" xr:uid="{00000000-0004-0000-0800-000000000000}"/>
  </hyperlinks>
  <pageMargins left="0.7" right="0.7" top="0.75" bottom="0.75" header="0" footer="0"/>
  <pageSetup orientation="portrait"/>
  <drawing r:id="rId1"/>
  <legacyDrawing r:id="rId2"/>
  <extLs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Cover!$A$5:$E$5</xm:f>
          </x14:formula1>
          <xm:sqref>T1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ladogerdefi@gmail.com</cp:lastModifiedBy>
  <cp:revision/>
  <dcterms:created xsi:type="dcterms:W3CDTF">2024-10-29T05:07:20Z</dcterms:created>
  <dcterms:modified xsi:type="dcterms:W3CDTF">2025-01-16T02:37:23Z</dcterms:modified>
  <cp:category/>
  <cp:contentStatus/>
</cp:coreProperties>
</file>