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showInkAnnotation="0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USDA Crop Yearbooks/"/>
    </mc:Choice>
  </mc:AlternateContent>
  <xr:revisionPtr revIDLastSave="0" documentId="13_ncr:1_{F847ED0D-1708-9049-961D-F3F189D1C169}" xr6:coauthVersionLast="47" xr6:coauthVersionMax="47" xr10:uidLastSave="{00000000-0000-0000-0000-000000000000}"/>
  <bookViews>
    <workbookView xWindow="0" yWindow="1080" windowWidth="22500" windowHeight="10140" tabRatio="598" activeTab="6" xr2:uid="{00000000-000D-0000-FFFF-FFFF00000000}"/>
  </bookViews>
  <sheets>
    <sheet name="Contents" sheetId="100" r:id="rId1"/>
    <sheet name="tab01" sheetId="1" r:id="rId2"/>
    <sheet name="tab02" sheetId="2" r:id="rId3"/>
    <sheet name="tab3" sheetId="23" r:id="rId4"/>
    <sheet name="tab4" sheetId="22" r:id="rId5"/>
    <sheet name="tab5" sheetId="21" r:id="rId6"/>
    <sheet name="tab6" sheetId="28" r:id="rId7"/>
    <sheet name="tab7" sheetId="27" r:id="rId8"/>
    <sheet name="tab8" sheetId="26" r:id="rId9"/>
    <sheet name="tab 9" sheetId="20" r:id="rId10"/>
    <sheet name="tab 10" sheetId="70" r:id="rId11"/>
    <sheet name="tab 11" sheetId="5" r:id="rId12"/>
    <sheet name="tab 12" sheetId="6" r:id="rId13"/>
    <sheet name="tab 13" sheetId="15" r:id="rId14"/>
    <sheet name="tab 14" sheetId="14" r:id="rId15"/>
    <sheet name="tab 15" sheetId="13" r:id="rId16"/>
    <sheet name="tab 16" sheetId="18" r:id="rId17"/>
    <sheet name="tab 17" sheetId="17" r:id="rId18"/>
    <sheet name="tab 18" sheetId="39" r:id="rId19"/>
    <sheet name="tab 19" sheetId="38" r:id="rId20"/>
    <sheet name="tab20" sheetId="33" r:id="rId21"/>
    <sheet name="tab21" sheetId="32" r:id="rId22"/>
    <sheet name="tab22" sheetId="31" r:id="rId23"/>
    <sheet name="tab23" sheetId="16" r:id="rId24"/>
    <sheet name="tab24" sheetId="47" r:id="rId25"/>
    <sheet name="tab25" sheetId="46" r:id="rId26"/>
    <sheet name="tab26" sheetId="45" r:id="rId27"/>
    <sheet name="tab27" sheetId="10" r:id="rId28"/>
    <sheet name="tab28" sheetId="9" r:id="rId29"/>
    <sheet name="tab29" sheetId="8" r:id="rId30"/>
    <sheet name="tab30" sheetId="24" r:id="rId31"/>
    <sheet name="tab31" sheetId="3" r:id="rId32"/>
    <sheet name="tab32" sheetId="12" r:id="rId33"/>
    <sheet name="tab33(1)" sheetId="97" r:id="rId34"/>
    <sheet name="tab33(2)" sheetId="96" r:id="rId35"/>
    <sheet name="tab33(3)" sheetId="40" r:id="rId36"/>
    <sheet name="tab33(4)" sheetId="83" r:id="rId37"/>
    <sheet name="tab33(5)" sheetId="99" r:id="rId38"/>
    <sheet name="tab33(6)" sheetId="101" r:id="rId39"/>
    <sheet name="tab34" sheetId="53" r:id="rId40"/>
    <sheet name="tab35" sheetId="52" r:id="rId41"/>
    <sheet name="tab36" sheetId="51" r:id="rId42"/>
    <sheet name="tab37" sheetId="50" r:id="rId43"/>
    <sheet name="tab38" sheetId="64" r:id="rId44"/>
    <sheet name="tab39" sheetId="49" r:id="rId45"/>
    <sheet name="tab40" sheetId="48" r:id="rId46"/>
    <sheet name="tab41" sheetId="63" r:id="rId47"/>
    <sheet name="tab42" sheetId="62" r:id="rId48"/>
    <sheet name="tab43" sheetId="65" r:id="rId49"/>
    <sheet name="tab44" sheetId="61" r:id="rId50"/>
    <sheet name="tab45" sheetId="19" r:id="rId51"/>
    <sheet name="tab46" sheetId="60" r:id="rId52"/>
    <sheet name="tab47" sheetId="59" r:id="rId53"/>
    <sheet name="tab48" sheetId="58" r:id="rId54"/>
  </sheets>
  <definedNames>
    <definedName name="_xlnm.Print_Area" localSheetId="10">'tab 10'!$A$1:$J$48</definedName>
    <definedName name="_xlnm.Print_Area" localSheetId="11">'tab 11'!$A$1:$M$50</definedName>
    <definedName name="_xlnm.Print_Area" localSheetId="12">'tab 12'!$A$1:$P$46</definedName>
    <definedName name="_xlnm.Print_Area" localSheetId="13">'tab 13'!$A$1:$P$46</definedName>
    <definedName name="_xlnm.Print_Area" localSheetId="14">'tab 14'!$A$1:$P$46</definedName>
    <definedName name="_xlnm.Print_Area" localSheetId="15">'tab 15'!$A$1:$P$46</definedName>
    <definedName name="_xlnm.Print_Area" localSheetId="16">'tab 16'!$A$1:$F$45</definedName>
    <definedName name="_xlnm.Print_Area" localSheetId="17">'tab 17'!$A$1:$L$49</definedName>
    <definedName name="_xlnm.Print_Area" localSheetId="18">'tab 18'!$A$1:$M$49</definedName>
    <definedName name="_xlnm.Print_Area" localSheetId="19">'tab 19'!$A$1:$K$48</definedName>
    <definedName name="_xlnm.Print_Area" localSheetId="9">'tab 9'!$A$1:$P$128</definedName>
    <definedName name="_xlnm.Print_Area" localSheetId="1">'tab01'!$A$1:$D$98</definedName>
    <definedName name="_xlnm.Print_Area" localSheetId="2">'tab02'!$A$1:$H$69</definedName>
    <definedName name="_xlnm.Print_Area" localSheetId="20">'tab20'!$A$1:$N$46</definedName>
    <definedName name="_xlnm.Print_Area" localSheetId="21">'tab21'!$A$1:$M$49</definedName>
    <definedName name="_xlnm.Print_Area" localSheetId="22">'tab22'!$A$1:$K$48</definedName>
    <definedName name="_xlnm.Print_Area" localSheetId="23">'tab23'!$A$1:$L$49</definedName>
    <definedName name="_xlnm.Print_Area" localSheetId="24">'tab24'!$A$1:$S$37</definedName>
    <definedName name="_xlnm.Print_Area" localSheetId="25">'tab25'!$A$1:$L$37</definedName>
    <definedName name="_xlnm.Print_Area" localSheetId="26">'tab26'!$A$1:$L$37</definedName>
    <definedName name="_xlnm.Print_Area" localSheetId="27">'tab27'!$A$1:$F$45</definedName>
    <definedName name="_xlnm.Print_Area" localSheetId="28">'tab28'!$A$1:$O$49</definedName>
    <definedName name="_xlnm.Print_Area" localSheetId="29">'tab29'!$A$1:$K$47</definedName>
    <definedName name="_xlnm.Print_Area" localSheetId="3">'tab3'!$A$1:$L$49</definedName>
    <definedName name="_xlnm.Print_Area" localSheetId="30">'tab30'!$A$1:$J$47</definedName>
    <definedName name="_xlnm.Print_Area" localSheetId="31">'tab31'!$A$1:$O$80</definedName>
    <definedName name="_xlnm.Print_Area" localSheetId="32">'tab32'!$A$1:$M$48</definedName>
    <definedName name="_xlnm.Print_Area" localSheetId="33">'tab33(1)'!$A$1:$N$53</definedName>
    <definedName name="_xlnm.Print_Area" localSheetId="35">'tab33(3)'!$A$1:$N$53</definedName>
    <definedName name="_xlnm.Print_Area" localSheetId="39">'tab34'!$A$1:$L$79</definedName>
    <definedName name="_xlnm.Print_Area" localSheetId="40">'tab35'!$A$1:$J$40</definedName>
    <definedName name="_xlnm.Print_Area" localSheetId="41">'tab36'!$A$1:$J$39</definedName>
    <definedName name="_xlnm.Print_Area" localSheetId="42">'tab37'!$A$1:$I$39</definedName>
    <definedName name="_xlnm.Print_Area" localSheetId="43">'tab38'!$A$1:$L$41</definedName>
    <definedName name="_xlnm.Print_Area" localSheetId="44">'tab39'!$A$1:$I$39</definedName>
    <definedName name="_xlnm.Print_Area" localSheetId="4">'tab4'!$A$1:$L$49</definedName>
    <definedName name="_xlnm.Print_Area" localSheetId="45">'tab40'!$A$1:$J$40</definedName>
    <definedName name="_xlnm.Print_Area" localSheetId="46">'tab41'!$A$1:$G$39</definedName>
    <definedName name="_xlnm.Print_Area" localSheetId="47">'tab42'!$A$1:$M$50</definedName>
    <definedName name="_xlnm.Print_Area" localSheetId="48">'tab43'!$A$1:$L$47</definedName>
    <definedName name="_xlnm.Print_Area" localSheetId="49">'tab44'!$A$1:$M$49</definedName>
    <definedName name="_xlnm.Print_Area" localSheetId="50">'tab45'!$A$1:$M$71</definedName>
    <definedName name="_xlnm.Print_Area" localSheetId="51">'tab46'!$A$1:$G$52</definedName>
    <definedName name="_xlnm.Print_Area" localSheetId="52">'tab47'!$A$1:$G$62</definedName>
    <definedName name="_xlnm.Print_Area" localSheetId="53">'tab48'!$A$1:$G$57</definedName>
    <definedName name="_xlnm.Print_Area" localSheetId="5">'tab5'!$A$1:$L$48</definedName>
    <definedName name="_xlnm.Print_Area" localSheetId="6">'tab6'!$A$77:$J$157</definedName>
    <definedName name="_xlnm.Print_Area" localSheetId="7">'tab7'!$A$1:$J$93</definedName>
    <definedName name="_xlnm.Print_Area" localSheetId="8">'tab8'!$A$1:$K$93</definedName>
    <definedName name="_xlnm.Print_Titles" localSheetId="6">'tab6'!$1:$6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28" l="1"/>
  <c r="P27" i="28"/>
  <c r="P28" i="28" s="1"/>
  <c r="Q28" i="28"/>
  <c r="Q27" i="28"/>
  <c r="P26" i="28" l="1"/>
  <c r="Q26" i="28"/>
  <c r="P4" i="28"/>
  <c r="Q4" i="28"/>
  <c r="G43" i="5"/>
  <c r="G45" i="5"/>
  <c r="G44" i="5"/>
  <c r="E45" i="61" l="1"/>
  <c r="I45" i="61" s="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43" i="61"/>
  <c r="E44" i="61"/>
  <c r="E8" i="61"/>
  <c r="E45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8" i="62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43" i="33"/>
  <c r="F43" i="15"/>
  <c r="K43" i="21"/>
  <c r="K75" i="26"/>
  <c r="K74" i="26"/>
  <c r="K73" i="26"/>
  <c r="K72" i="26"/>
  <c r="K71" i="26"/>
  <c r="K70" i="26"/>
  <c r="K69" i="26"/>
  <c r="K68" i="26"/>
  <c r="K67" i="26"/>
  <c r="K66" i="26"/>
  <c r="K65" i="26"/>
  <c r="K64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G127" i="28"/>
  <c r="G126" i="28"/>
  <c r="G125" i="28"/>
  <c r="G123" i="28"/>
  <c r="G122" i="28"/>
  <c r="G121" i="28"/>
  <c r="G119" i="28"/>
  <c r="G118" i="28"/>
  <c r="G117" i="28"/>
  <c r="G115" i="28"/>
  <c r="G114" i="28"/>
  <c r="G113" i="28"/>
  <c r="F146" i="28"/>
  <c r="F145" i="28"/>
  <c r="F144" i="28"/>
  <c r="F142" i="28"/>
  <c r="F141" i="28"/>
  <c r="F140" i="28"/>
  <c r="F138" i="28"/>
  <c r="F137" i="28"/>
  <c r="F136" i="28"/>
  <c r="F134" i="28"/>
  <c r="F133" i="28"/>
  <c r="F132" i="28"/>
  <c r="J89" i="27"/>
  <c r="J44" i="22" s="1"/>
  <c r="J88" i="27"/>
  <c r="J87" i="27"/>
  <c r="J86" i="27"/>
  <c r="J85" i="27"/>
  <c r="J84" i="27"/>
  <c r="J83" i="27"/>
  <c r="J82" i="27"/>
  <c r="J81" i="27"/>
  <c r="J80" i="27"/>
  <c r="J79" i="27"/>
  <c r="J78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59" i="19"/>
  <c r="D59" i="19"/>
  <c r="F59" i="19"/>
  <c r="C50" i="19"/>
  <c r="D50" i="19"/>
  <c r="F50" i="19"/>
  <c r="L23" i="19"/>
  <c r="F40" i="19"/>
  <c r="C40" i="19"/>
  <c r="D40" i="19"/>
  <c r="B40" i="19"/>
  <c r="E18" i="19"/>
  <c r="E40" i="19" s="1"/>
  <c r="E65" i="19"/>
  <c r="E64" i="19"/>
  <c r="E60" i="19"/>
  <c r="E61" i="19"/>
  <c r="E56" i="19"/>
  <c r="E45" i="19"/>
  <c r="E46" i="19"/>
  <c r="E47" i="19"/>
  <c r="E42" i="19"/>
  <c r="D45" i="2" l="1"/>
  <c r="M46" i="5" l="1"/>
  <c r="M45" i="5"/>
  <c r="I45" i="62" l="1"/>
  <c r="L25" i="19"/>
  <c r="L26" i="19"/>
  <c r="L27" i="19"/>
  <c r="L50" i="19" s="1"/>
  <c r="E51" i="19"/>
  <c r="L47" i="19"/>
  <c r="L18" i="19"/>
  <c r="L40" i="19" s="1"/>
  <c r="L15" i="19"/>
  <c r="L16" i="19"/>
  <c r="L11" i="19"/>
  <c r="B14" i="58"/>
  <c r="C14" i="58"/>
  <c r="D14" i="58"/>
  <c r="E14" i="58"/>
  <c r="F14" i="58"/>
  <c r="G14" i="58"/>
  <c r="B24" i="58"/>
  <c r="C24" i="58"/>
  <c r="D24" i="58"/>
  <c r="E24" i="58"/>
  <c r="F24" i="58"/>
  <c r="G24" i="58"/>
  <c r="B34" i="58"/>
  <c r="C34" i="58"/>
  <c r="D34" i="58"/>
  <c r="E34" i="58"/>
  <c r="F34" i="58"/>
  <c r="G34" i="58"/>
  <c r="B44" i="58"/>
  <c r="C44" i="58"/>
  <c r="D44" i="58"/>
  <c r="E44" i="58"/>
  <c r="F44" i="58"/>
  <c r="G44" i="58"/>
  <c r="B54" i="58"/>
  <c r="C54" i="58"/>
  <c r="D54" i="58"/>
  <c r="E54" i="58"/>
  <c r="F54" i="58"/>
  <c r="G54" i="58"/>
  <c r="B15" i="59"/>
  <c r="C15" i="59"/>
  <c r="D15" i="59"/>
  <c r="E15" i="59"/>
  <c r="F15" i="59"/>
  <c r="G15" i="59"/>
  <c r="B26" i="59"/>
  <c r="C26" i="59"/>
  <c r="D26" i="59"/>
  <c r="E26" i="59"/>
  <c r="F26" i="59"/>
  <c r="G26" i="59"/>
  <c r="B37" i="59"/>
  <c r="C37" i="59"/>
  <c r="D37" i="59"/>
  <c r="E37" i="59"/>
  <c r="F37" i="59"/>
  <c r="G37" i="59"/>
  <c r="B48" i="59"/>
  <c r="C48" i="59"/>
  <c r="D48" i="59"/>
  <c r="E48" i="59"/>
  <c r="F48" i="59"/>
  <c r="G48" i="59"/>
  <c r="B59" i="59"/>
  <c r="C59" i="59"/>
  <c r="D59" i="59"/>
  <c r="E59" i="59"/>
  <c r="F59" i="59"/>
  <c r="G59" i="59"/>
  <c r="B13" i="60"/>
  <c r="C13" i="60"/>
  <c r="D13" i="60"/>
  <c r="E13" i="60"/>
  <c r="F13" i="60"/>
  <c r="G13" i="60"/>
  <c r="B22" i="60"/>
  <c r="C22" i="60"/>
  <c r="D22" i="60"/>
  <c r="E22" i="60"/>
  <c r="F22" i="60"/>
  <c r="G22" i="60"/>
  <c r="B31" i="60"/>
  <c r="C31" i="60"/>
  <c r="D31" i="60"/>
  <c r="E31" i="60"/>
  <c r="F31" i="60"/>
  <c r="G31" i="60"/>
  <c r="B40" i="60"/>
  <c r="C40" i="60"/>
  <c r="D40" i="60"/>
  <c r="E40" i="60"/>
  <c r="F40" i="60"/>
  <c r="G40" i="60"/>
  <c r="B49" i="60"/>
  <c r="C49" i="60"/>
  <c r="D49" i="60"/>
  <c r="E49" i="60"/>
  <c r="F49" i="60"/>
  <c r="G49" i="60"/>
  <c r="E11" i="19"/>
  <c r="I11" i="19"/>
  <c r="J11" i="19"/>
  <c r="K11" i="19"/>
  <c r="M11" i="19"/>
  <c r="E12" i="19"/>
  <c r="L12" i="19"/>
  <c r="E13" i="19"/>
  <c r="L13" i="19"/>
  <c r="E15" i="19"/>
  <c r="E16" i="19"/>
  <c r="E17" i="19"/>
  <c r="L17" i="19"/>
  <c r="E21" i="19"/>
  <c r="I21" i="19"/>
  <c r="J21" i="19"/>
  <c r="K21" i="19"/>
  <c r="L21" i="19"/>
  <c r="M21" i="19"/>
  <c r="E22" i="19"/>
  <c r="L22" i="19"/>
  <c r="E23" i="19"/>
  <c r="E25" i="19"/>
  <c r="E26" i="19"/>
  <c r="E27" i="19"/>
  <c r="E50" i="19" s="1"/>
  <c r="E30" i="19"/>
  <c r="I30" i="19"/>
  <c r="J30" i="19"/>
  <c r="K30" i="19"/>
  <c r="L30" i="19"/>
  <c r="M30" i="19"/>
  <c r="E31" i="19"/>
  <c r="L31" i="19"/>
  <c r="E32" i="19"/>
  <c r="L32" i="19"/>
  <c r="E34" i="19"/>
  <c r="L34" i="19"/>
  <c r="E35" i="19"/>
  <c r="L35" i="19"/>
  <c r="E36" i="19"/>
  <c r="E59" i="19" s="1"/>
  <c r="L36" i="19"/>
  <c r="L59" i="19" s="1"/>
  <c r="I40" i="19"/>
  <c r="J40" i="19"/>
  <c r="K40" i="19"/>
  <c r="M40" i="19"/>
  <c r="E41" i="19"/>
  <c r="L41" i="19"/>
  <c r="L42" i="19"/>
  <c r="E44" i="19"/>
  <c r="L44" i="19"/>
  <c r="L45" i="19"/>
  <c r="L46" i="19"/>
  <c r="B50" i="19"/>
  <c r="I50" i="19"/>
  <c r="J50" i="19"/>
  <c r="K50" i="19"/>
  <c r="M50" i="19"/>
  <c r="L51" i="19"/>
  <c r="E52" i="19"/>
  <c r="L52" i="19"/>
  <c r="E54" i="19"/>
  <c r="L54" i="19"/>
  <c r="E55" i="19"/>
  <c r="L55" i="19"/>
  <c r="L56" i="19"/>
  <c r="B59" i="19"/>
  <c r="I59" i="19"/>
  <c r="J59" i="19"/>
  <c r="K59" i="19"/>
  <c r="M59" i="19"/>
  <c r="L60" i="19"/>
  <c r="L61" i="19"/>
  <c r="E63" i="19"/>
  <c r="L63" i="19"/>
  <c r="L64" i="19"/>
  <c r="L65" i="19"/>
  <c r="I8" i="61"/>
  <c r="G8" i="61" s="1"/>
  <c r="K8" i="61"/>
  <c r="I8" i="53" s="1"/>
  <c r="I9" i="61"/>
  <c r="G9" i="61" s="1"/>
  <c r="K9" i="61"/>
  <c r="I9" i="53" s="1"/>
  <c r="I10" i="61"/>
  <c r="G10" i="61" s="1"/>
  <c r="K10" i="61"/>
  <c r="I10" i="53" s="1"/>
  <c r="I11" i="61"/>
  <c r="G11" i="61" s="1"/>
  <c r="K11" i="61"/>
  <c r="I11" i="53" s="1"/>
  <c r="I12" i="61"/>
  <c r="G12" i="61" s="1"/>
  <c r="K12" i="61"/>
  <c r="I12" i="53" s="1"/>
  <c r="I13" i="61"/>
  <c r="G13" i="61" s="1"/>
  <c r="K13" i="61"/>
  <c r="I14" i="61"/>
  <c r="G14" i="61" s="1"/>
  <c r="K14" i="61"/>
  <c r="I14" i="53" s="1"/>
  <c r="I15" i="61"/>
  <c r="G15" i="61" s="1"/>
  <c r="K15" i="61"/>
  <c r="I15" i="53" s="1"/>
  <c r="I16" i="61"/>
  <c r="G16" i="61" s="1"/>
  <c r="K16" i="61"/>
  <c r="I16" i="53" s="1"/>
  <c r="I17" i="61"/>
  <c r="G17" i="61" s="1"/>
  <c r="K17" i="61"/>
  <c r="I17" i="53" s="1"/>
  <c r="I18" i="61"/>
  <c r="G18" i="61" s="1"/>
  <c r="K18" i="61"/>
  <c r="I18" i="53" s="1"/>
  <c r="I19" i="61"/>
  <c r="G19" i="61" s="1"/>
  <c r="K19" i="61"/>
  <c r="I19" i="53" s="1"/>
  <c r="I20" i="61"/>
  <c r="G20" i="61" s="1"/>
  <c r="K20" i="61"/>
  <c r="I20" i="53" s="1"/>
  <c r="I21" i="61"/>
  <c r="G21" i="61" s="1"/>
  <c r="K21" i="61"/>
  <c r="I22" i="61"/>
  <c r="G22" i="61" s="1"/>
  <c r="K22" i="61"/>
  <c r="I22" i="53" s="1"/>
  <c r="I23" i="61"/>
  <c r="G23" i="61" s="1"/>
  <c r="K23" i="61"/>
  <c r="I23" i="53" s="1"/>
  <c r="I24" i="61"/>
  <c r="G24" i="61" s="1"/>
  <c r="K24" i="61"/>
  <c r="I24" i="53" s="1"/>
  <c r="I25" i="61"/>
  <c r="G25" i="61" s="1"/>
  <c r="K25" i="61"/>
  <c r="I25" i="53" s="1"/>
  <c r="I26" i="61"/>
  <c r="G26" i="61" s="1"/>
  <c r="K26" i="61"/>
  <c r="I26" i="53" s="1"/>
  <c r="I27" i="61"/>
  <c r="G27" i="61" s="1"/>
  <c r="K27" i="61"/>
  <c r="I27" i="53" s="1"/>
  <c r="I28" i="61"/>
  <c r="G28" i="61" s="1"/>
  <c r="K28" i="61"/>
  <c r="I28" i="53" s="1"/>
  <c r="I29" i="61"/>
  <c r="G29" i="61" s="1"/>
  <c r="K29" i="61"/>
  <c r="I30" i="61"/>
  <c r="G30" i="61" s="1"/>
  <c r="K30" i="61"/>
  <c r="I30" i="53" s="1"/>
  <c r="I31" i="61"/>
  <c r="G31" i="61" s="1"/>
  <c r="K31" i="61"/>
  <c r="I31" i="53" s="1"/>
  <c r="I32" i="61"/>
  <c r="G32" i="61" s="1"/>
  <c r="K32" i="61"/>
  <c r="I32" i="53" s="1"/>
  <c r="I33" i="61"/>
  <c r="G33" i="61" s="1"/>
  <c r="K33" i="61"/>
  <c r="I33" i="53" s="1"/>
  <c r="I34" i="61"/>
  <c r="G34" i="61" s="1"/>
  <c r="K34" i="61"/>
  <c r="I34" i="53" s="1"/>
  <c r="I35" i="61"/>
  <c r="G35" i="61" s="1"/>
  <c r="K35" i="61"/>
  <c r="I36" i="61"/>
  <c r="G36" i="61" s="1"/>
  <c r="K36" i="61"/>
  <c r="I36" i="53" s="1"/>
  <c r="I37" i="61"/>
  <c r="G37" i="61" s="1"/>
  <c r="K37" i="61"/>
  <c r="I37" i="53" s="1"/>
  <c r="I38" i="61"/>
  <c r="G38" i="61" s="1"/>
  <c r="K38" i="61"/>
  <c r="I39" i="61"/>
  <c r="G39" i="61" s="1"/>
  <c r="I40" i="61"/>
  <c r="G40" i="61" s="1"/>
  <c r="I41" i="61"/>
  <c r="G41" i="61" s="1"/>
  <c r="I42" i="61"/>
  <c r="G42" i="61" s="1"/>
  <c r="I43" i="61"/>
  <c r="G43" i="61" s="1"/>
  <c r="I44" i="61"/>
  <c r="G44" i="61" s="1"/>
  <c r="G45" i="61"/>
  <c r="E7" i="65"/>
  <c r="I7" i="65" s="1"/>
  <c r="G7" i="65" s="1"/>
  <c r="B8" i="53" s="1"/>
  <c r="E8" i="65"/>
  <c r="I8" i="65" s="1"/>
  <c r="G8" i="65" s="1"/>
  <c r="B9" i="53" s="1"/>
  <c r="E9" i="65"/>
  <c r="I9" i="65" s="1"/>
  <c r="G9" i="65" s="1"/>
  <c r="B10" i="53" s="1"/>
  <c r="E10" i="65"/>
  <c r="I10" i="65" s="1"/>
  <c r="G10" i="65" s="1"/>
  <c r="B11" i="53" s="1"/>
  <c r="E11" i="65"/>
  <c r="I11" i="65" s="1"/>
  <c r="G11" i="65" s="1"/>
  <c r="B12" i="53" s="1"/>
  <c r="E12" i="65"/>
  <c r="I12" i="65"/>
  <c r="G12" i="65" s="1"/>
  <c r="B13" i="53" s="1"/>
  <c r="E13" i="65"/>
  <c r="I13" i="65" s="1"/>
  <c r="G13" i="65" s="1"/>
  <c r="B14" i="53" s="1"/>
  <c r="E14" i="65"/>
  <c r="I14" i="65" s="1"/>
  <c r="G14" i="65" s="1"/>
  <c r="B15" i="53" s="1"/>
  <c r="E15" i="65"/>
  <c r="I15" i="65" s="1"/>
  <c r="G15" i="65" s="1"/>
  <c r="B16" i="53" s="1"/>
  <c r="E16" i="65"/>
  <c r="I16" i="65" s="1"/>
  <c r="G16" i="65" s="1"/>
  <c r="B17" i="53" s="1"/>
  <c r="E17" i="65"/>
  <c r="I17" i="65" s="1"/>
  <c r="G17" i="65" s="1"/>
  <c r="B18" i="53" s="1"/>
  <c r="E18" i="65"/>
  <c r="I18" i="65" s="1"/>
  <c r="G18" i="65" s="1"/>
  <c r="B19" i="53" s="1"/>
  <c r="E19" i="65"/>
  <c r="I19" i="65" s="1"/>
  <c r="G19" i="65" s="1"/>
  <c r="B20" i="53" s="1"/>
  <c r="E20" i="65"/>
  <c r="I20" i="65" s="1"/>
  <c r="G20" i="65" s="1"/>
  <c r="B21" i="53" s="1"/>
  <c r="E21" i="65"/>
  <c r="I21" i="65" s="1"/>
  <c r="G21" i="65" s="1"/>
  <c r="B22" i="53" s="1"/>
  <c r="E22" i="65"/>
  <c r="I22" i="65" s="1"/>
  <c r="G22" i="65" s="1"/>
  <c r="B23" i="53" s="1"/>
  <c r="E23" i="65"/>
  <c r="I23" i="65" s="1"/>
  <c r="G23" i="65" s="1"/>
  <c r="B24" i="53" s="1"/>
  <c r="E24" i="65"/>
  <c r="I24" i="65" s="1"/>
  <c r="G24" i="65" s="1"/>
  <c r="B25" i="53" s="1"/>
  <c r="E25" i="65"/>
  <c r="I25" i="65" s="1"/>
  <c r="G25" i="65" s="1"/>
  <c r="B26" i="53" s="1"/>
  <c r="E26" i="65"/>
  <c r="I26" i="65" s="1"/>
  <c r="G26" i="65" s="1"/>
  <c r="B27" i="53" s="1"/>
  <c r="E27" i="65"/>
  <c r="I27" i="65" s="1"/>
  <c r="G27" i="65" s="1"/>
  <c r="B28" i="53" s="1"/>
  <c r="E28" i="65"/>
  <c r="I28" i="65"/>
  <c r="G28" i="65" s="1"/>
  <c r="B29" i="53" s="1"/>
  <c r="E29" i="65"/>
  <c r="I29" i="65" s="1"/>
  <c r="G29" i="65" s="1"/>
  <c r="B30" i="53" s="1"/>
  <c r="E30" i="65"/>
  <c r="I30" i="65"/>
  <c r="G30" i="65" s="1"/>
  <c r="B31" i="53" s="1"/>
  <c r="E31" i="65"/>
  <c r="I31" i="65" s="1"/>
  <c r="G31" i="65" s="1"/>
  <c r="B32" i="53" s="1"/>
  <c r="E32" i="65"/>
  <c r="I32" i="65" s="1"/>
  <c r="G32" i="65" s="1"/>
  <c r="B33" i="53" s="1"/>
  <c r="E33" i="65"/>
  <c r="I33" i="65" s="1"/>
  <c r="G33" i="65"/>
  <c r="B34" i="53" s="1"/>
  <c r="E34" i="65"/>
  <c r="I34" i="65" s="1"/>
  <c r="G34" i="65" s="1"/>
  <c r="B35" i="53" s="1"/>
  <c r="E35" i="65"/>
  <c r="I35" i="65" s="1"/>
  <c r="G35" i="65" s="1"/>
  <c r="B36" i="53" s="1"/>
  <c r="J35" i="65"/>
  <c r="C36" i="53" s="1"/>
  <c r="E36" i="65"/>
  <c r="I36" i="65" s="1"/>
  <c r="G36" i="65" s="1"/>
  <c r="E37" i="65"/>
  <c r="I37" i="65" s="1"/>
  <c r="G37" i="65" s="1"/>
  <c r="J37" i="65"/>
  <c r="C38" i="53" s="1"/>
  <c r="E38" i="65"/>
  <c r="I38" i="65"/>
  <c r="G38" i="65" s="1"/>
  <c r="J38" i="65" s="1"/>
  <c r="E39" i="65"/>
  <c r="I39" i="65" s="1"/>
  <c r="G39" i="65" s="1"/>
  <c r="J39" i="65" s="1"/>
  <c r="E40" i="65"/>
  <c r="I40" i="65" s="1"/>
  <c r="G40" i="65" s="1"/>
  <c r="J40" i="65" s="1"/>
  <c r="E41" i="65"/>
  <c r="I41" i="65" s="1"/>
  <c r="G41" i="65" s="1"/>
  <c r="J41" i="65" s="1"/>
  <c r="E42" i="65"/>
  <c r="I42" i="65" s="1"/>
  <c r="G42" i="65" s="1"/>
  <c r="J42" i="65" s="1"/>
  <c r="E43" i="65"/>
  <c r="I43" i="65" s="1"/>
  <c r="G43" i="65" s="1"/>
  <c r="J43" i="65" s="1"/>
  <c r="E44" i="65"/>
  <c r="I8" i="62"/>
  <c r="G8" i="62" s="1"/>
  <c r="K8" i="62"/>
  <c r="F8" i="53" s="1"/>
  <c r="I9" i="62"/>
  <c r="G9" i="62" s="1"/>
  <c r="K9" i="62"/>
  <c r="I10" i="62"/>
  <c r="G10" i="62" s="1"/>
  <c r="K10" i="62"/>
  <c r="F10" i="53" s="1"/>
  <c r="I11" i="62"/>
  <c r="G11" i="62" s="1"/>
  <c r="K11" i="62"/>
  <c r="F11" i="53" s="1"/>
  <c r="I12" i="62"/>
  <c r="G12" i="62" s="1"/>
  <c r="K12" i="62"/>
  <c r="I13" i="62"/>
  <c r="G13" i="62" s="1"/>
  <c r="K13" i="62"/>
  <c r="I14" i="62"/>
  <c r="G14" i="62" s="1"/>
  <c r="K14" i="62"/>
  <c r="F14" i="53" s="1"/>
  <c r="I15" i="62"/>
  <c r="G15" i="62" s="1"/>
  <c r="K15" i="62"/>
  <c r="F15" i="53" s="1"/>
  <c r="I16" i="62"/>
  <c r="G16" i="62" s="1"/>
  <c r="K16" i="62"/>
  <c r="I17" i="62"/>
  <c r="G17" i="62" s="1"/>
  <c r="K17" i="62"/>
  <c r="I18" i="62"/>
  <c r="G18" i="62" s="1"/>
  <c r="K18" i="62"/>
  <c r="F18" i="53" s="1"/>
  <c r="G19" i="62"/>
  <c r="I19" i="62"/>
  <c r="K19" i="62"/>
  <c r="F19" i="53" s="1"/>
  <c r="I20" i="62"/>
  <c r="G20" i="62" s="1"/>
  <c r="K20" i="62"/>
  <c r="F20" i="53" s="1"/>
  <c r="I21" i="62"/>
  <c r="G21" i="62" s="1"/>
  <c r="K21" i="62"/>
  <c r="F21" i="53" s="1"/>
  <c r="I22" i="62"/>
  <c r="G22" i="62" s="1"/>
  <c r="K22" i="62"/>
  <c r="I23" i="62"/>
  <c r="G23" i="62" s="1"/>
  <c r="K23" i="62"/>
  <c r="F23" i="53" s="1"/>
  <c r="I24" i="62"/>
  <c r="G24" i="62" s="1"/>
  <c r="K24" i="62"/>
  <c r="I25" i="62"/>
  <c r="G25" i="62" s="1"/>
  <c r="K25" i="62"/>
  <c r="F25" i="53" s="1"/>
  <c r="I26" i="62"/>
  <c r="G26" i="62" s="1"/>
  <c r="K26" i="62"/>
  <c r="F26" i="53" s="1"/>
  <c r="I27" i="62"/>
  <c r="G27" i="62" s="1"/>
  <c r="K27" i="62"/>
  <c r="F27" i="53" s="1"/>
  <c r="I28" i="62"/>
  <c r="G28" i="62" s="1"/>
  <c r="K28" i="62"/>
  <c r="I29" i="62"/>
  <c r="G29" i="62" s="1"/>
  <c r="K29" i="62"/>
  <c r="F29" i="53" s="1"/>
  <c r="I30" i="62"/>
  <c r="G30" i="62" s="1"/>
  <c r="K30" i="62"/>
  <c r="F30" i="53" s="1"/>
  <c r="I31" i="62"/>
  <c r="G31" i="62" s="1"/>
  <c r="K31" i="62"/>
  <c r="F31" i="53" s="1"/>
  <c r="I32" i="62"/>
  <c r="G32" i="62" s="1"/>
  <c r="K32" i="62"/>
  <c r="F32" i="53" s="1"/>
  <c r="I33" i="62"/>
  <c r="G33" i="62" s="1"/>
  <c r="K33" i="62"/>
  <c r="F33" i="53" s="1"/>
  <c r="I34" i="62"/>
  <c r="G34" i="62" s="1"/>
  <c r="K34" i="62"/>
  <c r="F34" i="53" s="1"/>
  <c r="I35" i="62"/>
  <c r="G35" i="62" s="1"/>
  <c r="K35" i="62"/>
  <c r="F35" i="53" s="1"/>
  <c r="I36" i="62"/>
  <c r="G36" i="62" s="1"/>
  <c r="K36" i="62"/>
  <c r="F36" i="53" s="1"/>
  <c r="I37" i="62"/>
  <c r="G37" i="62" s="1"/>
  <c r="K37" i="62"/>
  <c r="F37" i="53" s="1"/>
  <c r="I38" i="62"/>
  <c r="G38" i="62" s="1"/>
  <c r="K38" i="62"/>
  <c r="I39" i="62"/>
  <c r="G39" i="62" s="1"/>
  <c r="I40" i="62"/>
  <c r="G40" i="62" s="1"/>
  <c r="I41" i="62"/>
  <c r="G41" i="62" s="1"/>
  <c r="I42" i="62"/>
  <c r="G42" i="62" s="1"/>
  <c r="I43" i="62"/>
  <c r="G43" i="62" s="1"/>
  <c r="I44" i="62"/>
  <c r="G44" i="62" s="1"/>
  <c r="G45" i="62"/>
  <c r="E7" i="48"/>
  <c r="I7" i="48" s="1"/>
  <c r="G7" i="48" s="1"/>
  <c r="E8" i="48"/>
  <c r="I8" i="48" s="1"/>
  <c r="G8" i="48" s="1"/>
  <c r="E9" i="48"/>
  <c r="I9" i="48" s="1"/>
  <c r="G9" i="48" s="1"/>
  <c r="E10" i="48"/>
  <c r="I10" i="48" s="1"/>
  <c r="G10" i="48" s="1"/>
  <c r="K11" i="53" s="1"/>
  <c r="E11" i="48"/>
  <c r="I11" i="48" s="1"/>
  <c r="G11" i="48" s="1"/>
  <c r="E12" i="48"/>
  <c r="I12" i="48" s="1"/>
  <c r="G12" i="48" s="1"/>
  <c r="E13" i="48"/>
  <c r="I13" i="48" s="1"/>
  <c r="G13" i="48" s="1"/>
  <c r="E14" i="48"/>
  <c r="I14" i="48" s="1"/>
  <c r="G14" i="48" s="1"/>
  <c r="E15" i="48"/>
  <c r="I15" i="48" s="1"/>
  <c r="G15" i="48" s="1"/>
  <c r="E16" i="48"/>
  <c r="I16" i="48" s="1"/>
  <c r="G16" i="48" s="1"/>
  <c r="E17" i="48"/>
  <c r="I17" i="48" s="1"/>
  <c r="G17" i="48" s="1"/>
  <c r="E18" i="48"/>
  <c r="I18" i="48"/>
  <c r="G18" i="48" s="1"/>
  <c r="K19" i="53" s="1"/>
  <c r="J18" i="48"/>
  <c r="L19" i="53" s="1"/>
  <c r="E19" i="48"/>
  <c r="I19" i="48" s="1"/>
  <c r="G19" i="48" s="1"/>
  <c r="E20" i="48"/>
  <c r="I20" i="48" s="1"/>
  <c r="G20" i="48" s="1"/>
  <c r="E21" i="48"/>
  <c r="I21" i="48" s="1"/>
  <c r="G21" i="48" s="1"/>
  <c r="E22" i="48"/>
  <c r="I22" i="48" s="1"/>
  <c r="G22" i="48" s="1"/>
  <c r="K23" i="53" s="1"/>
  <c r="E23" i="48"/>
  <c r="I23" i="48" s="1"/>
  <c r="G23" i="48" s="1"/>
  <c r="E24" i="48"/>
  <c r="I24" i="48" s="1"/>
  <c r="G24" i="48" s="1"/>
  <c r="E25" i="48"/>
  <c r="I25" i="48" s="1"/>
  <c r="G25" i="48" s="1"/>
  <c r="E26" i="48"/>
  <c r="I26" i="48"/>
  <c r="G26" i="48" s="1"/>
  <c r="E27" i="48"/>
  <c r="I27" i="48" s="1"/>
  <c r="G27" i="48" s="1"/>
  <c r="E28" i="48"/>
  <c r="I28" i="48" s="1"/>
  <c r="G28" i="48" s="1"/>
  <c r="E29" i="48"/>
  <c r="I29" i="48" s="1"/>
  <c r="G29" i="48" s="1"/>
  <c r="E30" i="48"/>
  <c r="I30" i="48" s="1"/>
  <c r="G30" i="48" s="1"/>
  <c r="E31" i="48"/>
  <c r="I31" i="48" s="1"/>
  <c r="G31" i="48" s="1"/>
  <c r="E32" i="48"/>
  <c r="I32" i="48"/>
  <c r="G32" i="48" s="1"/>
  <c r="K33" i="53" s="1"/>
  <c r="E33" i="48"/>
  <c r="I33" i="48" s="1"/>
  <c r="G33" i="48" s="1"/>
  <c r="E34" i="48"/>
  <c r="I34" i="48" s="1"/>
  <c r="G34" i="48" s="1"/>
  <c r="K35" i="53" s="1"/>
  <c r="E35" i="48"/>
  <c r="I35" i="48" s="1"/>
  <c r="G35" i="48"/>
  <c r="E36" i="48"/>
  <c r="I36" i="48"/>
  <c r="G36" i="48" s="1"/>
  <c r="E37" i="48"/>
  <c r="I37" i="48" s="1"/>
  <c r="G37" i="48" s="1"/>
  <c r="E8" i="64"/>
  <c r="F8" i="64" s="1"/>
  <c r="J8" i="64" s="1"/>
  <c r="H8" i="64" s="1"/>
  <c r="E9" i="64"/>
  <c r="F9" i="64" s="1"/>
  <c r="J9" i="64" s="1"/>
  <c r="H9" i="64" s="1"/>
  <c r="K9" i="64" s="1"/>
  <c r="C47" i="53" s="1"/>
  <c r="E10" i="64"/>
  <c r="F10" i="64"/>
  <c r="J10" i="64" s="1"/>
  <c r="H10" i="64" s="1"/>
  <c r="E11" i="64"/>
  <c r="F11" i="64" s="1"/>
  <c r="J11" i="64" s="1"/>
  <c r="H11" i="64" s="1"/>
  <c r="E12" i="64"/>
  <c r="F12" i="64"/>
  <c r="J12" i="64" s="1"/>
  <c r="H12" i="64" s="1"/>
  <c r="K12" i="64" s="1"/>
  <c r="C50" i="53" s="1"/>
  <c r="E13" i="64"/>
  <c r="F13" i="64" s="1"/>
  <c r="J13" i="64" s="1"/>
  <c r="H13" i="64" s="1"/>
  <c r="E14" i="64"/>
  <c r="F14" i="64" s="1"/>
  <c r="J14" i="64" s="1"/>
  <c r="H14" i="64" s="1"/>
  <c r="E15" i="64"/>
  <c r="F15" i="64" s="1"/>
  <c r="J15" i="64" s="1"/>
  <c r="H15" i="64" s="1"/>
  <c r="E16" i="64"/>
  <c r="F16" i="64" s="1"/>
  <c r="J16" i="64"/>
  <c r="H16" i="64" s="1"/>
  <c r="B54" i="53" s="1"/>
  <c r="E17" i="64"/>
  <c r="F17" i="64" s="1"/>
  <c r="J17" i="64"/>
  <c r="H17" i="64" s="1"/>
  <c r="E18" i="64"/>
  <c r="F18" i="64" s="1"/>
  <c r="J18" i="64" s="1"/>
  <c r="H18" i="64" s="1"/>
  <c r="E19" i="64"/>
  <c r="F19" i="64" s="1"/>
  <c r="J19" i="64" s="1"/>
  <c r="H19" i="64" s="1"/>
  <c r="E20" i="64"/>
  <c r="F20" i="64"/>
  <c r="J20" i="64" s="1"/>
  <c r="H20" i="64" s="1"/>
  <c r="E21" i="64"/>
  <c r="F21" i="64" s="1"/>
  <c r="J21" i="64" s="1"/>
  <c r="H21" i="64" s="1"/>
  <c r="E22" i="64"/>
  <c r="F22" i="64" s="1"/>
  <c r="J22" i="64" s="1"/>
  <c r="H22" i="64" s="1"/>
  <c r="E23" i="64"/>
  <c r="F23" i="64" s="1"/>
  <c r="J23" i="64" s="1"/>
  <c r="H23" i="64" s="1"/>
  <c r="K23" i="64" s="1"/>
  <c r="C61" i="53" s="1"/>
  <c r="E24" i="64"/>
  <c r="F24" i="64" s="1"/>
  <c r="J24" i="64" s="1"/>
  <c r="H24" i="64" s="1"/>
  <c r="E25" i="64"/>
  <c r="F25" i="64" s="1"/>
  <c r="J25" i="64" s="1"/>
  <c r="H25" i="64" s="1"/>
  <c r="E26" i="64"/>
  <c r="F26" i="64" s="1"/>
  <c r="J26" i="64" s="1"/>
  <c r="H26" i="64" s="1"/>
  <c r="E27" i="64"/>
  <c r="F27" i="64"/>
  <c r="J27" i="64" s="1"/>
  <c r="H27" i="64" s="1"/>
  <c r="E28" i="64"/>
  <c r="F28" i="64" s="1"/>
  <c r="J28" i="64" s="1"/>
  <c r="H28" i="64" s="1"/>
  <c r="E29" i="64"/>
  <c r="F29" i="64"/>
  <c r="J29" i="64" s="1"/>
  <c r="H29" i="64" s="1"/>
  <c r="E30" i="64"/>
  <c r="F30" i="64" s="1"/>
  <c r="J30" i="64" s="1"/>
  <c r="H30" i="64" s="1"/>
  <c r="B68" i="53" s="1"/>
  <c r="E31" i="64"/>
  <c r="F31" i="64" s="1"/>
  <c r="J31" i="64" s="1"/>
  <c r="H31" i="64" s="1"/>
  <c r="E32" i="64"/>
  <c r="F32" i="64" s="1"/>
  <c r="J32" i="64" s="1"/>
  <c r="H32" i="64" s="1"/>
  <c r="E33" i="64"/>
  <c r="F33" i="64" s="1"/>
  <c r="J33" i="64" s="1"/>
  <c r="H33" i="64" s="1"/>
  <c r="K33" i="64" s="1"/>
  <c r="C71" i="53" s="1"/>
  <c r="E34" i="64"/>
  <c r="F34" i="64" s="1"/>
  <c r="J34" i="64" s="1"/>
  <c r="H34" i="64" s="1"/>
  <c r="E35" i="64"/>
  <c r="F35" i="64" s="1"/>
  <c r="J35" i="64" s="1"/>
  <c r="H35" i="64" s="1"/>
  <c r="E36" i="64"/>
  <c r="F36" i="64" s="1"/>
  <c r="J36" i="64" s="1"/>
  <c r="H36" i="64" s="1"/>
  <c r="E37" i="64"/>
  <c r="F37" i="64" s="1"/>
  <c r="J37" i="64" s="1"/>
  <c r="H37" i="64" s="1"/>
  <c r="E38" i="64"/>
  <c r="F38" i="64" s="1"/>
  <c r="J38" i="64" s="1"/>
  <c r="H38" i="64" s="1"/>
  <c r="B76" i="53" s="1"/>
  <c r="E6" i="51"/>
  <c r="I6" i="51" s="1"/>
  <c r="G6" i="51" s="1"/>
  <c r="E7" i="51"/>
  <c r="I7" i="51" s="1"/>
  <c r="G7" i="51" s="1"/>
  <c r="E8" i="51"/>
  <c r="I8" i="51" s="1"/>
  <c r="G8" i="51"/>
  <c r="E9" i="51"/>
  <c r="I9" i="51" s="1"/>
  <c r="G9" i="51" s="1"/>
  <c r="E10" i="51"/>
  <c r="I10" i="51" s="1"/>
  <c r="G10" i="51" s="1"/>
  <c r="E11" i="51"/>
  <c r="I11" i="51" s="1"/>
  <c r="G11" i="51" s="1"/>
  <c r="J11" i="51" s="1"/>
  <c r="F51" i="53" s="1"/>
  <c r="E12" i="51"/>
  <c r="I12" i="51" s="1"/>
  <c r="G12" i="51" s="1"/>
  <c r="E13" i="51"/>
  <c r="I13" i="51" s="1"/>
  <c r="G13" i="51"/>
  <c r="E53" i="53" s="1"/>
  <c r="E14" i="51"/>
  <c r="I14" i="51" s="1"/>
  <c r="G14" i="51" s="1"/>
  <c r="E15" i="51"/>
  <c r="I15" i="51" s="1"/>
  <c r="G15" i="51" s="1"/>
  <c r="J15" i="51" s="1"/>
  <c r="F55" i="53" s="1"/>
  <c r="E16" i="51"/>
  <c r="I16" i="51" s="1"/>
  <c r="G16" i="51" s="1"/>
  <c r="E17" i="51"/>
  <c r="I17" i="51" s="1"/>
  <c r="G17" i="51" s="1"/>
  <c r="E18" i="51"/>
  <c r="I18" i="51"/>
  <c r="G18" i="51" s="1"/>
  <c r="E19" i="51"/>
  <c r="I19" i="51" s="1"/>
  <c r="G19" i="51" s="1"/>
  <c r="J19" i="51" s="1"/>
  <c r="F59" i="53" s="1"/>
  <c r="E20" i="51"/>
  <c r="I20" i="51" s="1"/>
  <c r="G20" i="51"/>
  <c r="E21" i="51"/>
  <c r="I21" i="51" s="1"/>
  <c r="G21" i="51" s="1"/>
  <c r="E22" i="51"/>
  <c r="I22" i="51" s="1"/>
  <c r="G22" i="51"/>
  <c r="E23" i="51"/>
  <c r="I23" i="51" s="1"/>
  <c r="G23" i="51" s="1"/>
  <c r="J23" i="51" s="1"/>
  <c r="F63" i="53" s="1"/>
  <c r="E24" i="51"/>
  <c r="I24" i="51" s="1"/>
  <c r="G24" i="51" s="1"/>
  <c r="E25" i="51"/>
  <c r="I25" i="51" s="1"/>
  <c r="G25" i="51" s="1"/>
  <c r="E65" i="53" s="1"/>
  <c r="E26" i="51"/>
  <c r="I26" i="51" s="1"/>
  <c r="G26" i="51" s="1"/>
  <c r="C27" i="51"/>
  <c r="E27" i="51" s="1"/>
  <c r="I27" i="51" s="1"/>
  <c r="G27" i="51" s="1"/>
  <c r="C28" i="51"/>
  <c r="E28" i="51" s="1"/>
  <c r="I28" i="51" s="1"/>
  <c r="G28" i="51" s="1"/>
  <c r="J28" i="51" s="1"/>
  <c r="F68" i="53" s="1"/>
  <c r="E29" i="51"/>
  <c r="I29" i="51" s="1"/>
  <c r="G29" i="51" s="1"/>
  <c r="E30" i="51"/>
  <c r="I30" i="51" s="1"/>
  <c r="G30" i="51" s="1"/>
  <c r="E70" i="53" s="1"/>
  <c r="E31" i="51"/>
  <c r="I31" i="51" s="1"/>
  <c r="G31" i="51" s="1"/>
  <c r="E32" i="51"/>
  <c r="I32" i="51" s="1"/>
  <c r="G32" i="51" s="1"/>
  <c r="J32" i="51" s="1"/>
  <c r="F72" i="53" s="1"/>
  <c r="E33" i="51"/>
  <c r="I33" i="51" s="1"/>
  <c r="G33" i="51" s="1"/>
  <c r="E34" i="51"/>
  <c r="I34" i="51" s="1"/>
  <c r="G34" i="51" s="1"/>
  <c r="E74" i="53" s="1"/>
  <c r="J34" i="51"/>
  <c r="E35" i="51"/>
  <c r="I35" i="51"/>
  <c r="G35" i="51" s="1"/>
  <c r="E36" i="51"/>
  <c r="I36" i="51" s="1"/>
  <c r="G36" i="51" s="1"/>
  <c r="J36" i="51" s="1"/>
  <c r="F76" i="53" s="1"/>
  <c r="C8" i="53"/>
  <c r="E8" i="53"/>
  <c r="H8" i="53"/>
  <c r="C9" i="53"/>
  <c r="E9" i="53"/>
  <c r="F9" i="53"/>
  <c r="H9" i="53"/>
  <c r="C10" i="53"/>
  <c r="E10" i="53"/>
  <c r="H10" i="53"/>
  <c r="C11" i="53"/>
  <c r="E11" i="53"/>
  <c r="H11" i="53"/>
  <c r="C12" i="53"/>
  <c r="E12" i="53"/>
  <c r="F12" i="53"/>
  <c r="H12" i="53"/>
  <c r="C13" i="53"/>
  <c r="E13" i="53"/>
  <c r="F13" i="53"/>
  <c r="H13" i="53"/>
  <c r="I13" i="53"/>
  <c r="C14" i="53"/>
  <c r="E14" i="53"/>
  <c r="H14" i="53"/>
  <c r="C15" i="53"/>
  <c r="E15" i="53"/>
  <c r="H15" i="53"/>
  <c r="C16" i="53"/>
  <c r="E16" i="53"/>
  <c r="F16" i="53"/>
  <c r="H16" i="53"/>
  <c r="C17" i="53"/>
  <c r="E17" i="53"/>
  <c r="F17" i="53"/>
  <c r="H17" i="53"/>
  <c r="C18" i="53"/>
  <c r="E18" i="53"/>
  <c r="H18" i="53"/>
  <c r="C19" i="53"/>
  <c r="E19" i="53"/>
  <c r="H19" i="53"/>
  <c r="C20" i="53"/>
  <c r="E20" i="53"/>
  <c r="H20" i="53"/>
  <c r="C21" i="53"/>
  <c r="E21" i="53"/>
  <c r="H21" i="53"/>
  <c r="I21" i="53"/>
  <c r="C22" i="53"/>
  <c r="E22" i="53"/>
  <c r="F22" i="53"/>
  <c r="H22" i="53"/>
  <c r="C23" i="53"/>
  <c r="E23" i="53"/>
  <c r="H23" i="53"/>
  <c r="C24" i="53"/>
  <c r="E24" i="53"/>
  <c r="F24" i="53"/>
  <c r="H24" i="53"/>
  <c r="C25" i="53"/>
  <c r="E25" i="53"/>
  <c r="H25" i="53"/>
  <c r="C26" i="53"/>
  <c r="E26" i="53"/>
  <c r="H26" i="53"/>
  <c r="C27" i="53"/>
  <c r="E27" i="53"/>
  <c r="H27" i="53"/>
  <c r="C28" i="53"/>
  <c r="E28" i="53"/>
  <c r="F28" i="53"/>
  <c r="H28" i="53"/>
  <c r="C29" i="53"/>
  <c r="E29" i="53"/>
  <c r="H29" i="53"/>
  <c r="I29" i="53"/>
  <c r="C30" i="53"/>
  <c r="E30" i="53"/>
  <c r="H30" i="53"/>
  <c r="C31" i="53"/>
  <c r="E31" i="53"/>
  <c r="H31" i="53"/>
  <c r="C32" i="53"/>
  <c r="E32" i="53"/>
  <c r="H32" i="53"/>
  <c r="C33" i="53"/>
  <c r="E33" i="53"/>
  <c r="H33" i="53"/>
  <c r="C34" i="53"/>
  <c r="E34" i="53"/>
  <c r="H34" i="53"/>
  <c r="C35" i="53"/>
  <c r="E35" i="53"/>
  <c r="H35" i="53"/>
  <c r="I35" i="53"/>
  <c r="E36" i="53"/>
  <c r="H36" i="53"/>
  <c r="E37" i="53"/>
  <c r="H37" i="53"/>
  <c r="B38" i="53"/>
  <c r="E38" i="53"/>
  <c r="F38" i="53"/>
  <c r="H38" i="53"/>
  <c r="I38" i="53"/>
  <c r="I46" i="53"/>
  <c r="I47" i="53"/>
  <c r="I48" i="53"/>
  <c r="I49" i="53"/>
  <c r="B50" i="53"/>
  <c r="I50" i="53"/>
  <c r="I51" i="53"/>
  <c r="I52" i="53"/>
  <c r="I53" i="53"/>
  <c r="I54" i="53"/>
  <c r="E55" i="53"/>
  <c r="I55" i="53"/>
  <c r="I56" i="53"/>
  <c r="I57" i="53"/>
  <c r="I58" i="53"/>
  <c r="E59" i="53"/>
  <c r="I59" i="53"/>
  <c r="I60" i="53"/>
  <c r="I61" i="53"/>
  <c r="I62" i="53"/>
  <c r="E63" i="53"/>
  <c r="I63" i="53"/>
  <c r="I64" i="53"/>
  <c r="I65" i="53"/>
  <c r="I66" i="53"/>
  <c r="I67" i="53"/>
  <c r="E68" i="53"/>
  <c r="I68" i="53"/>
  <c r="I69" i="53"/>
  <c r="I70" i="53"/>
  <c r="I71" i="53"/>
  <c r="E72" i="53"/>
  <c r="I72" i="53"/>
  <c r="I73" i="53"/>
  <c r="F74" i="53"/>
  <c r="I74" i="53"/>
  <c r="I75" i="53"/>
  <c r="E76" i="53"/>
  <c r="I76" i="53"/>
  <c r="E7" i="12"/>
  <c r="I7" i="12" s="1"/>
  <c r="G7" i="12" s="1"/>
  <c r="B8" i="12"/>
  <c r="E8" i="12" s="1"/>
  <c r="I8" i="12" s="1"/>
  <c r="G8" i="12" s="1"/>
  <c r="B9" i="12"/>
  <c r="E9" i="12" s="1"/>
  <c r="I9" i="12" s="1"/>
  <c r="G9" i="12" s="1"/>
  <c r="B10" i="12"/>
  <c r="E10" i="12" s="1"/>
  <c r="I10" i="12" s="1"/>
  <c r="G10" i="12" s="1"/>
  <c r="B11" i="12"/>
  <c r="E11" i="12" s="1"/>
  <c r="I11" i="12" s="1"/>
  <c r="G11" i="12" s="1"/>
  <c r="B12" i="12"/>
  <c r="E12" i="12" s="1"/>
  <c r="I12" i="12" s="1"/>
  <c r="G12" i="12" s="1"/>
  <c r="B13" i="12"/>
  <c r="E13" i="12" s="1"/>
  <c r="I13" i="12" s="1"/>
  <c r="G13" i="12" s="1"/>
  <c r="B14" i="12"/>
  <c r="E14" i="12" s="1"/>
  <c r="I14" i="12" s="1"/>
  <c r="G14" i="12" s="1"/>
  <c r="B15" i="12"/>
  <c r="E15" i="12" s="1"/>
  <c r="I15" i="12" s="1"/>
  <c r="G15" i="12" s="1"/>
  <c r="B16" i="12"/>
  <c r="E16" i="12" s="1"/>
  <c r="I16" i="12" s="1"/>
  <c r="G16" i="12" s="1"/>
  <c r="B17" i="12"/>
  <c r="E17" i="12" s="1"/>
  <c r="I17" i="12" s="1"/>
  <c r="G17" i="12" s="1"/>
  <c r="B18" i="12"/>
  <c r="E18" i="12" s="1"/>
  <c r="I18" i="12" s="1"/>
  <c r="G18" i="12" s="1"/>
  <c r="B19" i="12"/>
  <c r="E19" i="12"/>
  <c r="I19" i="12" s="1"/>
  <c r="G19" i="12" s="1"/>
  <c r="B20" i="12"/>
  <c r="E20" i="12" s="1"/>
  <c r="I20" i="12" s="1"/>
  <c r="G20" i="12" s="1"/>
  <c r="B21" i="12"/>
  <c r="E21" i="12" s="1"/>
  <c r="I21" i="12" s="1"/>
  <c r="G21" i="12" s="1"/>
  <c r="B22" i="12"/>
  <c r="E22" i="12" s="1"/>
  <c r="I22" i="12" s="1"/>
  <c r="G22" i="12" s="1"/>
  <c r="B23" i="12"/>
  <c r="E23" i="12"/>
  <c r="I23" i="12" s="1"/>
  <c r="G23" i="12" s="1"/>
  <c r="B24" i="12"/>
  <c r="E24" i="12" s="1"/>
  <c r="I24" i="12" s="1"/>
  <c r="G24" i="12" s="1"/>
  <c r="B25" i="12"/>
  <c r="E25" i="12" s="1"/>
  <c r="I25" i="12" s="1"/>
  <c r="G25" i="12" s="1"/>
  <c r="B26" i="12"/>
  <c r="E26" i="12" s="1"/>
  <c r="I26" i="12" s="1"/>
  <c r="G26" i="12" s="1"/>
  <c r="B27" i="12"/>
  <c r="E27" i="12" s="1"/>
  <c r="I27" i="12" s="1"/>
  <c r="G27" i="12" s="1"/>
  <c r="B28" i="12"/>
  <c r="E28" i="12" s="1"/>
  <c r="I28" i="12" s="1"/>
  <c r="G28" i="12" s="1"/>
  <c r="B29" i="12"/>
  <c r="E29" i="12" s="1"/>
  <c r="I29" i="12" s="1"/>
  <c r="G29" i="12" s="1"/>
  <c r="B30" i="12"/>
  <c r="E30" i="12" s="1"/>
  <c r="I30" i="12" s="1"/>
  <c r="G30" i="12" s="1"/>
  <c r="B31" i="12"/>
  <c r="E31" i="12" s="1"/>
  <c r="I31" i="12" s="1"/>
  <c r="G31" i="12" s="1"/>
  <c r="B32" i="12"/>
  <c r="E32" i="12" s="1"/>
  <c r="I32" i="12" s="1"/>
  <c r="G32" i="12" s="1"/>
  <c r="B33" i="12"/>
  <c r="E33" i="12" s="1"/>
  <c r="I33" i="12" s="1"/>
  <c r="G33" i="12" s="1"/>
  <c r="B34" i="12"/>
  <c r="E34" i="12"/>
  <c r="I34" i="12" s="1"/>
  <c r="G34" i="12" s="1"/>
  <c r="B35" i="12"/>
  <c r="E35" i="12" s="1"/>
  <c r="I35" i="12" s="1"/>
  <c r="G35" i="12" s="1"/>
  <c r="B36" i="12"/>
  <c r="E36" i="12"/>
  <c r="I36" i="12" s="1"/>
  <c r="G36" i="12" s="1"/>
  <c r="B37" i="12"/>
  <c r="E37" i="12" s="1"/>
  <c r="I37" i="12" s="1"/>
  <c r="G37" i="12" s="1"/>
  <c r="B38" i="12"/>
  <c r="E38" i="12" s="1"/>
  <c r="I38" i="12" s="1"/>
  <c r="G38" i="12" s="1"/>
  <c r="B39" i="12"/>
  <c r="E39" i="12" s="1"/>
  <c r="I39" i="12" s="1"/>
  <c r="G39" i="12" s="1"/>
  <c r="B40" i="12"/>
  <c r="E40" i="12" s="1"/>
  <c r="I40" i="12" s="1"/>
  <c r="G40" i="12" s="1"/>
  <c r="B41" i="12"/>
  <c r="E41" i="12" s="1"/>
  <c r="I41" i="12" s="1"/>
  <c r="G41" i="12" s="1"/>
  <c r="E42" i="12"/>
  <c r="I42" i="12" s="1"/>
  <c r="G42" i="12" s="1"/>
  <c r="E43" i="12"/>
  <c r="I43" i="12" s="1"/>
  <c r="G43" i="12" s="1"/>
  <c r="E44" i="12"/>
  <c r="I44" i="12" s="1"/>
  <c r="G44" i="12" s="1"/>
  <c r="B17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N45" i="3"/>
  <c r="B45" i="3"/>
  <c r="C45" i="3"/>
  <c r="D45" i="3"/>
  <c r="E45" i="3"/>
  <c r="F45" i="3"/>
  <c r="G45" i="3"/>
  <c r="H45" i="3"/>
  <c r="I45" i="3"/>
  <c r="J45" i="3"/>
  <c r="K45" i="3"/>
  <c r="L45" i="3"/>
  <c r="O45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D7" i="24"/>
  <c r="H7" i="24" s="1"/>
  <c r="F7" i="24" s="1"/>
  <c r="B8" i="24"/>
  <c r="D8" i="24" s="1"/>
  <c r="H8" i="24" s="1"/>
  <c r="F8" i="24" s="1"/>
  <c r="B9" i="24"/>
  <c r="D9" i="24" s="1"/>
  <c r="H9" i="24" s="1"/>
  <c r="F9" i="24" s="1"/>
  <c r="B10" i="24"/>
  <c r="D10" i="24" s="1"/>
  <c r="H10" i="24" s="1"/>
  <c r="F10" i="24" s="1"/>
  <c r="B11" i="24"/>
  <c r="D11" i="24" s="1"/>
  <c r="H11" i="24" s="1"/>
  <c r="F11" i="24" s="1"/>
  <c r="B12" i="24"/>
  <c r="D12" i="24" s="1"/>
  <c r="H12" i="24" s="1"/>
  <c r="F12" i="24" s="1"/>
  <c r="B13" i="24"/>
  <c r="D13" i="24" s="1"/>
  <c r="H13" i="24" s="1"/>
  <c r="F13" i="24" s="1"/>
  <c r="B14" i="24"/>
  <c r="D14" i="24" s="1"/>
  <c r="H14" i="24" s="1"/>
  <c r="F14" i="24" s="1"/>
  <c r="B15" i="24"/>
  <c r="D15" i="24" s="1"/>
  <c r="H15" i="24"/>
  <c r="F15" i="24" s="1"/>
  <c r="B16" i="24"/>
  <c r="D16" i="24" s="1"/>
  <c r="H16" i="24" s="1"/>
  <c r="F16" i="24"/>
  <c r="B17" i="24"/>
  <c r="D17" i="24" s="1"/>
  <c r="H17" i="24" s="1"/>
  <c r="F17" i="24" s="1"/>
  <c r="B18" i="24"/>
  <c r="D18" i="24" s="1"/>
  <c r="H18" i="24" s="1"/>
  <c r="F18" i="24" s="1"/>
  <c r="B19" i="24"/>
  <c r="D19" i="24" s="1"/>
  <c r="H19" i="24" s="1"/>
  <c r="F19" i="24" s="1"/>
  <c r="B20" i="24"/>
  <c r="D20" i="24" s="1"/>
  <c r="H20" i="24" s="1"/>
  <c r="F20" i="24" s="1"/>
  <c r="B21" i="24"/>
  <c r="D21" i="24" s="1"/>
  <c r="H21" i="24" s="1"/>
  <c r="F21" i="24" s="1"/>
  <c r="B22" i="24"/>
  <c r="D22" i="24" s="1"/>
  <c r="H22" i="24"/>
  <c r="F22" i="24" s="1"/>
  <c r="B23" i="24"/>
  <c r="D23" i="24" s="1"/>
  <c r="H23" i="24" s="1"/>
  <c r="F23" i="24" s="1"/>
  <c r="B24" i="24"/>
  <c r="D24" i="24" s="1"/>
  <c r="H24" i="24" s="1"/>
  <c r="F24" i="24" s="1"/>
  <c r="B25" i="24"/>
  <c r="D25" i="24" s="1"/>
  <c r="H25" i="24" s="1"/>
  <c r="F25" i="24" s="1"/>
  <c r="B26" i="24"/>
  <c r="D26" i="24" s="1"/>
  <c r="H26" i="24" s="1"/>
  <c r="F26" i="24" s="1"/>
  <c r="D27" i="24"/>
  <c r="H27" i="24" s="1"/>
  <c r="F27" i="24" s="1"/>
  <c r="B28" i="24"/>
  <c r="D28" i="24" s="1"/>
  <c r="H28" i="24" s="1"/>
  <c r="F28" i="24" s="1"/>
  <c r="B29" i="24"/>
  <c r="D29" i="24" s="1"/>
  <c r="H29" i="24" s="1"/>
  <c r="F29" i="24" s="1"/>
  <c r="B30" i="24"/>
  <c r="D30" i="24" s="1"/>
  <c r="H30" i="24" s="1"/>
  <c r="F30" i="24" s="1"/>
  <c r="B31" i="24"/>
  <c r="D31" i="24" s="1"/>
  <c r="H31" i="24" s="1"/>
  <c r="F31" i="24" s="1"/>
  <c r="B32" i="24"/>
  <c r="D32" i="24" s="1"/>
  <c r="H32" i="24" s="1"/>
  <c r="F32" i="24" s="1"/>
  <c r="B33" i="24"/>
  <c r="D33" i="24" s="1"/>
  <c r="H33" i="24" s="1"/>
  <c r="F33" i="24" s="1"/>
  <c r="B34" i="24"/>
  <c r="D34" i="24" s="1"/>
  <c r="H34" i="24" s="1"/>
  <c r="F34" i="24" s="1"/>
  <c r="B35" i="24"/>
  <c r="D35" i="24"/>
  <c r="H35" i="24" s="1"/>
  <c r="F35" i="24" s="1"/>
  <c r="B36" i="24"/>
  <c r="D36" i="24" s="1"/>
  <c r="H36" i="24" s="1"/>
  <c r="F36" i="24" s="1"/>
  <c r="B37" i="24"/>
  <c r="D37" i="24" s="1"/>
  <c r="H37" i="24" s="1"/>
  <c r="F37" i="24" s="1"/>
  <c r="B38" i="24"/>
  <c r="D38" i="24" s="1"/>
  <c r="H38" i="24" s="1"/>
  <c r="F38" i="24" s="1"/>
  <c r="B39" i="24"/>
  <c r="D39" i="24" s="1"/>
  <c r="H39" i="24" s="1"/>
  <c r="F39" i="24" s="1"/>
  <c r="B40" i="24"/>
  <c r="D40" i="24" s="1"/>
  <c r="H40" i="24" s="1"/>
  <c r="F40" i="24" s="1"/>
  <c r="B41" i="24"/>
  <c r="D41" i="24" s="1"/>
  <c r="H41" i="24" s="1"/>
  <c r="F41" i="24" s="1"/>
  <c r="B42" i="24"/>
  <c r="D42" i="24"/>
  <c r="H42" i="24" s="1"/>
  <c r="F42" i="24" s="1"/>
  <c r="B43" i="24"/>
  <c r="D43" i="24" s="1"/>
  <c r="H43" i="24" s="1"/>
  <c r="F43" i="24" s="1"/>
  <c r="B44" i="24"/>
  <c r="D44" i="24" s="1"/>
  <c r="E7" i="8"/>
  <c r="I7" i="8" s="1"/>
  <c r="G7" i="8" s="1"/>
  <c r="B8" i="8"/>
  <c r="E8" i="8" s="1"/>
  <c r="I8" i="8" s="1"/>
  <c r="G8" i="8" s="1"/>
  <c r="B9" i="8"/>
  <c r="E9" i="8" s="1"/>
  <c r="I9" i="8" s="1"/>
  <c r="G9" i="8" s="1"/>
  <c r="B10" i="8"/>
  <c r="E10" i="8" s="1"/>
  <c r="I10" i="8" s="1"/>
  <c r="G10" i="8" s="1"/>
  <c r="B11" i="8"/>
  <c r="E11" i="8" s="1"/>
  <c r="I11" i="8" s="1"/>
  <c r="G11" i="8" s="1"/>
  <c r="B12" i="8"/>
  <c r="E12" i="8" s="1"/>
  <c r="I12" i="8" s="1"/>
  <c r="G12" i="8" s="1"/>
  <c r="B13" i="8"/>
  <c r="E13" i="8" s="1"/>
  <c r="I13" i="8" s="1"/>
  <c r="G13" i="8" s="1"/>
  <c r="B14" i="8"/>
  <c r="E14" i="8" s="1"/>
  <c r="I14" i="8" s="1"/>
  <c r="G14" i="8"/>
  <c r="B15" i="8"/>
  <c r="E15" i="8" s="1"/>
  <c r="I15" i="8" s="1"/>
  <c r="G15" i="8" s="1"/>
  <c r="B16" i="8"/>
  <c r="E16" i="8" s="1"/>
  <c r="I16" i="8" s="1"/>
  <c r="G16" i="8" s="1"/>
  <c r="B17" i="8"/>
  <c r="E17" i="8" s="1"/>
  <c r="I17" i="8" s="1"/>
  <c r="G17" i="8" s="1"/>
  <c r="B18" i="8"/>
  <c r="E18" i="8" s="1"/>
  <c r="I18" i="8" s="1"/>
  <c r="G18" i="8" s="1"/>
  <c r="B19" i="8"/>
  <c r="E19" i="8" s="1"/>
  <c r="I19" i="8" s="1"/>
  <c r="G19" i="8" s="1"/>
  <c r="B20" i="8"/>
  <c r="E20" i="8" s="1"/>
  <c r="I20" i="8" s="1"/>
  <c r="G20" i="8" s="1"/>
  <c r="B21" i="8"/>
  <c r="E21" i="8" s="1"/>
  <c r="I21" i="8" s="1"/>
  <c r="G21" i="8" s="1"/>
  <c r="B22" i="8"/>
  <c r="E22" i="8" s="1"/>
  <c r="I22" i="8" s="1"/>
  <c r="G22" i="8" s="1"/>
  <c r="B23" i="8"/>
  <c r="E23" i="8" s="1"/>
  <c r="I23" i="8" s="1"/>
  <c r="G23" i="8" s="1"/>
  <c r="B24" i="8"/>
  <c r="E24" i="8" s="1"/>
  <c r="I24" i="8" s="1"/>
  <c r="G24" i="8" s="1"/>
  <c r="B25" i="8"/>
  <c r="E25" i="8" s="1"/>
  <c r="I25" i="8" s="1"/>
  <c r="G25" i="8" s="1"/>
  <c r="B26" i="8"/>
  <c r="E26" i="8" s="1"/>
  <c r="I26" i="8" s="1"/>
  <c r="G26" i="8" s="1"/>
  <c r="B27" i="8"/>
  <c r="E27" i="8" s="1"/>
  <c r="I27" i="8" s="1"/>
  <c r="G27" i="8" s="1"/>
  <c r="B28" i="8"/>
  <c r="E28" i="8" s="1"/>
  <c r="I28" i="8" s="1"/>
  <c r="G28" i="8" s="1"/>
  <c r="B29" i="8"/>
  <c r="E29" i="8" s="1"/>
  <c r="I29" i="8" s="1"/>
  <c r="G29" i="8" s="1"/>
  <c r="B30" i="8"/>
  <c r="E30" i="8" s="1"/>
  <c r="I30" i="8" s="1"/>
  <c r="G30" i="8"/>
  <c r="B31" i="8"/>
  <c r="E31" i="8" s="1"/>
  <c r="I31" i="8" s="1"/>
  <c r="G31" i="8" s="1"/>
  <c r="B32" i="8"/>
  <c r="E32" i="8" s="1"/>
  <c r="I32" i="8" s="1"/>
  <c r="G32" i="8" s="1"/>
  <c r="B33" i="8"/>
  <c r="E33" i="8" s="1"/>
  <c r="I33" i="8" s="1"/>
  <c r="G33" i="8" s="1"/>
  <c r="B34" i="8"/>
  <c r="E34" i="8" s="1"/>
  <c r="I34" i="8" s="1"/>
  <c r="G34" i="8" s="1"/>
  <c r="B35" i="8"/>
  <c r="E35" i="8" s="1"/>
  <c r="I35" i="8" s="1"/>
  <c r="G35" i="8" s="1"/>
  <c r="B36" i="8"/>
  <c r="E36" i="8" s="1"/>
  <c r="I36" i="8" s="1"/>
  <c r="G36" i="8" s="1"/>
  <c r="B37" i="8"/>
  <c r="E37" i="8" s="1"/>
  <c r="I37" i="8" s="1"/>
  <c r="G37" i="8" s="1"/>
  <c r="B38" i="8"/>
  <c r="E38" i="8" s="1"/>
  <c r="I38" i="8" s="1"/>
  <c r="G38" i="8" s="1"/>
  <c r="B39" i="8"/>
  <c r="E39" i="8" s="1"/>
  <c r="I39" i="8" s="1"/>
  <c r="G39" i="8" s="1"/>
  <c r="B40" i="8"/>
  <c r="E40" i="8" s="1"/>
  <c r="I40" i="8" s="1"/>
  <c r="G40" i="8" s="1"/>
  <c r="B41" i="8"/>
  <c r="E41" i="8" s="1"/>
  <c r="I41" i="8" s="1"/>
  <c r="G41" i="8" s="1"/>
  <c r="B42" i="8"/>
  <c r="E42" i="8" s="1"/>
  <c r="I42" i="8"/>
  <c r="G42" i="8" s="1"/>
  <c r="B43" i="8"/>
  <c r="E43" i="8" s="1"/>
  <c r="I43" i="8" s="1"/>
  <c r="G43" i="8" s="1"/>
  <c r="B44" i="8"/>
  <c r="E44" i="8" s="1"/>
  <c r="G44" i="8"/>
  <c r="C8" i="9"/>
  <c r="E8" i="9" s="1"/>
  <c r="K8" i="9" s="1"/>
  <c r="J8" i="9" s="1"/>
  <c r="C9" i="9"/>
  <c r="E9" i="9" s="1"/>
  <c r="K9" i="9" s="1"/>
  <c r="J9" i="9" s="1"/>
  <c r="C10" i="9"/>
  <c r="E10" i="9" s="1"/>
  <c r="K10" i="9" s="1"/>
  <c r="J10" i="9" s="1"/>
  <c r="C11" i="9"/>
  <c r="E11" i="9" s="1"/>
  <c r="K11" i="9" s="1"/>
  <c r="J11" i="9" s="1"/>
  <c r="C12" i="9"/>
  <c r="E12" i="9" s="1"/>
  <c r="K12" i="9" s="1"/>
  <c r="J12" i="9" s="1"/>
  <c r="C13" i="9"/>
  <c r="E13" i="9" s="1"/>
  <c r="K13" i="9" s="1"/>
  <c r="J13" i="9" s="1"/>
  <c r="C14" i="9"/>
  <c r="E14" i="9" s="1"/>
  <c r="K14" i="9" s="1"/>
  <c r="J14" i="9" s="1"/>
  <c r="C15" i="9"/>
  <c r="E15" i="9"/>
  <c r="K15" i="9" s="1"/>
  <c r="J15" i="9" s="1"/>
  <c r="C16" i="9"/>
  <c r="E16" i="9" s="1"/>
  <c r="K16" i="9" s="1"/>
  <c r="J16" i="9" s="1"/>
  <c r="C17" i="9"/>
  <c r="E17" i="9" s="1"/>
  <c r="K17" i="9" s="1"/>
  <c r="J17" i="9" s="1"/>
  <c r="C18" i="9"/>
  <c r="E18" i="9" s="1"/>
  <c r="K18" i="9" s="1"/>
  <c r="J18" i="9" s="1"/>
  <c r="C19" i="9"/>
  <c r="E19" i="9"/>
  <c r="K19" i="9" s="1"/>
  <c r="J19" i="9" s="1"/>
  <c r="C20" i="9"/>
  <c r="E20" i="9" s="1"/>
  <c r="K20" i="9" s="1"/>
  <c r="J20" i="9" s="1"/>
  <c r="C21" i="9"/>
  <c r="E21" i="9" s="1"/>
  <c r="K21" i="9" s="1"/>
  <c r="J21" i="9" s="1"/>
  <c r="C22" i="9"/>
  <c r="E22" i="9" s="1"/>
  <c r="K22" i="9" s="1"/>
  <c r="J22" i="9" s="1"/>
  <c r="C23" i="9"/>
  <c r="E23" i="9" s="1"/>
  <c r="K23" i="9" s="1"/>
  <c r="J23" i="9" s="1"/>
  <c r="C24" i="9"/>
  <c r="E24" i="9" s="1"/>
  <c r="K24" i="9" s="1"/>
  <c r="J24" i="9" s="1"/>
  <c r="C25" i="9"/>
  <c r="E25" i="9"/>
  <c r="K25" i="9" s="1"/>
  <c r="J25" i="9" s="1"/>
  <c r="C26" i="9"/>
  <c r="E26" i="9" s="1"/>
  <c r="K26" i="9" s="1"/>
  <c r="J26" i="9" s="1"/>
  <c r="C27" i="9"/>
  <c r="E27" i="9" s="1"/>
  <c r="K27" i="9" s="1"/>
  <c r="J27" i="9" s="1"/>
  <c r="C28" i="9"/>
  <c r="E28" i="9" s="1"/>
  <c r="K28" i="9" s="1"/>
  <c r="J28" i="9" s="1"/>
  <c r="C29" i="9"/>
  <c r="E29" i="9" s="1"/>
  <c r="K29" i="9" s="1"/>
  <c r="J29" i="9" s="1"/>
  <c r="C30" i="9"/>
  <c r="E30" i="9" s="1"/>
  <c r="K30" i="9" s="1"/>
  <c r="J30" i="9" s="1"/>
  <c r="C31" i="9"/>
  <c r="E31" i="9" s="1"/>
  <c r="K31" i="9" s="1"/>
  <c r="J31" i="9" s="1"/>
  <c r="C32" i="9"/>
  <c r="E32" i="9" s="1"/>
  <c r="K32" i="9" s="1"/>
  <c r="J32" i="9" s="1"/>
  <c r="C33" i="9"/>
  <c r="E33" i="9" s="1"/>
  <c r="K33" i="9" s="1"/>
  <c r="J33" i="9" s="1"/>
  <c r="C34" i="9"/>
  <c r="E34" i="9" s="1"/>
  <c r="K34" i="9" s="1"/>
  <c r="J34" i="9" s="1"/>
  <c r="C35" i="9"/>
  <c r="E35" i="9" s="1"/>
  <c r="K35" i="9" s="1"/>
  <c r="J35" i="9" s="1"/>
  <c r="C36" i="9"/>
  <c r="E36" i="9" s="1"/>
  <c r="K36" i="9" s="1"/>
  <c r="J36" i="9" s="1"/>
  <c r="C37" i="9"/>
  <c r="E37" i="9" s="1"/>
  <c r="K37" i="9" s="1"/>
  <c r="J37" i="9" s="1"/>
  <c r="C38" i="9"/>
  <c r="E38" i="9" s="1"/>
  <c r="K38" i="9" s="1"/>
  <c r="J38" i="9" s="1"/>
  <c r="C39" i="9"/>
  <c r="E39" i="9"/>
  <c r="K39" i="9" s="1"/>
  <c r="J39" i="9" s="1"/>
  <c r="C40" i="9"/>
  <c r="E40" i="9" s="1"/>
  <c r="K40" i="9" s="1"/>
  <c r="J40" i="9" s="1"/>
  <c r="C41" i="9"/>
  <c r="E41" i="9"/>
  <c r="K41" i="9" s="1"/>
  <c r="J41" i="9" s="1"/>
  <c r="C42" i="9"/>
  <c r="E42" i="9" s="1"/>
  <c r="K42" i="9" s="1"/>
  <c r="J42" i="9" s="1"/>
  <c r="C43" i="9"/>
  <c r="J43" i="9"/>
  <c r="K43" i="9"/>
  <c r="C44" i="9"/>
  <c r="E44" i="9" s="1"/>
  <c r="K44" i="9" s="1"/>
  <c r="J44" i="9" s="1"/>
  <c r="C45" i="9"/>
  <c r="E45" i="9" s="1"/>
  <c r="K45" i="9" s="1"/>
  <c r="J45" i="9" s="1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E7" i="45"/>
  <c r="I7" i="45" s="1"/>
  <c r="G7" i="45" s="1"/>
  <c r="B8" i="45"/>
  <c r="E8" i="45" s="1"/>
  <c r="I8" i="45" s="1"/>
  <c r="G8" i="45" s="1"/>
  <c r="B9" i="45"/>
  <c r="E9" i="45" s="1"/>
  <c r="I9" i="45" s="1"/>
  <c r="G9" i="45" s="1"/>
  <c r="B10" i="45"/>
  <c r="E10" i="45" s="1"/>
  <c r="I10" i="45" s="1"/>
  <c r="G10" i="45" s="1"/>
  <c r="B11" i="45"/>
  <c r="E11" i="45" s="1"/>
  <c r="I11" i="45" s="1"/>
  <c r="G11" i="45" s="1"/>
  <c r="B12" i="45"/>
  <c r="E12" i="45" s="1"/>
  <c r="I12" i="45" s="1"/>
  <c r="G12" i="45" s="1"/>
  <c r="B13" i="45"/>
  <c r="E13" i="45"/>
  <c r="I13" i="45" s="1"/>
  <c r="G13" i="45" s="1"/>
  <c r="B14" i="45"/>
  <c r="E14" i="45" s="1"/>
  <c r="I14" i="45" s="1"/>
  <c r="G14" i="45" s="1"/>
  <c r="B15" i="45"/>
  <c r="E15" i="45"/>
  <c r="I15" i="45" s="1"/>
  <c r="G15" i="45" s="1"/>
  <c r="B16" i="45"/>
  <c r="E16" i="45" s="1"/>
  <c r="I16" i="45" s="1"/>
  <c r="G16" i="45"/>
  <c r="B17" i="45"/>
  <c r="E17" i="45" s="1"/>
  <c r="I17" i="45" s="1"/>
  <c r="G17" i="45" s="1"/>
  <c r="B18" i="45"/>
  <c r="E18" i="45" s="1"/>
  <c r="I18" i="45" s="1"/>
  <c r="G18" i="45" s="1"/>
  <c r="B19" i="45"/>
  <c r="E19" i="45" s="1"/>
  <c r="I19" i="45" s="1"/>
  <c r="G19" i="45" s="1"/>
  <c r="B20" i="45"/>
  <c r="E20" i="45" s="1"/>
  <c r="I20" i="45" s="1"/>
  <c r="G20" i="45" s="1"/>
  <c r="B21" i="45"/>
  <c r="E21" i="45" s="1"/>
  <c r="I21" i="45" s="1"/>
  <c r="G21" i="45" s="1"/>
  <c r="B22" i="45"/>
  <c r="E22" i="45"/>
  <c r="I22" i="45" s="1"/>
  <c r="G22" i="45" s="1"/>
  <c r="B23" i="45"/>
  <c r="E23" i="45"/>
  <c r="I23" i="45" s="1"/>
  <c r="G23" i="45" s="1"/>
  <c r="B24" i="45"/>
  <c r="E24" i="45" s="1"/>
  <c r="I24" i="45" s="1"/>
  <c r="G24" i="45" s="1"/>
  <c r="B25" i="45"/>
  <c r="E25" i="45" s="1"/>
  <c r="I25" i="45" s="1"/>
  <c r="G25" i="45" s="1"/>
  <c r="B26" i="45"/>
  <c r="E26" i="45" s="1"/>
  <c r="I26" i="45" s="1"/>
  <c r="G26" i="45" s="1"/>
  <c r="B27" i="45"/>
  <c r="E27" i="45" s="1"/>
  <c r="I27" i="45" s="1"/>
  <c r="G27" i="45" s="1"/>
  <c r="B28" i="45"/>
  <c r="E28" i="45" s="1"/>
  <c r="I28" i="45" s="1"/>
  <c r="G28" i="45" s="1"/>
  <c r="B29" i="45"/>
  <c r="E29" i="45" s="1"/>
  <c r="I29" i="45" s="1"/>
  <c r="G29" i="45" s="1"/>
  <c r="B30" i="45"/>
  <c r="E30" i="45" s="1"/>
  <c r="I30" i="45" s="1"/>
  <c r="G30" i="45" s="1"/>
  <c r="B31" i="45"/>
  <c r="E31" i="45" s="1"/>
  <c r="I31" i="45" s="1"/>
  <c r="G31" i="45" s="1"/>
  <c r="B32" i="45"/>
  <c r="E32" i="45" s="1"/>
  <c r="I32" i="45" s="1"/>
  <c r="G32" i="45" s="1"/>
  <c r="B33" i="45"/>
  <c r="E33" i="45"/>
  <c r="I33" i="45" s="1"/>
  <c r="G33" i="45"/>
  <c r="E7" i="46"/>
  <c r="I7" i="46" s="1"/>
  <c r="G7" i="46" s="1"/>
  <c r="B8" i="46"/>
  <c r="E8" i="46" s="1"/>
  <c r="I8" i="46" s="1"/>
  <c r="G8" i="46" s="1"/>
  <c r="B9" i="46"/>
  <c r="E9" i="46" s="1"/>
  <c r="I9" i="46" s="1"/>
  <c r="G9" i="46" s="1"/>
  <c r="B10" i="46"/>
  <c r="E10" i="46" s="1"/>
  <c r="I10" i="46"/>
  <c r="G10" i="46" s="1"/>
  <c r="B11" i="46"/>
  <c r="E11" i="46" s="1"/>
  <c r="I11" i="46" s="1"/>
  <c r="G11" i="46" s="1"/>
  <c r="B12" i="46"/>
  <c r="E12" i="46" s="1"/>
  <c r="I12" i="46" s="1"/>
  <c r="G12" i="46" s="1"/>
  <c r="B13" i="46"/>
  <c r="E13" i="46" s="1"/>
  <c r="I13" i="46" s="1"/>
  <c r="G13" i="46" s="1"/>
  <c r="B14" i="46"/>
  <c r="E14" i="46" s="1"/>
  <c r="I14" i="46" s="1"/>
  <c r="G14" i="46" s="1"/>
  <c r="B15" i="46"/>
  <c r="E15" i="46" s="1"/>
  <c r="I15" i="46" s="1"/>
  <c r="G15" i="46" s="1"/>
  <c r="B16" i="46"/>
  <c r="E16" i="46" s="1"/>
  <c r="I16" i="46" s="1"/>
  <c r="G16" i="46" s="1"/>
  <c r="B17" i="46"/>
  <c r="E17" i="46" s="1"/>
  <c r="I17" i="46" s="1"/>
  <c r="G17" i="46" s="1"/>
  <c r="B18" i="46"/>
  <c r="E18" i="46" s="1"/>
  <c r="I18" i="46" s="1"/>
  <c r="G18" i="46" s="1"/>
  <c r="B19" i="46"/>
  <c r="E19" i="46" s="1"/>
  <c r="I19" i="46" s="1"/>
  <c r="G19" i="46" s="1"/>
  <c r="B20" i="46"/>
  <c r="E20" i="46" s="1"/>
  <c r="I20" i="46" s="1"/>
  <c r="G20" i="46" s="1"/>
  <c r="B21" i="46"/>
  <c r="E21" i="46" s="1"/>
  <c r="I21" i="46" s="1"/>
  <c r="G21" i="46" s="1"/>
  <c r="B22" i="46"/>
  <c r="E22" i="46" s="1"/>
  <c r="I22" i="46" s="1"/>
  <c r="G22" i="46" s="1"/>
  <c r="B23" i="46"/>
  <c r="E23" i="46" s="1"/>
  <c r="I23" i="46" s="1"/>
  <c r="G23" i="46" s="1"/>
  <c r="B24" i="46"/>
  <c r="E24" i="46" s="1"/>
  <c r="I24" i="46" s="1"/>
  <c r="G24" i="46" s="1"/>
  <c r="B25" i="46"/>
  <c r="E25" i="46" s="1"/>
  <c r="I25" i="46" s="1"/>
  <c r="G25" i="46" s="1"/>
  <c r="B26" i="46"/>
  <c r="E26" i="46" s="1"/>
  <c r="I26" i="46"/>
  <c r="G26" i="46" s="1"/>
  <c r="B27" i="46"/>
  <c r="E27" i="46" s="1"/>
  <c r="I27" i="46" s="1"/>
  <c r="G27" i="46" s="1"/>
  <c r="B28" i="46"/>
  <c r="E28" i="46" s="1"/>
  <c r="I28" i="46" s="1"/>
  <c r="G28" i="46" s="1"/>
  <c r="B29" i="46"/>
  <c r="E29" i="46" s="1"/>
  <c r="I29" i="46" s="1"/>
  <c r="G29" i="46" s="1"/>
  <c r="B30" i="46"/>
  <c r="E30" i="46" s="1"/>
  <c r="I30" i="46" s="1"/>
  <c r="G30" i="46" s="1"/>
  <c r="B31" i="46"/>
  <c r="E31" i="46" s="1"/>
  <c r="I31" i="46" s="1"/>
  <c r="G31" i="46" s="1"/>
  <c r="B32" i="46"/>
  <c r="E32" i="46" s="1"/>
  <c r="I32" i="46" s="1"/>
  <c r="G32" i="46" s="1"/>
  <c r="B33" i="46"/>
  <c r="E33" i="46" s="1"/>
  <c r="D8" i="47"/>
  <c r="I8" i="47"/>
  <c r="M8" i="47" s="1"/>
  <c r="D9" i="47"/>
  <c r="F9" i="47"/>
  <c r="I9" i="47" s="1"/>
  <c r="M9" i="47" s="1"/>
  <c r="D10" i="47"/>
  <c r="F10" i="47"/>
  <c r="I10" i="47" s="1"/>
  <c r="M10" i="47" s="1"/>
  <c r="D11" i="47"/>
  <c r="F11" i="47"/>
  <c r="I11" i="47" s="1"/>
  <c r="M11" i="47" s="1"/>
  <c r="D12" i="47"/>
  <c r="F12" i="47"/>
  <c r="I12" i="47" s="1"/>
  <c r="M12" i="47" s="1"/>
  <c r="D13" i="47"/>
  <c r="F13" i="47"/>
  <c r="I13" i="47" s="1"/>
  <c r="M13" i="47" s="1"/>
  <c r="D14" i="47"/>
  <c r="F14" i="47"/>
  <c r="I14" i="47" s="1"/>
  <c r="M14" i="47" s="1"/>
  <c r="D15" i="47"/>
  <c r="F15" i="47"/>
  <c r="I15" i="47" s="1"/>
  <c r="M15" i="47" s="1"/>
  <c r="D16" i="47"/>
  <c r="F16" i="47"/>
  <c r="I16" i="47" s="1"/>
  <c r="M16" i="47" s="1"/>
  <c r="D17" i="47"/>
  <c r="F17" i="47"/>
  <c r="I17" i="47" s="1"/>
  <c r="M17" i="47" s="1"/>
  <c r="D18" i="47"/>
  <c r="F18" i="47"/>
  <c r="I18" i="47" s="1"/>
  <c r="M18" i="47" s="1"/>
  <c r="D19" i="47"/>
  <c r="F19" i="47"/>
  <c r="I19" i="47" s="1"/>
  <c r="M19" i="47" s="1"/>
  <c r="D20" i="47"/>
  <c r="F20" i="47"/>
  <c r="I20" i="47" s="1"/>
  <c r="M20" i="47" s="1"/>
  <c r="D21" i="47"/>
  <c r="F21" i="47"/>
  <c r="I21" i="47" s="1"/>
  <c r="M21" i="47" s="1"/>
  <c r="D22" i="47"/>
  <c r="F22" i="47"/>
  <c r="I22" i="47" s="1"/>
  <c r="M22" i="47" s="1"/>
  <c r="D23" i="47"/>
  <c r="F23" i="47"/>
  <c r="I23" i="47" s="1"/>
  <c r="M23" i="47" s="1"/>
  <c r="D24" i="47"/>
  <c r="F24" i="47"/>
  <c r="I24" i="47" s="1"/>
  <c r="M24" i="47" s="1"/>
  <c r="D25" i="47"/>
  <c r="F25" i="47"/>
  <c r="I25" i="47" s="1"/>
  <c r="M25" i="47" s="1"/>
  <c r="D26" i="47"/>
  <c r="F26" i="47"/>
  <c r="I26" i="47" s="1"/>
  <c r="M26" i="47" s="1"/>
  <c r="D27" i="47"/>
  <c r="F27" i="47"/>
  <c r="I27" i="47" s="1"/>
  <c r="M27" i="47" s="1"/>
  <c r="D28" i="47"/>
  <c r="F28" i="47"/>
  <c r="I28" i="47" s="1"/>
  <c r="M28" i="47" s="1"/>
  <c r="D29" i="47"/>
  <c r="F29" i="47"/>
  <c r="I29" i="47" s="1"/>
  <c r="M29" i="47" s="1"/>
  <c r="D30" i="47"/>
  <c r="F30" i="47"/>
  <c r="I30" i="47" s="1"/>
  <c r="M30" i="47" s="1"/>
  <c r="D31" i="47"/>
  <c r="F31" i="47"/>
  <c r="I31" i="47" s="1"/>
  <c r="M31" i="47" s="1"/>
  <c r="D32" i="47"/>
  <c r="F32" i="47"/>
  <c r="I32" i="47" s="1"/>
  <c r="M32" i="47" s="1"/>
  <c r="D33" i="47"/>
  <c r="F33" i="47"/>
  <c r="I33" i="47" s="1"/>
  <c r="M33" i="47" s="1"/>
  <c r="D34" i="47"/>
  <c r="F34" i="47"/>
  <c r="I34" i="47" s="1"/>
  <c r="E8" i="16"/>
  <c r="I8" i="16" s="1"/>
  <c r="G8" i="16" s="1"/>
  <c r="B9" i="16"/>
  <c r="E9" i="16" s="1"/>
  <c r="I9" i="16" s="1"/>
  <c r="G9" i="16" s="1"/>
  <c r="B10" i="16"/>
  <c r="E10" i="16" s="1"/>
  <c r="I10" i="16" s="1"/>
  <c r="G10" i="16" s="1"/>
  <c r="B11" i="16"/>
  <c r="E11" i="16" s="1"/>
  <c r="I11" i="16" s="1"/>
  <c r="G11" i="16" s="1"/>
  <c r="B12" i="16"/>
  <c r="E12" i="16" s="1"/>
  <c r="I12" i="16" s="1"/>
  <c r="G12" i="16" s="1"/>
  <c r="B13" i="16"/>
  <c r="E13" i="16" s="1"/>
  <c r="I13" i="16" s="1"/>
  <c r="G13" i="16" s="1"/>
  <c r="B14" i="16"/>
  <c r="E14" i="16" s="1"/>
  <c r="I14" i="16" s="1"/>
  <c r="G14" i="16" s="1"/>
  <c r="B15" i="16"/>
  <c r="E15" i="16" s="1"/>
  <c r="I15" i="16" s="1"/>
  <c r="G15" i="16" s="1"/>
  <c r="B16" i="16"/>
  <c r="E16" i="16" s="1"/>
  <c r="I16" i="16" s="1"/>
  <c r="G16" i="16" s="1"/>
  <c r="B17" i="16"/>
  <c r="E17" i="16" s="1"/>
  <c r="I17" i="16" s="1"/>
  <c r="G17" i="16" s="1"/>
  <c r="B18" i="16"/>
  <c r="E18" i="16" s="1"/>
  <c r="I18" i="16" s="1"/>
  <c r="G18" i="16" s="1"/>
  <c r="B19" i="16"/>
  <c r="E19" i="16" s="1"/>
  <c r="I19" i="16" s="1"/>
  <c r="G19" i="16" s="1"/>
  <c r="B20" i="16"/>
  <c r="E20" i="16"/>
  <c r="I20" i="16" s="1"/>
  <c r="G20" i="16" s="1"/>
  <c r="B21" i="16"/>
  <c r="E21" i="16" s="1"/>
  <c r="I21" i="16" s="1"/>
  <c r="G21" i="16" s="1"/>
  <c r="B22" i="16"/>
  <c r="E22" i="16"/>
  <c r="I22" i="16" s="1"/>
  <c r="G22" i="16" s="1"/>
  <c r="B23" i="16"/>
  <c r="E23" i="16" s="1"/>
  <c r="I23" i="16" s="1"/>
  <c r="G23" i="16" s="1"/>
  <c r="B24" i="16"/>
  <c r="E24" i="16" s="1"/>
  <c r="I24" i="16" s="1"/>
  <c r="G24" i="16" s="1"/>
  <c r="B25" i="16"/>
  <c r="E25" i="16" s="1"/>
  <c r="I25" i="16" s="1"/>
  <c r="G25" i="16" s="1"/>
  <c r="B26" i="16"/>
  <c r="E26" i="16" s="1"/>
  <c r="I26" i="16" s="1"/>
  <c r="G26" i="16" s="1"/>
  <c r="B27" i="16"/>
  <c r="E27" i="16" s="1"/>
  <c r="I27" i="16" s="1"/>
  <c r="G27" i="16" s="1"/>
  <c r="B28" i="16"/>
  <c r="E28" i="16" s="1"/>
  <c r="I28" i="16" s="1"/>
  <c r="G28" i="16" s="1"/>
  <c r="B29" i="16"/>
  <c r="E29" i="16" s="1"/>
  <c r="I29" i="16" s="1"/>
  <c r="G29" i="16" s="1"/>
  <c r="B30" i="16"/>
  <c r="E30" i="16"/>
  <c r="I30" i="16" s="1"/>
  <c r="G30" i="16" s="1"/>
  <c r="B31" i="16"/>
  <c r="E31" i="16" s="1"/>
  <c r="I31" i="16" s="1"/>
  <c r="G31" i="16" s="1"/>
  <c r="B32" i="16"/>
  <c r="E32" i="16" s="1"/>
  <c r="I32" i="16" s="1"/>
  <c r="G32" i="16" s="1"/>
  <c r="B33" i="16"/>
  <c r="E33" i="16" s="1"/>
  <c r="I33" i="16" s="1"/>
  <c r="G33" i="16" s="1"/>
  <c r="B34" i="16"/>
  <c r="E34" i="16" s="1"/>
  <c r="I34" i="16" s="1"/>
  <c r="G34" i="16" s="1"/>
  <c r="B35" i="16"/>
  <c r="E35" i="16" s="1"/>
  <c r="I35" i="16" s="1"/>
  <c r="G35" i="16" s="1"/>
  <c r="B36" i="16"/>
  <c r="E36" i="16" s="1"/>
  <c r="I36" i="16" s="1"/>
  <c r="G36" i="16" s="1"/>
  <c r="B37" i="16"/>
  <c r="E37" i="16" s="1"/>
  <c r="I37" i="16" s="1"/>
  <c r="G37" i="16" s="1"/>
  <c r="B38" i="16"/>
  <c r="E38" i="16"/>
  <c r="I38" i="16" s="1"/>
  <c r="G38" i="16" s="1"/>
  <c r="B39" i="16"/>
  <c r="E39" i="16" s="1"/>
  <c r="I39" i="16" s="1"/>
  <c r="G39" i="16" s="1"/>
  <c r="B40" i="16"/>
  <c r="E40" i="16" s="1"/>
  <c r="I40" i="16" s="1"/>
  <c r="G40" i="16" s="1"/>
  <c r="B41" i="16"/>
  <c r="E41" i="16" s="1"/>
  <c r="I41" i="16"/>
  <c r="G41" i="16" s="1"/>
  <c r="B42" i="16"/>
  <c r="E42" i="16" s="1"/>
  <c r="I42" i="16" s="1"/>
  <c r="G42" i="16" s="1"/>
  <c r="B43" i="16"/>
  <c r="E43" i="16"/>
  <c r="I43" i="16" s="1"/>
  <c r="G43" i="16" s="1"/>
  <c r="B44" i="16"/>
  <c r="E44" i="16" s="1"/>
  <c r="I44" i="16" s="1"/>
  <c r="G44" i="16" s="1"/>
  <c r="B45" i="16"/>
  <c r="E45" i="16" s="1"/>
  <c r="I45" i="16" s="1"/>
  <c r="G45" i="16" s="1"/>
  <c r="E8" i="31"/>
  <c r="I8" i="31" s="1"/>
  <c r="G8" i="31" s="1"/>
  <c r="B9" i="31"/>
  <c r="E9" i="31" s="1"/>
  <c r="I9" i="31" s="1"/>
  <c r="G9" i="31" s="1"/>
  <c r="B10" i="31"/>
  <c r="E10" i="31" s="1"/>
  <c r="I10" i="31" s="1"/>
  <c r="G10" i="31" s="1"/>
  <c r="B11" i="31"/>
  <c r="E11" i="31" s="1"/>
  <c r="I11" i="31" s="1"/>
  <c r="G11" i="31" s="1"/>
  <c r="B12" i="31"/>
  <c r="E12" i="31"/>
  <c r="I12" i="31" s="1"/>
  <c r="G12" i="31" s="1"/>
  <c r="B13" i="31"/>
  <c r="E13" i="31" s="1"/>
  <c r="I13" i="31" s="1"/>
  <c r="G13" i="31" s="1"/>
  <c r="B14" i="31"/>
  <c r="E14" i="31" s="1"/>
  <c r="I14" i="31" s="1"/>
  <c r="G14" i="31" s="1"/>
  <c r="B15" i="31"/>
  <c r="E15" i="31"/>
  <c r="I15" i="31" s="1"/>
  <c r="G15" i="31" s="1"/>
  <c r="B16" i="31"/>
  <c r="E16" i="31" s="1"/>
  <c r="I16" i="31" s="1"/>
  <c r="G16" i="31" s="1"/>
  <c r="B17" i="31"/>
  <c r="E17" i="31" s="1"/>
  <c r="I17" i="31"/>
  <c r="G17" i="31" s="1"/>
  <c r="B18" i="31"/>
  <c r="E18" i="31" s="1"/>
  <c r="I18" i="31" s="1"/>
  <c r="G18" i="31" s="1"/>
  <c r="B19" i="31"/>
  <c r="E19" i="31" s="1"/>
  <c r="I19" i="31" s="1"/>
  <c r="G19" i="31" s="1"/>
  <c r="B20" i="31"/>
  <c r="E20" i="31" s="1"/>
  <c r="I20" i="31" s="1"/>
  <c r="G20" i="31" s="1"/>
  <c r="B21" i="31"/>
  <c r="E21" i="31"/>
  <c r="I21" i="31" s="1"/>
  <c r="G21" i="31" s="1"/>
  <c r="B22" i="31"/>
  <c r="E22" i="31" s="1"/>
  <c r="I22" i="31" s="1"/>
  <c r="G22" i="31" s="1"/>
  <c r="B23" i="31"/>
  <c r="E23" i="31" s="1"/>
  <c r="I23" i="31" s="1"/>
  <c r="G23" i="31" s="1"/>
  <c r="B24" i="31"/>
  <c r="E24" i="31"/>
  <c r="I24" i="31" s="1"/>
  <c r="G24" i="31" s="1"/>
  <c r="B25" i="31"/>
  <c r="E25" i="31" s="1"/>
  <c r="I25" i="31" s="1"/>
  <c r="G25" i="31" s="1"/>
  <c r="B26" i="31"/>
  <c r="E26" i="31" s="1"/>
  <c r="I26" i="31" s="1"/>
  <c r="G26" i="31" s="1"/>
  <c r="B27" i="31"/>
  <c r="E27" i="31" s="1"/>
  <c r="I27" i="31" s="1"/>
  <c r="G27" i="31" s="1"/>
  <c r="B28" i="31"/>
  <c r="E28" i="31"/>
  <c r="I28" i="31" s="1"/>
  <c r="G28" i="31" s="1"/>
  <c r="B29" i="31"/>
  <c r="E29" i="31" s="1"/>
  <c r="I29" i="31" s="1"/>
  <c r="G29" i="31" s="1"/>
  <c r="B30" i="31"/>
  <c r="E30" i="31"/>
  <c r="I30" i="31" s="1"/>
  <c r="G30" i="31" s="1"/>
  <c r="B31" i="31"/>
  <c r="E31" i="31" s="1"/>
  <c r="I31" i="31"/>
  <c r="G31" i="31" s="1"/>
  <c r="B32" i="31"/>
  <c r="E32" i="31" s="1"/>
  <c r="I32" i="31" s="1"/>
  <c r="G32" i="31" s="1"/>
  <c r="B33" i="31"/>
  <c r="E33" i="31" s="1"/>
  <c r="I33" i="31" s="1"/>
  <c r="G33" i="31" s="1"/>
  <c r="B34" i="31"/>
  <c r="E34" i="31" s="1"/>
  <c r="I34" i="31" s="1"/>
  <c r="G34" i="31" s="1"/>
  <c r="B35" i="31"/>
  <c r="E35" i="31" s="1"/>
  <c r="I35" i="31" s="1"/>
  <c r="G35" i="31" s="1"/>
  <c r="B36" i="31"/>
  <c r="E36" i="31"/>
  <c r="I36" i="31" s="1"/>
  <c r="G36" i="31" s="1"/>
  <c r="B37" i="31"/>
  <c r="E37" i="31" s="1"/>
  <c r="I37" i="31" s="1"/>
  <c r="G37" i="31" s="1"/>
  <c r="B38" i="31"/>
  <c r="E38" i="31" s="1"/>
  <c r="I38" i="31" s="1"/>
  <c r="G38" i="31" s="1"/>
  <c r="B39" i="31"/>
  <c r="E39" i="31"/>
  <c r="I39" i="31" s="1"/>
  <c r="G39" i="31" s="1"/>
  <c r="B40" i="31"/>
  <c r="E40" i="31" s="1"/>
  <c r="I40" i="31" s="1"/>
  <c r="G40" i="31" s="1"/>
  <c r="B41" i="31"/>
  <c r="E41" i="31" s="1"/>
  <c r="I41" i="31" s="1"/>
  <c r="G41" i="31" s="1"/>
  <c r="B42" i="31"/>
  <c r="E42" i="31" s="1"/>
  <c r="I42" i="31" s="1"/>
  <c r="B43" i="31"/>
  <c r="E43" i="31"/>
  <c r="I43" i="31"/>
  <c r="G43" i="31" s="1"/>
  <c r="B44" i="31"/>
  <c r="E44" i="31" s="1"/>
  <c r="I44" i="31" s="1"/>
  <c r="G44" i="31" s="1"/>
  <c r="B45" i="31"/>
  <c r="E45" i="31" s="1"/>
  <c r="G45" i="31"/>
  <c r="B9" i="32"/>
  <c r="B10" i="32"/>
  <c r="B11" i="32"/>
  <c r="C11" i="32"/>
  <c r="E11" i="32" s="1"/>
  <c r="J11" i="32" s="1"/>
  <c r="H11" i="32" s="1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J45" i="32"/>
  <c r="H45" i="32" s="1"/>
  <c r="D6" i="33"/>
  <c r="H6" i="33"/>
  <c r="J6" i="33"/>
  <c r="K6" i="33"/>
  <c r="M6" i="33"/>
  <c r="L6" i="33" s="1"/>
  <c r="D7" i="33"/>
  <c r="H7" i="33"/>
  <c r="J7" i="33"/>
  <c r="K7" i="33"/>
  <c r="M7" i="33"/>
  <c r="D8" i="33"/>
  <c r="H8" i="33"/>
  <c r="J8" i="33"/>
  <c r="K8" i="33"/>
  <c r="M8" i="33"/>
  <c r="C10" i="32" s="1"/>
  <c r="D9" i="33"/>
  <c r="H9" i="33"/>
  <c r="J9" i="33"/>
  <c r="K9" i="33"/>
  <c r="M9" i="33"/>
  <c r="L9" i="33" s="1"/>
  <c r="D10" i="33"/>
  <c r="H10" i="33"/>
  <c r="J10" i="33"/>
  <c r="K10" i="33"/>
  <c r="M10" i="33"/>
  <c r="D11" i="33"/>
  <c r="H11" i="33"/>
  <c r="J11" i="33"/>
  <c r="K11" i="33"/>
  <c r="M11" i="33"/>
  <c r="D12" i="33"/>
  <c r="H12" i="33"/>
  <c r="J12" i="33"/>
  <c r="K12" i="33"/>
  <c r="M12" i="33"/>
  <c r="D13" i="33"/>
  <c r="H13" i="33"/>
  <c r="J13" i="33"/>
  <c r="K13" i="33"/>
  <c r="M13" i="33"/>
  <c r="C15" i="32" s="1"/>
  <c r="E15" i="32" s="1"/>
  <c r="J15" i="32" s="1"/>
  <c r="H15" i="32" s="1"/>
  <c r="D14" i="33"/>
  <c r="H14" i="33"/>
  <c r="J14" i="33"/>
  <c r="K14" i="33"/>
  <c r="M14" i="33"/>
  <c r="D15" i="33"/>
  <c r="H15" i="33"/>
  <c r="J15" i="33"/>
  <c r="K15" i="33"/>
  <c r="M15" i="33"/>
  <c r="D16" i="33"/>
  <c r="H16" i="33"/>
  <c r="J16" i="33"/>
  <c r="K16" i="33"/>
  <c r="M16" i="33"/>
  <c r="L16" i="33" s="1"/>
  <c r="D17" i="33"/>
  <c r="H17" i="33"/>
  <c r="J17" i="33"/>
  <c r="K17" i="33"/>
  <c r="M17" i="33"/>
  <c r="D18" i="33"/>
  <c r="H18" i="33"/>
  <c r="J18" i="33"/>
  <c r="K18" i="33"/>
  <c r="M18" i="33"/>
  <c r="D19" i="33"/>
  <c r="H19" i="33"/>
  <c r="J19" i="33"/>
  <c r="K19" i="33"/>
  <c r="M19" i="33"/>
  <c r="C21" i="32" s="1"/>
  <c r="D20" i="33"/>
  <c r="H20" i="33"/>
  <c r="J20" i="33"/>
  <c r="K20" i="33"/>
  <c r="M20" i="33"/>
  <c r="C22" i="32" s="1"/>
  <c r="D21" i="33"/>
  <c r="H21" i="33"/>
  <c r="J21" i="33"/>
  <c r="K21" i="33"/>
  <c r="M21" i="33"/>
  <c r="L21" i="33" s="1"/>
  <c r="D22" i="33"/>
  <c r="H22" i="33"/>
  <c r="J22" i="33"/>
  <c r="K22" i="33"/>
  <c r="M22" i="33"/>
  <c r="C24" i="32" s="1"/>
  <c r="D23" i="33"/>
  <c r="H23" i="33"/>
  <c r="J23" i="33"/>
  <c r="K23" i="33"/>
  <c r="M23" i="33"/>
  <c r="D24" i="33"/>
  <c r="H24" i="33"/>
  <c r="J24" i="33"/>
  <c r="K24" i="33"/>
  <c r="M24" i="33"/>
  <c r="C26" i="32" s="1"/>
  <c r="D25" i="33"/>
  <c r="H25" i="33"/>
  <c r="J25" i="33"/>
  <c r="K25" i="33"/>
  <c r="M25" i="33"/>
  <c r="D26" i="33"/>
  <c r="H26" i="33"/>
  <c r="J26" i="33"/>
  <c r="K26" i="33"/>
  <c r="M26" i="33"/>
  <c r="C28" i="32" s="1"/>
  <c r="E28" i="32" s="1"/>
  <c r="J28" i="32" s="1"/>
  <c r="H28" i="32" s="1"/>
  <c r="D27" i="33"/>
  <c r="H27" i="33"/>
  <c r="J27" i="33"/>
  <c r="K27" i="33"/>
  <c r="M27" i="33"/>
  <c r="C29" i="32" s="1"/>
  <c r="D28" i="33"/>
  <c r="H28" i="33"/>
  <c r="J28" i="33"/>
  <c r="K28" i="33"/>
  <c r="M28" i="33"/>
  <c r="D29" i="33"/>
  <c r="H29" i="33"/>
  <c r="J29" i="33"/>
  <c r="K29" i="33"/>
  <c r="M29" i="33"/>
  <c r="D30" i="33"/>
  <c r="H30" i="33"/>
  <c r="J30" i="33"/>
  <c r="K30" i="33"/>
  <c r="M30" i="33"/>
  <c r="D31" i="33"/>
  <c r="H31" i="33"/>
  <c r="J31" i="33"/>
  <c r="K31" i="33"/>
  <c r="M31" i="33"/>
  <c r="D32" i="33"/>
  <c r="H32" i="33"/>
  <c r="J32" i="33"/>
  <c r="K32" i="33"/>
  <c r="M32" i="33"/>
  <c r="C34" i="32" s="1"/>
  <c r="D33" i="33"/>
  <c r="H33" i="33"/>
  <c r="J33" i="33"/>
  <c r="K33" i="33"/>
  <c r="M33" i="33"/>
  <c r="C35" i="32" s="1"/>
  <c r="E35" i="32" s="1"/>
  <c r="J35" i="32" s="1"/>
  <c r="H35" i="32" s="1"/>
  <c r="D34" i="33"/>
  <c r="H34" i="33"/>
  <c r="J34" i="33"/>
  <c r="K34" i="33"/>
  <c r="M34" i="33"/>
  <c r="C36" i="32" s="1"/>
  <c r="D35" i="33"/>
  <c r="H35" i="33"/>
  <c r="J35" i="33"/>
  <c r="K35" i="33"/>
  <c r="M35" i="33"/>
  <c r="C37" i="32" s="1"/>
  <c r="D36" i="33"/>
  <c r="H36" i="33"/>
  <c r="J36" i="33"/>
  <c r="K36" i="33"/>
  <c r="M36" i="33"/>
  <c r="D37" i="33"/>
  <c r="H37" i="33"/>
  <c r="J37" i="33"/>
  <c r="K37" i="33"/>
  <c r="M37" i="33"/>
  <c r="D38" i="33"/>
  <c r="H38" i="33"/>
  <c r="J38" i="33"/>
  <c r="K38" i="33"/>
  <c r="M38" i="33"/>
  <c r="C40" i="32" s="1"/>
  <c r="D39" i="33"/>
  <c r="H39" i="33"/>
  <c r="J39" i="33"/>
  <c r="K39" i="33"/>
  <c r="M39" i="33"/>
  <c r="D40" i="33"/>
  <c r="H40" i="33"/>
  <c r="J40" i="33"/>
  <c r="K40" i="33"/>
  <c r="M40" i="33"/>
  <c r="C42" i="32" s="1"/>
  <c r="D41" i="33"/>
  <c r="H41" i="33"/>
  <c r="J41" i="33"/>
  <c r="K41" i="33"/>
  <c r="M41" i="33"/>
  <c r="C43" i="32" s="1"/>
  <c r="E43" i="32" s="1"/>
  <c r="J43" i="32" s="1"/>
  <c r="H43" i="32" s="1"/>
  <c r="B42" i="33"/>
  <c r="D42" i="33"/>
  <c r="H42" i="33"/>
  <c r="J42" i="33"/>
  <c r="M42" i="33"/>
  <c r="B43" i="33"/>
  <c r="J43" i="33" s="1"/>
  <c r="D43" i="33"/>
  <c r="H43" i="33"/>
  <c r="M43" i="33"/>
  <c r="C45" i="32" s="1"/>
  <c r="E8" i="38"/>
  <c r="I8" i="38" s="1"/>
  <c r="G8" i="38" s="1"/>
  <c r="B9" i="38"/>
  <c r="E9" i="38" s="1"/>
  <c r="I9" i="38" s="1"/>
  <c r="G9" i="38" s="1"/>
  <c r="B10" i="38"/>
  <c r="E10" i="38" s="1"/>
  <c r="I10" i="38" s="1"/>
  <c r="G10" i="38" s="1"/>
  <c r="B11" i="38"/>
  <c r="E11" i="38" s="1"/>
  <c r="I11" i="38" s="1"/>
  <c r="G11" i="38" s="1"/>
  <c r="B12" i="38"/>
  <c r="E12" i="38" s="1"/>
  <c r="I12" i="38" s="1"/>
  <c r="G12" i="38" s="1"/>
  <c r="B13" i="38"/>
  <c r="E13" i="38" s="1"/>
  <c r="I13" i="38" s="1"/>
  <c r="G13" i="38" s="1"/>
  <c r="B14" i="38"/>
  <c r="E14" i="38"/>
  <c r="I14" i="38" s="1"/>
  <c r="G14" i="38" s="1"/>
  <c r="B15" i="38"/>
  <c r="E15" i="38" s="1"/>
  <c r="I15" i="38" s="1"/>
  <c r="G15" i="38" s="1"/>
  <c r="B16" i="38"/>
  <c r="E16" i="38" s="1"/>
  <c r="I16" i="38" s="1"/>
  <c r="G16" i="38" s="1"/>
  <c r="B17" i="38"/>
  <c r="E17" i="38" s="1"/>
  <c r="I17" i="38" s="1"/>
  <c r="G17" i="38" s="1"/>
  <c r="B18" i="38"/>
  <c r="E18" i="38" s="1"/>
  <c r="I18" i="38" s="1"/>
  <c r="G18" i="38" s="1"/>
  <c r="B19" i="38"/>
  <c r="E19" i="38" s="1"/>
  <c r="I19" i="38" s="1"/>
  <c r="G19" i="38" s="1"/>
  <c r="B20" i="38"/>
  <c r="E20" i="38" s="1"/>
  <c r="I20" i="38" s="1"/>
  <c r="G20" i="38" s="1"/>
  <c r="B21" i="38"/>
  <c r="E21" i="38" s="1"/>
  <c r="I21" i="38" s="1"/>
  <c r="G21" i="38" s="1"/>
  <c r="B22" i="38"/>
  <c r="E22" i="38" s="1"/>
  <c r="I22" i="38" s="1"/>
  <c r="G22" i="38" s="1"/>
  <c r="B23" i="38"/>
  <c r="E23" i="38" s="1"/>
  <c r="I23" i="38" s="1"/>
  <c r="G23" i="38" s="1"/>
  <c r="B24" i="38"/>
  <c r="E24" i="38" s="1"/>
  <c r="I24" i="38" s="1"/>
  <c r="G24" i="38" s="1"/>
  <c r="B25" i="38"/>
  <c r="E25" i="38" s="1"/>
  <c r="I25" i="38" s="1"/>
  <c r="G25" i="38" s="1"/>
  <c r="B26" i="38"/>
  <c r="E26" i="38" s="1"/>
  <c r="I26" i="38" s="1"/>
  <c r="G26" i="38" s="1"/>
  <c r="B27" i="38"/>
  <c r="E27" i="38" s="1"/>
  <c r="I27" i="38" s="1"/>
  <c r="G27" i="38" s="1"/>
  <c r="B28" i="38"/>
  <c r="E28" i="38"/>
  <c r="I28" i="38" s="1"/>
  <c r="G28" i="38" s="1"/>
  <c r="B29" i="38"/>
  <c r="E29" i="38" s="1"/>
  <c r="I29" i="38" s="1"/>
  <c r="G29" i="38" s="1"/>
  <c r="B30" i="38"/>
  <c r="E30" i="38" s="1"/>
  <c r="I30" i="38" s="1"/>
  <c r="G30" i="38" s="1"/>
  <c r="B31" i="38"/>
  <c r="E31" i="38" s="1"/>
  <c r="I31" i="38" s="1"/>
  <c r="G31" i="38" s="1"/>
  <c r="B32" i="38"/>
  <c r="E32" i="38" s="1"/>
  <c r="I32" i="38" s="1"/>
  <c r="G32" i="38" s="1"/>
  <c r="B33" i="38"/>
  <c r="E33" i="38" s="1"/>
  <c r="I33" i="38" s="1"/>
  <c r="G33" i="38" s="1"/>
  <c r="B34" i="38"/>
  <c r="E34" i="38" s="1"/>
  <c r="I34" i="38" s="1"/>
  <c r="G34" i="38" s="1"/>
  <c r="B35" i="38"/>
  <c r="E35" i="38" s="1"/>
  <c r="I35" i="38" s="1"/>
  <c r="G35" i="38" s="1"/>
  <c r="B36" i="38"/>
  <c r="E36" i="38" s="1"/>
  <c r="I36" i="38" s="1"/>
  <c r="G36" i="38" s="1"/>
  <c r="B37" i="38"/>
  <c r="E37" i="38" s="1"/>
  <c r="I37" i="38" s="1"/>
  <c r="G37" i="38" s="1"/>
  <c r="B38" i="38"/>
  <c r="E38" i="38"/>
  <c r="I38" i="38" s="1"/>
  <c r="G38" i="38" s="1"/>
  <c r="B39" i="38"/>
  <c r="E39" i="38"/>
  <c r="I39" i="38" s="1"/>
  <c r="G39" i="38" s="1"/>
  <c r="B40" i="38"/>
  <c r="E40" i="38" s="1"/>
  <c r="I40" i="38" s="1"/>
  <c r="G40" i="38" s="1"/>
  <c r="B41" i="38"/>
  <c r="E41" i="38" s="1"/>
  <c r="I41" i="38" s="1"/>
  <c r="G41" i="38" s="1"/>
  <c r="B42" i="38"/>
  <c r="E42" i="38" s="1"/>
  <c r="I42" i="38" s="1"/>
  <c r="G42" i="38" s="1"/>
  <c r="B43" i="38"/>
  <c r="E43" i="38" s="1"/>
  <c r="I43" i="38" s="1"/>
  <c r="G43" i="38" s="1"/>
  <c r="B44" i="38"/>
  <c r="E44" i="38" s="1"/>
  <c r="I44" i="38" s="1"/>
  <c r="G44" i="38" s="1"/>
  <c r="B45" i="38"/>
  <c r="E45" i="38" s="1"/>
  <c r="I45" i="38" s="1"/>
  <c r="G45" i="38" s="1"/>
  <c r="E8" i="39"/>
  <c r="I8" i="39"/>
  <c r="G8" i="39" s="1"/>
  <c r="B9" i="39"/>
  <c r="E9" i="39" s="1"/>
  <c r="I9" i="39" s="1"/>
  <c r="G9" i="39" s="1"/>
  <c r="B10" i="39"/>
  <c r="E10" i="39" s="1"/>
  <c r="I10" i="39" s="1"/>
  <c r="G10" i="39" s="1"/>
  <c r="B11" i="39"/>
  <c r="E11" i="39" s="1"/>
  <c r="I11" i="39" s="1"/>
  <c r="G11" i="39" s="1"/>
  <c r="B12" i="39"/>
  <c r="E12" i="39" s="1"/>
  <c r="I12" i="39" s="1"/>
  <c r="G12" i="39" s="1"/>
  <c r="B13" i="39"/>
  <c r="E13" i="39" s="1"/>
  <c r="I13" i="39" s="1"/>
  <c r="G13" i="39" s="1"/>
  <c r="B14" i="39"/>
  <c r="E14" i="39"/>
  <c r="I14" i="39" s="1"/>
  <c r="G14" i="39" s="1"/>
  <c r="B15" i="39"/>
  <c r="E15" i="39" s="1"/>
  <c r="I15" i="39" s="1"/>
  <c r="G15" i="39" s="1"/>
  <c r="B16" i="39"/>
  <c r="E16" i="39" s="1"/>
  <c r="I16" i="39" s="1"/>
  <c r="G16" i="39" s="1"/>
  <c r="B17" i="39"/>
  <c r="E17" i="39"/>
  <c r="I17" i="39" s="1"/>
  <c r="G17" i="39" s="1"/>
  <c r="B18" i="39"/>
  <c r="E18" i="39" s="1"/>
  <c r="I18" i="39" s="1"/>
  <c r="G18" i="39" s="1"/>
  <c r="B19" i="39"/>
  <c r="E19" i="39"/>
  <c r="I19" i="39" s="1"/>
  <c r="G19" i="39" s="1"/>
  <c r="B20" i="39"/>
  <c r="E20" i="39" s="1"/>
  <c r="I20" i="39" s="1"/>
  <c r="G20" i="39" s="1"/>
  <c r="B21" i="39"/>
  <c r="E21" i="39" s="1"/>
  <c r="I21" i="39" s="1"/>
  <c r="G21" i="39" s="1"/>
  <c r="B22" i="39"/>
  <c r="E22" i="39" s="1"/>
  <c r="I22" i="39" s="1"/>
  <c r="G22" i="39" s="1"/>
  <c r="B23" i="39"/>
  <c r="E23" i="39" s="1"/>
  <c r="I23" i="39" s="1"/>
  <c r="G23" i="39" s="1"/>
  <c r="B24" i="39"/>
  <c r="E24" i="39"/>
  <c r="I24" i="39" s="1"/>
  <c r="G24" i="39" s="1"/>
  <c r="B25" i="39"/>
  <c r="E25" i="39" s="1"/>
  <c r="I25" i="39" s="1"/>
  <c r="G25" i="39" s="1"/>
  <c r="B26" i="39"/>
  <c r="E26" i="39"/>
  <c r="I26" i="39" s="1"/>
  <c r="G26" i="39" s="1"/>
  <c r="B27" i="39"/>
  <c r="E27" i="39" s="1"/>
  <c r="I27" i="39" s="1"/>
  <c r="G27" i="39" s="1"/>
  <c r="B28" i="39"/>
  <c r="E28" i="39" s="1"/>
  <c r="I28" i="39" s="1"/>
  <c r="G28" i="39" s="1"/>
  <c r="B29" i="39"/>
  <c r="E29" i="39" s="1"/>
  <c r="I29" i="39" s="1"/>
  <c r="G29" i="39" s="1"/>
  <c r="B30" i="39"/>
  <c r="E30" i="39" s="1"/>
  <c r="I30" i="39" s="1"/>
  <c r="G30" i="39" s="1"/>
  <c r="B31" i="39"/>
  <c r="E31" i="39"/>
  <c r="I31" i="39" s="1"/>
  <c r="G31" i="39" s="1"/>
  <c r="B32" i="39"/>
  <c r="E32" i="39" s="1"/>
  <c r="I32" i="39" s="1"/>
  <c r="G32" i="39" s="1"/>
  <c r="B33" i="39"/>
  <c r="E33" i="39" s="1"/>
  <c r="I33" i="39" s="1"/>
  <c r="G33" i="39" s="1"/>
  <c r="B34" i="39"/>
  <c r="E34" i="39"/>
  <c r="I34" i="39" s="1"/>
  <c r="G34" i="39" s="1"/>
  <c r="B35" i="39"/>
  <c r="E35" i="39" s="1"/>
  <c r="I35" i="39" s="1"/>
  <c r="G35" i="39" s="1"/>
  <c r="B36" i="39"/>
  <c r="E36" i="39"/>
  <c r="I36" i="39" s="1"/>
  <c r="G36" i="39" s="1"/>
  <c r="B37" i="39"/>
  <c r="E37" i="39"/>
  <c r="I37" i="39" s="1"/>
  <c r="G37" i="39" s="1"/>
  <c r="B38" i="39"/>
  <c r="E38" i="39" s="1"/>
  <c r="I38" i="39" s="1"/>
  <c r="G38" i="39" s="1"/>
  <c r="B39" i="39"/>
  <c r="E39" i="39" s="1"/>
  <c r="I39" i="39" s="1"/>
  <c r="G39" i="39" s="1"/>
  <c r="B40" i="39"/>
  <c r="E40" i="39"/>
  <c r="I40" i="39" s="1"/>
  <c r="G40" i="39" s="1"/>
  <c r="B41" i="39"/>
  <c r="E41" i="39"/>
  <c r="I41" i="39" s="1"/>
  <c r="G41" i="39" s="1"/>
  <c r="B42" i="39"/>
  <c r="E42" i="39" s="1"/>
  <c r="I42" i="39"/>
  <c r="G42" i="39" s="1"/>
  <c r="B43" i="39"/>
  <c r="E43" i="39" s="1"/>
  <c r="I43" i="39" s="1"/>
  <c r="G43" i="39" s="1"/>
  <c r="B44" i="39"/>
  <c r="E44" i="39" s="1"/>
  <c r="I44" i="39" s="1"/>
  <c r="G44" i="39" s="1"/>
  <c r="B45" i="39"/>
  <c r="E45" i="39" s="1"/>
  <c r="I45" i="39" s="1"/>
  <c r="G45" i="39" s="1"/>
  <c r="C8" i="17"/>
  <c r="E8" i="17" s="1"/>
  <c r="J8" i="17" s="1"/>
  <c r="I8" i="17" s="1"/>
  <c r="B9" i="17"/>
  <c r="C9" i="17"/>
  <c r="E9" i="17" s="1"/>
  <c r="J9" i="17" s="1"/>
  <c r="I9" i="17" s="1"/>
  <c r="B10" i="17"/>
  <c r="C10" i="17"/>
  <c r="B11" i="17"/>
  <c r="C11" i="17"/>
  <c r="B12" i="17"/>
  <c r="E12" i="17" s="1"/>
  <c r="J12" i="17" s="1"/>
  <c r="I12" i="17" s="1"/>
  <c r="C12" i="17"/>
  <c r="B13" i="17"/>
  <c r="C13" i="17"/>
  <c r="B14" i="17"/>
  <c r="C14" i="17"/>
  <c r="B15" i="17"/>
  <c r="C15" i="17"/>
  <c r="B16" i="17"/>
  <c r="E16" i="17" s="1"/>
  <c r="J16" i="17" s="1"/>
  <c r="I16" i="17" s="1"/>
  <c r="C16" i="17"/>
  <c r="B17" i="17"/>
  <c r="C17" i="17"/>
  <c r="B18" i="17"/>
  <c r="C18" i="17"/>
  <c r="B19" i="17"/>
  <c r="C19" i="17"/>
  <c r="B20" i="17"/>
  <c r="E20" i="17" s="1"/>
  <c r="J20" i="17" s="1"/>
  <c r="I20" i="17" s="1"/>
  <c r="C20" i="17"/>
  <c r="B21" i="17"/>
  <c r="E21" i="17" s="1"/>
  <c r="J21" i="17" s="1"/>
  <c r="I21" i="17" s="1"/>
  <c r="C21" i="17"/>
  <c r="B22" i="17"/>
  <c r="C22" i="17"/>
  <c r="E22" i="17" s="1"/>
  <c r="J22" i="17" s="1"/>
  <c r="I22" i="17" s="1"/>
  <c r="B23" i="17"/>
  <c r="C23" i="17"/>
  <c r="B24" i="17"/>
  <c r="C24" i="17"/>
  <c r="B25" i="17"/>
  <c r="C25" i="17"/>
  <c r="B26" i="17"/>
  <c r="C26" i="17"/>
  <c r="B27" i="17"/>
  <c r="C27" i="17"/>
  <c r="B28" i="17"/>
  <c r="C28" i="17"/>
  <c r="E28" i="17" s="1"/>
  <c r="J28" i="17" s="1"/>
  <c r="I28" i="17" s="1"/>
  <c r="B29" i="17"/>
  <c r="C29" i="17"/>
  <c r="B30" i="17"/>
  <c r="C30" i="17"/>
  <c r="E30" i="17" s="1"/>
  <c r="J30" i="17" s="1"/>
  <c r="I30" i="17" s="1"/>
  <c r="B31" i="17"/>
  <c r="C31" i="17"/>
  <c r="B32" i="17"/>
  <c r="C32" i="17"/>
  <c r="B33" i="17"/>
  <c r="C33" i="17"/>
  <c r="B34" i="17"/>
  <c r="C34" i="17"/>
  <c r="E34" i="17" s="1"/>
  <c r="J34" i="17" s="1"/>
  <c r="I34" i="17" s="1"/>
  <c r="B35" i="17"/>
  <c r="C35" i="17"/>
  <c r="E35" i="17" s="1"/>
  <c r="J35" i="17" s="1"/>
  <c r="I35" i="17" s="1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E43" i="17" s="1"/>
  <c r="J43" i="17" s="1"/>
  <c r="I43" i="17" s="1"/>
  <c r="B44" i="17"/>
  <c r="C44" i="17"/>
  <c r="B45" i="17"/>
  <c r="E45" i="17" s="1"/>
  <c r="J45" i="17" s="1"/>
  <c r="I45" i="17" s="1"/>
  <c r="C45" i="17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F24" i="18"/>
  <c r="D25" i="18"/>
  <c r="F25" i="18"/>
  <c r="D26" i="18"/>
  <c r="F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B6" i="13"/>
  <c r="C6" i="13"/>
  <c r="D6" i="13"/>
  <c r="E6" i="13"/>
  <c r="H6" i="13"/>
  <c r="I6" i="13"/>
  <c r="J6" i="13"/>
  <c r="M6" i="13"/>
  <c r="N6" i="13"/>
  <c r="P6" i="13"/>
  <c r="B7" i="13"/>
  <c r="C7" i="13"/>
  <c r="D7" i="13"/>
  <c r="E7" i="13"/>
  <c r="H7" i="13"/>
  <c r="I7" i="13"/>
  <c r="J7" i="13"/>
  <c r="M7" i="13"/>
  <c r="N7" i="13"/>
  <c r="P7" i="13"/>
  <c r="B8" i="13"/>
  <c r="C8" i="13"/>
  <c r="D8" i="13"/>
  <c r="E8" i="13"/>
  <c r="H8" i="13"/>
  <c r="I8" i="13"/>
  <c r="J8" i="13"/>
  <c r="M8" i="13"/>
  <c r="N8" i="13"/>
  <c r="B9" i="13"/>
  <c r="C9" i="13"/>
  <c r="D9" i="13"/>
  <c r="E9" i="13"/>
  <c r="H9" i="13"/>
  <c r="I9" i="13"/>
  <c r="J9" i="13"/>
  <c r="M9" i="13"/>
  <c r="N9" i="13"/>
  <c r="B10" i="13"/>
  <c r="C10" i="13"/>
  <c r="D10" i="13"/>
  <c r="E10" i="13"/>
  <c r="H10" i="13"/>
  <c r="I10" i="13"/>
  <c r="J10" i="13"/>
  <c r="M10" i="13"/>
  <c r="N10" i="13"/>
  <c r="B11" i="13"/>
  <c r="C11" i="13"/>
  <c r="D11" i="13"/>
  <c r="E11" i="13"/>
  <c r="H11" i="13"/>
  <c r="I11" i="13"/>
  <c r="J11" i="13"/>
  <c r="M11" i="13"/>
  <c r="N11" i="13"/>
  <c r="B12" i="13"/>
  <c r="C12" i="13"/>
  <c r="D12" i="13"/>
  <c r="E12" i="13"/>
  <c r="H12" i="13"/>
  <c r="I12" i="13"/>
  <c r="J12" i="13"/>
  <c r="M12" i="13"/>
  <c r="N12" i="13"/>
  <c r="B13" i="13"/>
  <c r="C13" i="13"/>
  <c r="D13" i="13"/>
  <c r="E13" i="13"/>
  <c r="H13" i="13"/>
  <c r="I13" i="13"/>
  <c r="J13" i="13"/>
  <c r="M13" i="13"/>
  <c r="N13" i="13"/>
  <c r="B14" i="13"/>
  <c r="C14" i="13"/>
  <c r="D14" i="13"/>
  <c r="E14" i="13"/>
  <c r="H14" i="13"/>
  <c r="I14" i="13"/>
  <c r="J14" i="13"/>
  <c r="M14" i="13"/>
  <c r="N14" i="13"/>
  <c r="B15" i="13"/>
  <c r="C15" i="13"/>
  <c r="D15" i="13"/>
  <c r="E15" i="13"/>
  <c r="H15" i="13"/>
  <c r="I15" i="13"/>
  <c r="J15" i="13"/>
  <c r="M15" i="13"/>
  <c r="N15" i="13"/>
  <c r="B16" i="13"/>
  <c r="C16" i="13"/>
  <c r="D16" i="13"/>
  <c r="E16" i="13"/>
  <c r="H16" i="13"/>
  <c r="I16" i="13"/>
  <c r="J16" i="13"/>
  <c r="M16" i="13"/>
  <c r="N16" i="13"/>
  <c r="B17" i="13"/>
  <c r="C17" i="13"/>
  <c r="D17" i="13"/>
  <c r="E17" i="13"/>
  <c r="H17" i="13"/>
  <c r="I17" i="13"/>
  <c r="J17" i="13"/>
  <c r="M17" i="13"/>
  <c r="N17" i="13"/>
  <c r="B18" i="13"/>
  <c r="C18" i="13"/>
  <c r="D18" i="13"/>
  <c r="E18" i="13"/>
  <c r="H18" i="13"/>
  <c r="I18" i="13"/>
  <c r="J18" i="13"/>
  <c r="M18" i="13"/>
  <c r="N18" i="13"/>
  <c r="B19" i="13"/>
  <c r="C19" i="13"/>
  <c r="D19" i="13"/>
  <c r="E19" i="13"/>
  <c r="H19" i="13"/>
  <c r="I19" i="13"/>
  <c r="J19" i="13"/>
  <c r="M19" i="13"/>
  <c r="N19" i="13"/>
  <c r="B20" i="13"/>
  <c r="C20" i="13"/>
  <c r="D20" i="13"/>
  <c r="E20" i="13"/>
  <c r="H20" i="13"/>
  <c r="I20" i="13"/>
  <c r="J20" i="13"/>
  <c r="M20" i="13"/>
  <c r="N20" i="13"/>
  <c r="B21" i="13"/>
  <c r="C21" i="13"/>
  <c r="D21" i="13"/>
  <c r="E21" i="13"/>
  <c r="H21" i="13"/>
  <c r="I21" i="13"/>
  <c r="J21" i="13"/>
  <c r="M21" i="13"/>
  <c r="N21" i="13"/>
  <c r="B22" i="13"/>
  <c r="C22" i="13"/>
  <c r="D22" i="13"/>
  <c r="E22" i="13"/>
  <c r="H22" i="13"/>
  <c r="I22" i="13"/>
  <c r="J22" i="13"/>
  <c r="M22" i="13"/>
  <c r="N22" i="13"/>
  <c r="B23" i="13"/>
  <c r="C23" i="13"/>
  <c r="D23" i="13"/>
  <c r="E23" i="13"/>
  <c r="H23" i="13"/>
  <c r="I23" i="13"/>
  <c r="J23" i="13"/>
  <c r="M23" i="13"/>
  <c r="N23" i="13"/>
  <c r="B24" i="13"/>
  <c r="C24" i="13"/>
  <c r="D24" i="13"/>
  <c r="E24" i="13"/>
  <c r="H24" i="13"/>
  <c r="I24" i="13"/>
  <c r="J24" i="13"/>
  <c r="M24" i="13"/>
  <c r="N24" i="13"/>
  <c r="B25" i="13"/>
  <c r="C25" i="13"/>
  <c r="D25" i="13"/>
  <c r="E25" i="13"/>
  <c r="H25" i="13"/>
  <c r="I25" i="13"/>
  <c r="J25" i="13"/>
  <c r="M25" i="13"/>
  <c r="N25" i="13"/>
  <c r="B26" i="13"/>
  <c r="C26" i="13"/>
  <c r="D26" i="13"/>
  <c r="E26" i="13"/>
  <c r="H26" i="13"/>
  <c r="I26" i="13"/>
  <c r="J26" i="13"/>
  <c r="M26" i="13"/>
  <c r="N26" i="13"/>
  <c r="B27" i="13"/>
  <c r="C27" i="13"/>
  <c r="D27" i="13"/>
  <c r="E27" i="13"/>
  <c r="H27" i="13"/>
  <c r="I27" i="13"/>
  <c r="J27" i="13"/>
  <c r="M27" i="13"/>
  <c r="N27" i="13"/>
  <c r="B28" i="13"/>
  <c r="C28" i="13"/>
  <c r="D28" i="13"/>
  <c r="E28" i="13"/>
  <c r="H28" i="13"/>
  <c r="I28" i="13"/>
  <c r="J28" i="13"/>
  <c r="M28" i="13"/>
  <c r="N28" i="13"/>
  <c r="B29" i="13"/>
  <c r="C29" i="13"/>
  <c r="D29" i="13"/>
  <c r="E29" i="13"/>
  <c r="H29" i="13"/>
  <c r="I29" i="13"/>
  <c r="J29" i="13"/>
  <c r="M29" i="13"/>
  <c r="N29" i="13"/>
  <c r="B30" i="13"/>
  <c r="C30" i="13"/>
  <c r="D30" i="13"/>
  <c r="E30" i="13"/>
  <c r="H30" i="13"/>
  <c r="I30" i="13"/>
  <c r="J30" i="13"/>
  <c r="M30" i="13"/>
  <c r="N30" i="13"/>
  <c r="B31" i="13"/>
  <c r="C31" i="13"/>
  <c r="D31" i="13"/>
  <c r="E31" i="13"/>
  <c r="H31" i="13"/>
  <c r="I31" i="13"/>
  <c r="J31" i="13"/>
  <c r="M31" i="13"/>
  <c r="N31" i="13"/>
  <c r="B32" i="13"/>
  <c r="C32" i="13"/>
  <c r="D32" i="13"/>
  <c r="E32" i="13"/>
  <c r="H32" i="13"/>
  <c r="I32" i="13"/>
  <c r="J32" i="13"/>
  <c r="M32" i="13"/>
  <c r="N32" i="13"/>
  <c r="B33" i="13"/>
  <c r="C33" i="13"/>
  <c r="D33" i="13"/>
  <c r="E33" i="13"/>
  <c r="H33" i="13"/>
  <c r="I33" i="13"/>
  <c r="J33" i="13"/>
  <c r="M33" i="13"/>
  <c r="N33" i="13"/>
  <c r="B34" i="13"/>
  <c r="C34" i="13"/>
  <c r="D34" i="13"/>
  <c r="E34" i="13"/>
  <c r="H34" i="13"/>
  <c r="I34" i="13"/>
  <c r="J34" i="13"/>
  <c r="M34" i="13"/>
  <c r="N34" i="13"/>
  <c r="B35" i="13"/>
  <c r="C35" i="13"/>
  <c r="D35" i="13"/>
  <c r="E35" i="13"/>
  <c r="H35" i="13"/>
  <c r="I35" i="13"/>
  <c r="J35" i="13"/>
  <c r="M35" i="13"/>
  <c r="N35" i="13"/>
  <c r="B36" i="13"/>
  <c r="C36" i="13"/>
  <c r="D36" i="13"/>
  <c r="E36" i="13"/>
  <c r="H36" i="13"/>
  <c r="I36" i="13"/>
  <c r="J36" i="13"/>
  <c r="M36" i="13"/>
  <c r="N36" i="13"/>
  <c r="B37" i="13"/>
  <c r="C37" i="13"/>
  <c r="D37" i="13"/>
  <c r="E37" i="13"/>
  <c r="H37" i="13"/>
  <c r="I37" i="13"/>
  <c r="J37" i="13"/>
  <c r="M37" i="13"/>
  <c r="N37" i="13"/>
  <c r="B38" i="13"/>
  <c r="C38" i="13"/>
  <c r="D38" i="13"/>
  <c r="E38" i="13"/>
  <c r="H38" i="13"/>
  <c r="I38" i="13"/>
  <c r="J38" i="13"/>
  <c r="M38" i="13"/>
  <c r="N38" i="13"/>
  <c r="B39" i="13"/>
  <c r="C39" i="13"/>
  <c r="D39" i="13"/>
  <c r="E39" i="13"/>
  <c r="H39" i="13"/>
  <c r="I39" i="13"/>
  <c r="J39" i="13"/>
  <c r="M39" i="13"/>
  <c r="N39" i="13"/>
  <c r="B40" i="13"/>
  <c r="C40" i="13"/>
  <c r="D40" i="13"/>
  <c r="E40" i="13"/>
  <c r="H40" i="13"/>
  <c r="I40" i="13"/>
  <c r="J40" i="13"/>
  <c r="M40" i="13"/>
  <c r="N40" i="13"/>
  <c r="B41" i="13"/>
  <c r="C41" i="13"/>
  <c r="D41" i="13"/>
  <c r="E41" i="13"/>
  <c r="H41" i="13"/>
  <c r="I41" i="13"/>
  <c r="J41" i="13"/>
  <c r="M41" i="13"/>
  <c r="N41" i="13"/>
  <c r="B42" i="13"/>
  <c r="C42" i="13"/>
  <c r="D42" i="13"/>
  <c r="E42" i="13"/>
  <c r="H42" i="13"/>
  <c r="I42" i="13"/>
  <c r="J42" i="13"/>
  <c r="M42" i="13"/>
  <c r="N42" i="13"/>
  <c r="B43" i="13"/>
  <c r="C43" i="13"/>
  <c r="D43" i="13"/>
  <c r="E43" i="13"/>
  <c r="H43" i="13"/>
  <c r="I43" i="13"/>
  <c r="J43" i="13"/>
  <c r="K43" i="13"/>
  <c r="M43" i="13"/>
  <c r="N43" i="13"/>
  <c r="F6" i="14"/>
  <c r="K6" i="14"/>
  <c r="O6" i="14"/>
  <c r="F7" i="14"/>
  <c r="K7" i="14"/>
  <c r="O7" i="14"/>
  <c r="F8" i="14"/>
  <c r="K8" i="14"/>
  <c r="O8" i="14"/>
  <c r="F9" i="14"/>
  <c r="K9" i="14"/>
  <c r="O9" i="14"/>
  <c r="F10" i="14"/>
  <c r="K10" i="14"/>
  <c r="O10" i="14"/>
  <c r="F11" i="14"/>
  <c r="K11" i="14"/>
  <c r="K11" i="13" s="1"/>
  <c r="O11" i="14"/>
  <c r="F12" i="14"/>
  <c r="K12" i="14"/>
  <c r="O12" i="14"/>
  <c r="F13" i="14"/>
  <c r="K13" i="14"/>
  <c r="O13" i="14"/>
  <c r="F14" i="14"/>
  <c r="K14" i="14"/>
  <c r="O14" i="14"/>
  <c r="F15" i="14"/>
  <c r="K15" i="14"/>
  <c r="O15" i="14"/>
  <c r="F16" i="14"/>
  <c r="K16" i="14"/>
  <c r="O16" i="14"/>
  <c r="F17" i="14"/>
  <c r="K17" i="14"/>
  <c r="O17" i="14"/>
  <c r="F18" i="14"/>
  <c r="K18" i="14"/>
  <c r="O18" i="14"/>
  <c r="F19" i="14"/>
  <c r="K19" i="14"/>
  <c r="O19" i="14"/>
  <c r="F20" i="14"/>
  <c r="K20" i="14"/>
  <c r="O20" i="14"/>
  <c r="F21" i="14"/>
  <c r="K21" i="14"/>
  <c r="O21" i="14"/>
  <c r="F22" i="14"/>
  <c r="K22" i="14"/>
  <c r="O22" i="14"/>
  <c r="F23" i="14"/>
  <c r="K23" i="14"/>
  <c r="O23" i="14"/>
  <c r="F24" i="14"/>
  <c r="K24" i="14"/>
  <c r="O24" i="14"/>
  <c r="F25" i="14"/>
  <c r="K25" i="14"/>
  <c r="O25" i="14"/>
  <c r="F26" i="14"/>
  <c r="K26" i="14"/>
  <c r="O26" i="14"/>
  <c r="F27" i="14"/>
  <c r="K27" i="14"/>
  <c r="O27" i="14"/>
  <c r="F28" i="14"/>
  <c r="K28" i="14"/>
  <c r="O28" i="14"/>
  <c r="F29" i="14"/>
  <c r="K29" i="14"/>
  <c r="O29" i="14"/>
  <c r="F30" i="14"/>
  <c r="F30" i="13" s="1"/>
  <c r="K30" i="14"/>
  <c r="O30" i="14"/>
  <c r="F31" i="14"/>
  <c r="K31" i="14"/>
  <c r="O31" i="14"/>
  <c r="F32" i="14"/>
  <c r="K32" i="14"/>
  <c r="O32" i="14"/>
  <c r="O32" i="13" s="1"/>
  <c r="F33" i="14"/>
  <c r="K33" i="14"/>
  <c r="O33" i="14"/>
  <c r="F34" i="14"/>
  <c r="K34" i="14"/>
  <c r="O34" i="14"/>
  <c r="F35" i="14"/>
  <c r="F35" i="13" s="1"/>
  <c r="K35" i="14"/>
  <c r="O35" i="14"/>
  <c r="F36" i="14"/>
  <c r="K36" i="14"/>
  <c r="O36" i="14"/>
  <c r="F37" i="14"/>
  <c r="K37" i="14"/>
  <c r="O37" i="14"/>
  <c r="F38" i="14"/>
  <c r="K38" i="14"/>
  <c r="O38" i="14"/>
  <c r="F39" i="14"/>
  <c r="K39" i="14"/>
  <c r="O39" i="14"/>
  <c r="F40" i="14"/>
  <c r="K40" i="14"/>
  <c r="O40" i="14"/>
  <c r="F41" i="14"/>
  <c r="K41" i="14"/>
  <c r="O41" i="14"/>
  <c r="F42" i="14"/>
  <c r="K42" i="14"/>
  <c r="F43" i="14"/>
  <c r="K43" i="14"/>
  <c r="F6" i="15"/>
  <c r="K6" i="15"/>
  <c r="O6" i="15"/>
  <c r="O6" i="13" s="1"/>
  <c r="F7" i="15"/>
  <c r="K7" i="15"/>
  <c r="O7" i="15"/>
  <c r="O7" i="13" s="1"/>
  <c r="F8" i="15"/>
  <c r="K8" i="15"/>
  <c r="O8" i="15"/>
  <c r="F9" i="15"/>
  <c r="K9" i="15"/>
  <c r="O9" i="15"/>
  <c r="F10" i="15"/>
  <c r="K10" i="15"/>
  <c r="O10" i="15"/>
  <c r="F11" i="15"/>
  <c r="F11" i="13" s="1"/>
  <c r="K11" i="15"/>
  <c r="O11" i="15"/>
  <c r="F12" i="15"/>
  <c r="K12" i="15"/>
  <c r="O12" i="15"/>
  <c r="F13" i="15"/>
  <c r="K13" i="15"/>
  <c r="O13" i="15"/>
  <c r="F14" i="15"/>
  <c r="K14" i="15"/>
  <c r="O14" i="15"/>
  <c r="O14" i="13" s="1"/>
  <c r="F15" i="15"/>
  <c r="K15" i="15"/>
  <c r="O15" i="15"/>
  <c r="F16" i="15"/>
  <c r="K16" i="15"/>
  <c r="O16" i="15"/>
  <c r="F17" i="15"/>
  <c r="K17" i="15"/>
  <c r="O17" i="15"/>
  <c r="F18" i="15"/>
  <c r="K18" i="15"/>
  <c r="O18" i="15"/>
  <c r="F19" i="15"/>
  <c r="F19" i="13" s="1"/>
  <c r="K19" i="15"/>
  <c r="K19" i="13" s="1"/>
  <c r="O19" i="15"/>
  <c r="F20" i="15"/>
  <c r="K20" i="15"/>
  <c r="O20" i="15"/>
  <c r="F21" i="15"/>
  <c r="K21" i="15"/>
  <c r="O21" i="15"/>
  <c r="F22" i="15"/>
  <c r="F22" i="13" s="1"/>
  <c r="K22" i="15"/>
  <c r="O22" i="15"/>
  <c r="F23" i="15"/>
  <c r="K23" i="15"/>
  <c r="O23" i="15"/>
  <c r="F24" i="15"/>
  <c r="K24" i="15"/>
  <c r="O24" i="15"/>
  <c r="O24" i="13" s="1"/>
  <c r="F25" i="15"/>
  <c r="K25" i="15"/>
  <c r="O25" i="15"/>
  <c r="F26" i="15"/>
  <c r="K26" i="15"/>
  <c r="O26" i="15"/>
  <c r="F27" i="15"/>
  <c r="K27" i="15"/>
  <c r="K27" i="13" s="1"/>
  <c r="O27" i="15"/>
  <c r="F28" i="15"/>
  <c r="K28" i="15"/>
  <c r="O28" i="15"/>
  <c r="F29" i="15"/>
  <c r="K29" i="15"/>
  <c r="O29" i="15"/>
  <c r="F30" i="15"/>
  <c r="K30" i="15"/>
  <c r="O30" i="15"/>
  <c r="F31" i="15"/>
  <c r="F31" i="13" s="1"/>
  <c r="K31" i="15"/>
  <c r="O31" i="15"/>
  <c r="F32" i="15"/>
  <c r="K32" i="15"/>
  <c r="O32" i="15"/>
  <c r="F33" i="15"/>
  <c r="K33" i="15"/>
  <c r="O33" i="15"/>
  <c r="F34" i="15"/>
  <c r="K34" i="15"/>
  <c r="K34" i="13" s="1"/>
  <c r="O34" i="15"/>
  <c r="F35" i="15"/>
  <c r="K35" i="15"/>
  <c r="K35" i="13" s="1"/>
  <c r="O35" i="15"/>
  <c r="F36" i="15"/>
  <c r="K36" i="15"/>
  <c r="O36" i="15"/>
  <c r="F37" i="15"/>
  <c r="K37" i="15"/>
  <c r="O37" i="15"/>
  <c r="F38" i="15"/>
  <c r="K38" i="15"/>
  <c r="O38" i="15"/>
  <c r="F39" i="15"/>
  <c r="F39" i="13" s="1"/>
  <c r="K39" i="15"/>
  <c r="O39" i="15"/>
  <c r="F40" i="15"/>
  <c r="K40" i="15"/>
  <c r="O40" i="15"/>
  <c r="O40" i="13" s="1"/>
  <c r="F41" i="15"/>
  <c r="K41" i="15"/>
  <c r="O41" i="15"/>
  <c r="F42" i="15"/>
  <c r="K42" i="15"/>
  <c r="O42" i="15"/>
  <c r="O42" i="13" s="1"/>
  <c r="K43" i="15"/>
  <c r="O43" i="15"/>
  <c r="O43" i="13" s="1"/>
  <c r="F6" i="6"/>
  <c r="K6" i="6"/>
  <c r="O6" i="6"/>
  <c r="F7" i="6"/>
  <c r="K7" i="6"/>
  <c r="O7" i="6"/>
  <c r="F8" i="6"/>
  <c r="K8" i="6"/>
  <c r="O8" i="6"/>
  <c r="F9" i="6"/>
  <c r="K9" i="6"/>
  <c r="O9" i="6"/>
  <c r="F10" i="6"/>
  <c r="K10" i="6"/>
  <c r="O10" i="6"/>
  <c r="F11" i="6"/>
  <c r="K11" i="6"/>
  <c r="O11" i="6"/>
  <c r="F12" i="6"/>
  <c r="K12" i="6"/>
  <c r="O12" i="6"/>
  <c r="F13" i="6"/>
  <c r="K13" i="6"/>
  <c r="O13" i="6"/>
  <c r="F14" i="6"/>
  <c r="K14" i="6"/>
  <c r="O14" i="6"/>
  <c r="F15" i="6"/>
  <c r="K15" i="6"/>
  <c r="O15" i="6"/>
  <c r="F16" i="6"/>
  <c r="K16" i="6"/>
  <c r="O16" i="6"/>
  <c r="F17" i="6"/>
  <c r="K17" i="6"/>
  <c r="O17" i="6"/>
  <c r="F18" i="6"/>
  <c r="K18" i="6"/>
  <c r="O18" i="6"/>
  <c r="F19" i="6"/>
  <c r="K19" i="6"/>
  <c r="O19" i="6"/>
  <c r="F20" i="6"/>
  <c r="K20" i="6"/>
  <c r="O20" i="6"/>
  <c r="F21" i="6"/>
  <c r="K21" i="6"/>
  <c r="O21" i="6"/>
  <c r="F22" i="6"/>
  <c r="K22" i="6"/>
  <c r="O22" i="6"/>
  <c r="F23" i="6"/>
  <c r="K23" i="6"/>
  <c r="O23" i="6"/>
  <c r="F24" i="6"/>
  <c r="K24" i="6"/>
  <c r="O24" i="6"/>
  <c r="F25" i="6"/>
  <c r="K25" i="6"/>
  <c r="O25" i="6"/>
  <c r="F26" i="6"/>
  <c r="K26" i="6"/>
  <c r="O26" i="6"/>
  <c r="F27" i="6"/>
  <c r="K27" i="6"/>
  <c r="O27" i="6"/>
  <c r="F28" i="6"/>
  <c r="K28" i="6"/>
  <c r="O28" i="6"/>
  <c r="F29" i="6"/>
  <c r="K29" i="6"/>
  <c r="O29" i="6"/>
  <c r="F30" i="6"/>
  <c r="K30" i="6"/>
  <c r="O30" i="6"/>
  <c r="F31" i="6"/>
  <c r="K31" i="6"/>
  <c r="O31" i="6"/>
  <c r="F32" i="6"/>
  <c r="K32" i="6"/>
  <c r="O32" i="6"/>
  <c r="F33" i="6"/>
  <c r="K33" i="6"/>
  <c r="O33" i="6"/>
  <c r="F34" i="6"/>
  <c r="P34" i="6" s="1"/>
  <c r="B34" i="70" s="1"/>
  <c r="K34" i="6"/>
  <c r="O34" i="6"/>
  <c r="F35" i="6"/>
  <c r="K35" i="6"/>
  <c r="O35" i="6"/>
  <c r="F36" i="6"/>
  <c r="K36" i="6"/>
  <c r="O36" i="6"/>
  <c r="F37" i="6"/>
  <c r="K37" i="6"/>
  <c r="O37" i="6"/>
  <c r="F38" i="6"/>
  <c r="P38" i="6" s="1"/>
  <c r="B38" i="70" s="1"/>
  <c r="K38" i="6"/>
  <c r="O38" i="6"/>
  <c r="F39" i="6"/>
  <c r="K39" i="6"/>
  <c r="O39" i="6"/>
  <c r="F40" i="6"/>
  <c r="P40" i="6" s="1"/>
  <c r="B40" i="70" s="1"/>
  <c r="K40" i="6"/>
  <c r="O40" i="6"/>
  <c r="F41" i="6"/>
  <c r="K41" i="6"/>
  <c r="O41" i="6"/>
  <c r="F42" i="6"/>
  <c r="K42" i="6"/>
  <c r="O42" i="6"/>
  <c r="P42" i="6" s="1"/>
  <c r="B42" i="70" s="1"/>
  <c r="F43" i="6"/>
  <c r="P43" i="6" s="1"/>
  <c r="B43" i="70" s="1"/>
  <c r="K43" i="6"/>
  <c r="O43" i="6"/>
  <c r="G9" i="5"/>
  <c r="M9" i="5"/>
  <c r="G10" i="5"/>
  <c r="M10" i="5"/>
  <c r="G11" i="5"/>
  <c r="M11" i="5"/>
  <c r="G12" i="5"/>
  <c r="M12" i="5"/>
  <c r="G13" i="5"/>
  <c r="M13" i="5"/>
  <c r="G14" i="5"/>
  <c r="M14" i="5"/>
  <c r="G15" i="5"/>
  <c r="M15" i="5"/>
  <c r="D16" i="5"/>
  <c r="G16" i="5"/>
  <c r="M16" i="5"/>
  <c r="D17" i="5"/>
  <c r="G17" i="5"/>
  <c r="M17" i="5"/>
  <c r="D18" i="5"/>
  <c r="G18" i="5"/>
  <c r="M18" i="5"/>
  <c r="D19" i="5"/>
  <c r="G19" i="5"/>
  <c r="M19" i="5"/>
  <c r="D20" i="5"/>
  <c r="G20" i="5"/>
  <c r="M20" i="5"/>
  <c r="D21" i="5"/>
  <c r="G21" i="5"/>
  <c r="M21" i="5"/>
  <c r="D22" i="5"/>
  <c r="G22" i="5"/>
  <c r="M22" i="5"/>
  <c r="D23" i="5"/>
  <c r="G23" i="5"/>
  <c r="M23" i="5"/>
  <c r="D24" i="5"/>
  <c r="G24" i="5"/>
  <c r="M24" i="5"/>
  <c r="G25" i="5"/>
  <c r="M25" i="5"/>
  <c r="G26" i="5"/>
  <c r="M26" i="5"/>
  <c r="D27" i="5"/>
  <c r="G27" i="5"/>
  <c r="M27" i="5"/>
  <c r="D28" i="5"/>
  <c r="G28" i="5"/>
  <c r="M28" i="5"/>
  <c r="D29" i="5"/>
  <c r="G29" i="5"/>
  <c r="M29" i="5"/>
  <c r="D30" i="5"/>
  <c r="G30" i="5"/>
  <c r="M30" i="5"/>
  <c r="D31" i="5"/>
  <c r="G31" i="5"/>
  <c r="M31" i="5"/>
  <c r="D32" i="5"/>
  <c r="G32" i="5"/>
  <c r="M32" i="5"/>
  <c r="D33" i="5"/>
  <c r="G33" i="5"/>
  <c r="M33" i="5"/>
  <c r="D34" i="5"/>
  <c r="G34" i="5"/>
  <c r="M34" i="5"/>
  <c r="D35" i="5"/>
  <c r="G35" i="5"/>
  <c r="H35" i="5"/>
  <c r="M35" i="5"/>
  <c r="D36" i="5"/>
  <c r="G36" i="5"/>
  <c r="H36" i="5"/>
  <c r="M36" i="5"/>
  <c r="D37" i="5"/>
  <c r="G37" i="5"/>
  <c r="H37" i="5"/>
  <c r="M37" i="5"/>
  <c r="D38" i="5"/>
  <c r="G38" i="5"/>
  <c r="H38" i="5"/>
  <c r="M38" i="5"/>
  <c r="D39" i="5"/>
  <c r="G39" i="5"/>
  <c r="H39" i="5"/>
  <c r="M39" i="5"/>
  <c r="D40" i="5"/>
  <c r="G40" i="5"/>
  <c r="H40" i="5"/>
  <c r="M40" i="5"/>
  <c r="D41" i="5"/>
  <c r="G41" i="5"/>
  <c r="H41" i="5"/>
  <c r="M41" i="5"/>
  <c r="D42" i="5"/>
  <c r="G42" i="5"/>
  <c r="H42" i="5"/>
  <c r="M42" i="5"/>
  <c r="D43" i="5"/>
  <c r="H43" i="5"/>
  <c r="M43" i="5"/>
  <c r="M44" i="5"/>
  <c r="B6" i="70"/>
  <c r="C6" i="70"/>
  <c r="E6" i="70"/>
  <c r="B7" i="70"/>
  <c r="C7" i="70"/>
  <c r="E7" i="70"/>
  <c r="C10" i="5" s="1"/>
  <c r="E10" i="5" s="1"/>
  <c r="K10" i="5" s="1"/>
  <c r="J10" i="5" s="1"/>
  <c r="B8" i="70"/>
  <c r="C8" i="70"/>
  <c r="B9" i="70"/>
  <c r="C9" i="70"/>
  <c r="B10" i="70"/>
  <c r="C10" i="70"/>
  <c r="B11" i="70"/>
  <c r="C11" i="70"/>
  <c r="B12" i="70"/>
  <c r="C12" i="70"/>
  <c r="B13" i="70"/>
  <c r="C13" i="70"/>
  <c r="B14" i="70"/>
  <c r="C14" i="70"/>
  <c r="B15" i="70"/>
  <c r="C15" i="70"/>
  <c r="B16" i="70"/>
  <c r="C16" i="70"/>
  <c r="B17" i="70"/>
  <c r="C17" i="70"/>
  <c r="B18" i="70"/>
  <c r="C18" i="70"/>
  <c r="B19" i="70"/>
  <c r="C19" i="70"/>
  <c r="B20" i="70"/>
  <c r="C20" i="70"/>
  <c r="B21" i="70"/>
  <c r="C21" i="70"/>
  <c r="B22" i="70"/>
  <c r="C22" i="70"/>
  <c r="B23" i="70"/>
  <c r="C23" i="70"/>
  <c r="B24" i="70"/>
  <c r="C24" i="70"/>
  <c r="B25" i="70"/>
  <c r="C25" i="70"/>
  <c r="B26" i="70"/>
  <c r="C26" i="70"/>
  <c r="B27" i="70"/>
  <c r="C27" i="70"/>
  <c r="D9" i="20"/>
  <c r="G9" i="20"/>
  <c r="D10" i="20"/>
  <c r="G10" i="20"/>
  <c r="D11" i="20"/>
  <c r="G11" i="20"/>
  <c r="B12" i="20"/>
  <c r="D12" i="20" s="1"/>
  <c r="E12" i="20"/>
  <c r="G12" i="20" s="1"/>
  <c r="B13" i="20"/>
  <c r="D13" i="20" s="1"/>
  <c r="E13" i="20"/>
  <c r="G13" i="20" s="1"/>
  <c r="B14" i="20"/>
  <c r="D14" i="20" s="1"/>
  <c r="E14" i="20"/>
  <c r="G14" i="20" s="1"/>
  <c r="B15" i="20"/>
  <c r="D15" i="20" s="1"/>
  <c r="E15" i="20"/>
  <c r="G15" i="20" s="1"/>
  <c r="B16" i="20"/>
  <c r="D16" i="20" s="1"/>
  <c r="E16" i="20"/>
  <c r="G16" i="20" s="1"/>
  <c r="B17" i="20"/>
  <c r="D17" i="20" s="1"/>
  <c r="E17" i="20"/>
  <c r="G17" i="20"/>
  <c r="B18" i="20"/>
  <c r="D18" i="20" s="1"/>
  <c r="E18" i="20"/>
  <c r="G18" i="20" s="1"/>
  <c r="B19" i="20"/>
  <c r="D19" i="20" s="1"/>
  <c r="E19" i="20"/>
  <c r="G19" i="20"/>
  <c r="B20" i="20"/>
  <c r="D20" i="20" s="1"/>
  <c r="E20" i="20"/>
  <c r="G20" i="20" s="1"/>
  <c r="H20" i="20"/>
  <c r="J20" i="20" s="1"/>
  <c r="B21" i="20"/>
  <c r="D21" i="20" s="1"/>
  <c r="E21" i="20"/>
  <c r="G21" i="20" s="1"/>
  <c r="H21" i="20"/>
  <c r="J21" i="20" s="1"/>
  <c r="B22" i="20"/>
  <c r="D22" i="20" s="1"/>
  <c r="E22" i="20"/>
  <c r="G22" i="20" s="1"/>
  <c r="H22" i="20"/>
  <c r="J22" i="20" s="1"/>
  <c r="B23" i="20"/>
  <c r="D23" i="20" s="1"/>
  <c r="E23" i="20"/>
  <c r="G23" i="20" s="1"/>
  <c r="H23" i="20"/>
  <c r="J23" i="20"/>
  <c r="B24" i="20"/>
  <c r="D24" i="20" s="1"/>
  <c r="E24" i="20"/>
  <c r="G24" i="20" s="1"/>
  <c r="H24" i="20"/>
  <c r="J24" i="20" s="1"/>
  <c r="B27" i="20"/>
  <c r="D27" i="20" s="1"/>
  <c r="E27" i="20"/>
  <c r="G27" i="20" s="1"/>
  <c r="H27" i="20"/>
  <c r="J27" i="20" s="1"/>
  <c r="B28" i="20"/>
  <c r="D28" i="20"/>
  <c r="E28" i="20"/>
  <c r="G28" i="20" s="1"/>
  <c r="H28" i="20"/>
  <c r="J28" i="20" s="1"/>
  <c r="B29" i="20"/>
  <c r="D29" i="20" s="1"/>
  <c r="E29" i="20"/>
  <c r="G29" i="20" s="1"/>
  <c r="H29" i="20"/>
  <c r="J29" i="20" s="1"/>
  <c r="B30" i="20"/>
  <c r="D30" i="20" s="1"/>
  <c r="E30" i="20"/>
  <c r="G30" i="20" s="1"/>
  <c r="H30" i="20"/>
  <c r="J30" i="20" s="1"/>
  <c r="B31" i="20"/>
  <c r="D31" i="20"/>
  <c r="E31" i="20"/>
  <c r="G31" i="20"/>
  <c r="H31" i="20"/>
  <c r="J31" i="20" s="1"/>
  <c r="B32" i="20"/>
  <c r="D32" i="20"/>
  <c r="E32" i="20"/>
  <c r="G32" i="20" s="1"/>
  <c r="H32" i="20"/>
  <c r="J32" i="20" s="1"/>
  <c r="B33" i="20"/>
  <c r="D33" i="20"/>
  <c r="E33" i="20"/>
  <c r="G33" i="20" s="1"/>
  <c r="H33" i="20"/>
  <c r="J33" i="20" s="1"/>
  <c r="B34" i="20"/>
  <c r="D34" i="20" s="1"/>
  <c r="E34" i="20"/>
  <c r="G34" i="20" s="1"/>
  <c r="H34" i="20"/>
  <c r="J34" i="20"/>
  <c r="B35" i="20"/>
  <c r="D35" i="20"/>
  <c r="E35" i="20"/>
  <c r="G35" i="20" s="1"/>
  <c r="H35" i="20"/>
  <c r="J35" i="20"/>
  <c r="B36" i="20"/>
  <c r="D36" i="20"/>
  <c r="E36" i="20"/>
  <c r="G36" i="20"/>
  <c r="H36" i="20"/>
  <c r="J36" i="20" s="1"/>
  <c r="B37" i="20"/>
  <c r="D37" i="20" s="1"/>
  <c r="E37" i="20"/>
  <c r="G37" i="20" s="1"/>
  <c r="H37" i="20"/>
  <c r="J37" i="20" s="1"/>
  <c r="B38" i="20"/>
  <c r="D38" i="20" s="1"/>
  <c r="E38" i="20"/>
  <c r="G38" i="20" s="1"/>
  <c r="H38" i="20"/>
  <c r="J38" i="20" s="1"/>
  <c r="B39" i="20"/>
  <c r="C39" i="20"/>
  <c r="E39" i="20"/>
  <c r="F39" i="20"/>
  <c r="H39" i="20"/>
  <c r="J39" i="20" s="1"/>
  <c r="I39" i="20"/>
  <c r="N39" i="20"/>
  <c r="B41" i="20"/>
  <c r="D41" i="20" s="1"/>
  <c r="E41" i="20"/>
  <c r="G41" i="20" s="1"/>
  <c r="H41" i="20"/>
  <c r="J41" i="20" s="1"/>
  <c r="B42" i="20"/>
  <c r="D42" i="20"/>
  <c r="E42" i="20"/>
  <c r="G42" i="20" s="1"/>
  <c r="H42" i="20"/>
  <c r="J42" i="20" s="1"/>
  <c r="B43" i="20"/>
  <c r="D43" i="20" s="1"/>
  <c r="E43" i="20"/>
  <c r="G43" i="20"/>
  <c r="H43" i="20"/>
  <c r="J43" i="20" s="1"/>
  <c r="B44" i="20"/>
  <c r="D44" i="20" s="1"/>
  <c r="E44" i="20"/>
  <c r="G44" i="20" s="1"/>
  <c r="H44" i="20"/>
  <c r="J44" i="20" s="1"/>
  <c r="B45" i="20"/>
  <c r="D45" i="20" s="1"/>
  <c r="E45" i="20"/>
  <c r="G45" i="20" s="1"/>
  <c r="H45" i="20"/>
  <c r="J45" i="20"/>
  <c r="B46" i="20"/>
  <c r="D46" i="20"/>
  <c r="E46" i="20"/>
  <c r="G46" i="20" s="1"/>
  <c r="H46" i="20"/>
  <c r="J46" i="20" s="1"/>
  <c r="B47" i="20"/>
  <c r="D47" i="20" s="1"/>
  <c r="E47" i="20"/>
  <c r="G47" i="20" s="1"/>
  <c r="H47" i="20"/>
  <c r="J47" i="20" s="1"/>
  <c r="B48" i="20"/>
  <c r="D48" i="20" s="1"/>
  <c r="E48" i="20"/>
  <c r="G48" i="20" s="1"/>
  <c r="H48" i="20"/>
  <c r="J48" i="20" s="1"/>
  <c r="B49" i="20"/>
  <c r="D49" i="20" s="1"/>
  <c r="E49" i="20"/>
  <c r="G49" i="20" s="1"/>
  <c r="H49" i="20"/>
  <c r="J49" i="20" s="1"/>
  <c r="B50" i="20"/>
  <c r="D50" i="20" s="1"/>
  <c r="E50" i="20"/>
  <c r="G50" i="20"/>
  <c r="H50" i="20"/>
  <c r="J50" i="20" s="1"/>
  <c r="B51" i="20"/>
  <c r="D51" i="20" s="1"/>
  <c r="E51" i="20"/>
  <c r="G51" i="20" s="1"/>
  <c r="H51" i="20"/>
  <c r="J51" i="20" s="1"/>
  <c r="B52" i="20"/>
  <c r="D52" i="20"/>
  <c r="E52" i="20"/>
  <c r="G52" i="20" s="1"/>
  <c r="H52" i="20"/>
  <c r="J52" i="20" s="1"/>
  <c r="B53" i="20"/>
  <c r="C53" i="20"/>
  <c r="E53" i="20"/>
  <c r="F53" i="20"/>
  <c r="H53" i="20"/>
  <c r="I53" i="20"/>
  <c r="N53" i="20"/>
  <c r="B55" i="20"/>
  <c r="D55" i="20" s="1"/>
  <c r="E55" i="20"/>
  <c r="G55" i="20" s="1"/>
  <c r="H55" i="20"/>
  <c r="J55" i="20" s="1"/>
  <c r="B56" i="20"/>
  <c r="D56" i="20" s="1"/>
  <c r="E56" i="20"/>
  <c r="G56" i="20" s="1"/>
  <c r="H56" i="20"/>
  <c r="J56" i="20" s="1"/>
  <c r="B57" i="20"/>
  <c r="D57" i="20" s="1"/>
  <c r="E57" i="20"/>
  <c r="G57" i="20" s="1"/>
  <c r="H57" i="20"/>
  <c r="J57" i="20" s="1"/>
  <c r="B58" i="20"/>
  <c r="D58" i="20" s="1"/>
  <c r="E58" i="20"/>
  <c r="G58" i="20" s="1"/>
  <c r="H58" i="20"/>
  <c r="J58" i="20"/>
  <c r="B59" i="20"/>
  <c r="D59" i="20" s="1"/>
  <c r="E59" i="20"/>
  <c r="G59" i="20" s="1"/>
  <c r="H59" i="20"/>
  <c r="J59" i="20" s="1"/>
  <c r="B60" i="20"/>
  <c r="D60" i="20" s="1"/>
  <c r="E60" i="20"/>
  <c r="G60" i="20" s="1"/>
  <c r="H60" i="20"/>
  <c r="J60" i="20" s="1"/>
  <c r="B61" i="20"/>
  <c r="D61" i="20" s="1"/>
  <c r="E61" i="20"/>
  <c r="G61" i="20" s="1"/>
  <c r="H61" i="20"/>
  <c r="J61" i="20" s="1"/>
  <c r="B62" i="20"/>
  <c r="D62" i="20" s="1"/>
  <c r="E62" i="20"/>
  <c r="G62" i="20" s="1"/>
  <c r="H62" i="20"/>
  <c r="J62" i="20" s="1"/>
  <c r="B63" i="20"/>
  <c r="D63" i="20" s="1"/>
  <c r="E63" i="20"/>
  <c r="G63" i="20" s="1"/>
  <c r="H63" i="20"/>
  <c r="J63" i="20" s="1"/>
  <c r="B64" i="20"/>
  <c r="D64" i="20" s="1"/>
  <c r="E64" i="20"/>
  <c r="G64" i="20" s="1"/>
  <c r="H64" i="20"/>
  <c r="J64" i="20" s="1"/>
  <c r="B65" i="20"/>
  <c r="D65" i="20" s="1"/>
  <c r="E65" i="20"/>
  <c r="G65" i="20" s="1"/>
  <c r="H65" i="20"/>
  <c r="J65" i="20" s="1"/>
  <c r="B66" i="20"/>
  <c r="D66" i="20" s="1"/>
  <c r="E66" i="20"/>
  <c r="G66" i="20" s="1"/>
  <c r="H66" i="20"/>
  <c r="J66" i="20" s="1"/>
  <c r="B67" i="20"/>
  <c r="C67" i="20"/>
  <c r="E67" i="20"/>
  <c r="F67" i="20"/>
  <c r="G67" i="20" s="1"/>
  <c r="H67" i="20"/>
  <c r="I67" i="20"/>
  <c r="N67" i="20"/>
  <c r="B69" i="20"/>
  <c r="D69" i="20" s="1"/>
  <c r="E69" i="20"/>
  <c r="G69" i="20" s="1"/>
  <c r="H69" i="20"/>
  <c r="J69" i="20" s="1"/>
  <c r="B70" i="20"/>
  <c r="D70" i="20" s="1"/>
  <c r="E70" i="20"/>
  <c r="G70" i="20" s="1"/>
  <c r="H70" i="20"/>
  <c r="J70" i="20" s="1"/>
  <c r="B71" i="20"/>
  <c r="D71" i="20"/>
  <c r="E71" i="20"/>
  <c r="G71" i="20" s="1"/>
  <c r="H71" i="20"/>
  <c r="J71" i="20" s="1"/>
  <c r="B72" i="20"/>
  <c r="D72" i="20" s="1"/>
  <c r="E72" i="20"/>
  <c r="G72" i="20" s="1"/>
  <c r="H72" i="20"/>
  <c r="J72" i="20"/>
  <c r="B73" i="20"/>
  <c r="D73" i="20" s="1"/>
  <c r="E73" i="20"/>
  <c r="G73" i="20" s="1"/>
  <c r="H73" i="20"/>
  <c r="J73" i="20" s="1"/>
  <c r="B74" i="20"/>
  <c r="D74" i="20" s="1"/>
  <c r="E74" i="20"/>
  <c r="G74" i="20" s="1"/>
  <c r="H74" i="20"/>
  <c r="J74" i="20" s="1"/>
  <c r="B75" i="20"/>
  <c r="D75" i="20" s="1"/>
  <c r="E75" i="20"/>
  <c r="G75" i="20"/>
  <c r="H75" i="20"/>
  <c r="J75" i="20" s="1"/>
  <c r="B76" i="20"/>
  <c r="D76" i="20"/>
  <c r="E76" i="20"/>
  <c r="G76" i="20" s="1"/>
  <c r="H76" i="20"/>
  <c r="J76" i="20"/>
  <c r="B77" i="20"/>
  <c r="D77" i="20" s="1"/>
  <c r="E77" i="20"/>
  <c r="G77" i="20"/>
  <c r="H77" i="20"/>
  <c r="J77" i="20" s="1"/>
  <c r="B78" i="20"/>
  <c r="D78" i="20" s="1"/>
  <c r="E78" i="20"/>
  <c r="G78" i="20"/>
  <c r="H78" i="20"/>
  <c r="J78" i="20" s="1"/>
  <c r="B79" i="20"/>
  <c r="D79" i="20" s="1"/>
  <c r="E79" i="20"/>
  <c r="G79" i="20" s="1"/>
  <c r="H79" i="20"/>
  <c r="J79" i="20" s="1"/>
  <c r="B80" i="20"/>
  <c r="D80" i="20" s="1"/>
  <c r="E80" i="20"/>
  <c r="G80" i="20" s="1"/>
  <c r="H80" i="20"/>
  <c r="J80" i="20" s="1"/>
  <c r="B81" i="20"/>
  <c r="C81" i="20"/>
  <c r="D81" i="20" s="1"/>
  <c r="E81" i="20"/>
  <c r="F81" i="20"/>
  <c r="H81" i="20"/>
  <c r="I81" i="20"/>
  <c r="N81" i="20"/>
  <c r="B83" i="20"/>
  <c r="D83" i="20" s="1"/>
  <c r="E83" i="20"/>
  <c r="G83" i="20" s="1"/>
  <c r="H83" i="20"/>
  <c r="J83" i="20" s="1"/>
  <c r="B84" i="20"/>
  <c r="D84" i="20"/>
  <c r="E84" i="20"/>
  <c r="G84" i="20" s="1"/>
  <c r="H84" i="20"/>
  <c r="J84" i="20" s="1"/>
  <c r="B85" i="20"/>
  <c r="D85" i="20" s="1"/>
  <c r="E85" i="20"/>
  <c r="G85" i="20" s="1"/>
  <c r="H85" i="20"/>
  <c r="J85" i="20"/>
  <c r="B86" i="20"/>
  <c r="D86" i="20"/>
  <c r="E86" i="20"/>
  <c r="G86" i="20" s="1"/>
  <c r="H86" i="20"/>
  <c r="J86" i="20" s="1"/>
  <c r="B87" i="20"/>
  <c r="D87" i="20" s="1"/>
  <c r="E87" i="20"/>
  <c r="G87" i="20" s="1"/>
  <c r="H87" i="20"/>
  <c r="J87" i="20" s="1"/>
  <c r="B88" i="20"/>
  <c r="D88" i="20" s="1"/>
  <c r="E88" i="20"/>
  <c r="G88" i="20" s="1"/>
  <c r="H88" i="20"/>
  <c r="J88" i="20" s="1"/>
  <c r="B89" i="20"/>
  <c r="D89" i="20" s="1"/>
  <c r="E89" i="20"/>
  <c r="G89" i="20" s="1"/>
  <c r="H89" i="20"/>
  <c r="J89" i="20" s="1"/>
  <c r="B90" i="20"/>
  <c r="D90" i="20" s="1"/>
  <c r="E90" i="20"/>
  <c r="G90" i="20"/>
  <c r="H90" i="20"/>
  <c r="J90" i="20" s="1"/>
  <c r="B91" i="20"/>
  <c r="D91" i="20" s="1"/>
  <c r="E91" i="20"/>
  <c r="G91" i="20"/>
  <c r="H91" i="20"/>
  <c r="J91" i="20"/>
  <c r="B92" i="20"/>
  <c r="D92" i="20" s="1"/>
  <c r="E92" i="20"/>
  <c r="G92" i="20" s="1"/>
  <c r="H92" i="20"/>
  <c r="J92" i="20" s="1"/>
  <c r="B93" i="20"/>
  <c r="D93" i="20" s="1"/>
  <c r="E93" i="20"/>
  <c r="G93" i="20" s="1"/>
  <c r="H93" i="20"/>
  <c r="J93" i="20" s="1"/>
  <c r="B94" i="20"/>
  <c r="D94" i="20" s="1"/>
  <c r="E94" i="20"/>
  <c r="G94" i="20" s="1"/>
  <c r="H94" i="20"/>
  <c r="J94" i="20" s="1"/>
  <c r="B95" i="20"/>
  <c r="C95" i="20"/>
  <c r="E95" i="20"/>
  <c r="G95" i="20" s="1"/>
  <c r="F95" i="20"/>
  <c r="H95" i="20"/>
  <c r="I95" i="20"/>
  <c r="N95" i="20"/>
  <c r="B97" i="20"/>
  <c r="D97" i="20" s="1"/>
  <c r="E97" i="20"/>
  <c r="G97" i="20" s="1"/>
  <c r="H97" i="20"/>
  <c r="J97" i="20" s="1"/>
  <c r="B98" i="20"/>
  <c r="D98" i="20" s="1"/>
  <c r="E98" i="20"/>
  <c r="G98" i="20"/>
  <c r="H98" i="20"/>
  <c r="J98" i="20" s="1"/>
  <c r="B99" i="20"/>
  <c r="D99" i="20" s="1"/>
  <c r="K99" i="20" s="1"/>
  <c r="O99" i="20" s="1"/>
  <c r="E99" i="20"/>
  <c r="G99" i="20" s="1"/>
  <c r="H99" i="20"/>
  <c r="J99" i="20" s="1"/>
  <c r="B100" i="20"/>
  <c r="D100" i="20"/>
  <c r="E100" i="20"/>
  <c r="G100" i="20" s="1"/>
  <c r="H100" i="20"/>
  <c r="J100" i="20" s="1"/>
  <c r="B101" i="20"/>
  <c r="D101" i="20"/>
  <c r="K101" i="20" s="1"/>
  <c r="O101" i="20" s="1"/>
  <c r="E101" i="20"/>
  <c r="G101" i="20" s="1"/>
  <c r="H101" i="20"/>
  <c r="J101" i="20" s="1"/>
  <c r="B102" i="20"/>
  <c r="D102" i="20" s="1"/>
  <c r="E102" i="20"/>
  <c r="G102" i="20" s="1"/>
  <c r="H102" i="20"/>
  <c r="J102" i="20" s="1"/>
  <c r="B103" i="20"/>
  <c r="D103" i="20" s="1"/>
  <c r="E103" i="20"/>
  <c r="G103" i="20" s="1"/>
  <c r="H103" i="20"/>
  <c r="J103" i="20" s="1"/>
  <c r="B104" i="20"/>
  <c r="D104" i="20" s="1"/>
  <c r="E104" i="20"/>
  <c r="G104" i="20" s="1"/>
  <c r="H104" i="20"/>
  <c r="J104" i="20" s="1"/>
  <c r="B105" i="20"/>
  <c r="D105" i="20" s="1"/>
  <c r="E105" i="20"/>
  <c r="G105" i="20" s="1"/>
  <c r="H105" i="20"/>
  <c r="J105" i="20" s="1"/>
  <c r="B106" i="20"/>
  <c r="D106" i="20"/>
  <c r="E106" i="20"/>
  <c r="G106" i="20"/>
  <c r="H106" i="20"/>
  <c r="J106" i="20" s="1"/>
  <c r="B107" i="20"/>
  <c r="D107" i="20" s="1"/>
  <c r="E107" i="20"/>
  <c r="G107" i="20" s="1"/>
  <c r="H107" i="20"/>
  <c r="J107" i="20" s="1"/>
  <c r="B108" i="20"/>
  <c r="D108" i="20"/>
  <c r="E108" i="20"/>
  <c r="G108" i="20" s="1"/>
  <c r="H108" i="20"/>
  <c r="J108" i="20" s="1"/>
  <c r="B109" i="20"/>
  <c r="C109" i="20"/>
  <c r="E109" i="20"/>
  <c r="F109" i="20"/>
  <c r="G109" i="20" s="1"/>
  <c r="H109" i="20"/>
  <c r="I109" i="20"/>
  <c r="N109" i="20"/>
  <c r="D111" i="20"/>
  <c r="G111" i="20"/>
  <c r="K111" i="20" s="1"/>
  <c r="O111" i="20" s="1"/>
  <c r="J111" i="20"/>
  <c r="D112" i="20"/>
  <c r="G112" i="20"/>
  <c r="J112" i="20"/>
  <c r="D113" i="20"/>
  <c r="G113" i="20"/>
  <c r="J113" i="20"/>
  <c r="D114" i="20"/>
  <c r="G114" i="20"/>
  <c r="J114" i="20"/>
  <c r="D115" i="20"/>
  <c r="G115" i="20"/>
  <c r="J115" i="20"/>
  <c r="D116" i="20"/>
  <c r="G116" i="20"/>
  <c r="J116" i="20"/>
  <c r="D117" i="20"/>
  <c r="K117" i="20" s="1"/>
  <c r="O117" i="20" s="1"/>
  <c r="G117" i="20"/>
  <c r="J117" i="20"/>
  <c r="D118" i="20"/>
  <c r="G118" i="20"/>
  <c r="J118" i="20"/>
  <c r="D119" i="20"/>
  <c r="G119" i="20"/>
  <c r="J119" i="20"/>
  <c r="D120" i="20"/>
  <c r="G120" i="20"/>
  <c r="J120" i="20"/>
  <c r="D121" i="20"/>
  <c r="G121" i="20"/>
  <c r="J121" i="20"/>
  <c r="D122" i="20"/>
  <c r="G122" i="20"/>
  <c r="J122" i="20"/>
  <c r="D123" i="20"/>
  <c r="G123" i="20"/>
  <c r="J123" i="20"/>
  <c r="B8" i="26"/>
  <c r="D8" i="26"/>
  <c r="I8" i="26"/>
  <c r="K8" i="26"/>
  <c r="B9" i="26" s="1"/>
  <c r="D9" i="26"/>
  <c r="I9" i="26"/>
  <c r="K9" i="26"/>
  <c r="B10" i="26" s="1"/>
  <c r="D10" i="26"/>
  <c r="I10" i="26"/>
  <c r="K10" i="26"/>
  <c r="B11" i="26" s="1"/>
  <c r="E11" i="26" s="1"/>
  <c r="J11" i="26" s="1"/>
  <c r="G11" i="26" s="1"/>
  <c r="D11" i="26"/>
  <c r="I11" i="26"/>
  <c r="K11" i="26"/>
  <c r="B12" i="26"/>
  <c r="D12" i="26"/>
  <c r="I12" i="26"/>
  <c r="K12" i="26"/>
  <c r="B13" i="26" s="1"/>
  <c r="D13" i="26"/>
  <c r="I13" i="26"/>
  <c r="K13" i="26"/>
  <c r="B14" i="26" s="1"/>
  <c r="E14" i="26" s="1"/>
  <c r="D14" i="26"/>
  <c r="I14" i="26"/>
  <c r="K14" i="26"/>
  <c r="B15" i="26" s="1"/>
  <c r="E15" i="26" s="1"/>
  <c r="D15" i="26"/>
  <c r="I15" i="26"/>
  <c r="K15" i="26"/>
  <c r="B16" i="26" s="1"/>
  <c r="E16" i="26" s="1"/>
  <c r="J16" i="26" s="1"/>
  <c r="G16" i="26" s="1"/>
  <c r="D16" i="26"/>
  <c r="I16" i="26"/>
  <c r="K16" i="26"/>
  <c r="B17" i="26" s="1"/>
  <c r="D17" i="26"/>
  <c r="I17" i="26"/>
  <c r="K17" i="26"/>
  <c r="B18" i="26" s="1"/>
  <c r="D18" i="26"/>
  <c r="I18" i="26"/>
  <c r="K18" i="26"/>
  <c r="B19" i="26" s="1"/>
  <c r="D19" i="26"/>
  <c r="I19" i="26"/>
  <c r="K19" i="26"/>
  <c r="C20" i="26"/>
  <c r="H20" i="26"/>
  <c r="B22" i="26"/>
  <c r="D22" i="26"/>
  <c r="I22" i="26"/>
  <c r="K22" i="26"/>
  <c r="B23" i="26" s="1"/>
  <c r="E23" i="26" s="1"/>
  <c r="J23" i="26" s="1"/>
  <c r="G23" i="26" s="1"/>
  <c r="D23" i="26"/>
  <c r="I23" i="26"/>
  <c r="K23" i="26"/>
  <c r="B24" i="26" s="1"/>
  <c r="D24" i="26"/>
  <c r="I24" i="26"/>
  <c r="K24" i="26"/>
  <c r="B25" i="26"/>
  <c r="D25" i="26"/>
  <c r="I25" i="26"/>
  <c r="K25" i="26"/>
  <c r="B26" i="26" s="1"/>
  <c r="E26" i="26" s="1"/>
  <c r="D26" i="26"/>
  <c r="I26" i="26"/>
  <c r="K26" i="26"/>
  <c r="B27" i="26" s="1"/>
  <c r="D27" i="26"/>
  <c r="I27" i="26"/>
  <c r="K27" i="26"/>
  <c r="B28" i="26"/>
  <c r="D28" i="26"/>
  <c r="I28" i="26"/>
  <c r="K28" i="26"/>
  <c r="B29" i="26" s="1"/>
  <c r="D29" i="26"/>
  <c r="I29" i="26"/>
  <c r="K29" i="26"/>
  <c r="B30" i="26" s="1"/>
  <c r="D30" i="26"/>
  <c r="I30" i="26"/>
  <c r="K30" i="26"/>
  <c r="B31" i="26" s="1"/>
  <c r="E31" i="26" s="1"/>
  <c r="J31" i="26" s="1"/>
  <c r="D31" i="26"/>
  <c r="I31" i="26"/>
  <c r="K31" i="26"/>
  <c r="B32" i="26" s="1"/>
  <c r="D32" i="26"/>
  <c r="I32" i="26"/>
  <c r="K32" i="26"/>
  <c r="B33" i="26" s="1"/>
  <c r="D33" i="26"/>
  <c r="I33" i="26"/>
  <c r="K33" i="26"/>
  <c r="C34" i="26"/>
  <c r="H34" i="26"/>
  <c r="B36" i="26"/>
  <c r="D36" i="26"/>
  <c r="I36" i="26"/>
  <c r="K36" i="26"/>
  <c r="B37" i="26" s="1"/>
  <c r="D37" i="26"/>
  <c r="I37" i="26"/>
  <c r="K37" i="26"/>
  <c r="B38" i="26"/>
  <c r="D38" i="26"/>
  <c r="E38" i="26"/>
  <c r="J38" i="26" s="1"/>
  <c r="I38" i="26"/>
  <c r="K38" i="26"/>
  <c r="B39" i="26" s="1"/>
  <c r="D39" i="26"/>
  <c r="I39" i="26"/>
  <c r="K39" i="26"/>
  <c r="B40" i="26"/>
  <c r="E40" i="26" s="1"/>
  <c r="D40" i="26"/>
  <c r="I40" i="26"/>
  <c r="K40" i="26"/>
  <c r="B41" i="26" s="1"/>
  <c r="D41" i="26"/>
  <c r="I41" i="26"/>
  <c r="K41" i="26"/>
  <c r="B42" i="26" s="1"/>
  <c r="D42" i="26"/>
  <c r="I42" i="26"/>
  <c r="K42" i="26"/>
  <c r="B43" i="26" s="1"/>
  <c r="D43" i="26"/>
  <c r="E43" i="26" s="1"/>
  <c r="J43" i="26" s="1"/>
  <c r="G43" i="26" s="1"/>
  <c r="I43" i="26"/>
  <c r="K43" i="26"/>
  <c r="B44" i="26"/>
  <c r="E44" i="26" s="1"/>
  <c r="J44" i="26" s="1"/>
  <c r="D44" i="26"/>
  <c r="I44" i="26"/>
  <c r="K44" i="26"/>
  <c r="B45" i="26"/>
  <c r="D45" i="26"/>
  <c r="I45" i="26"/>
  <c r="K45" i="26"/>
  <c r="B46" i="26"/>
  <c r="E46" i="26" s="1"/>
  <c r="J46" i="26" s="1"/>
  <c r="G46" i="26" s="1"/>
  <c r="D46" i="26"/>
  <c r="I46" i="26"/>
  <c r="K46" i="26"/>
  <c r="B47" i="26" s="1"/>
  <c r="D47" i="26"/>
  <c r="I47" i="26"/>
  <c r="K47" i="26"/>
  <c r="B50" i="26" s="1"/>
  <c r="E50" i="26" s="1"/>
  <c r="J50" i="26" s="1"/>
  <c r="C48" i="26"/>
  <c r="H48" i="26"/>
  <c r="D50" i="26"/>
  <c r="I50" i="26"/>
  <c r="K50" i="26"/>
  <c r="B51" i="26"/>
  <c r="D51" i="26"/>
  <c r="E51" i="26" s="1"/>
  <c r="J51" i="26" s="1"/>
  <c r="G51" i="26" s="1"/>
  <c r="I51" i="26"/>
  <c r="K51" i="26"/>
  <c r="B52" i="26" s="1"/>
  <c r="D52" i="26"/>
  <c r="I52" i="26"/>
  <c r="K52" i="26"/>
  <c r="B53" i="26"/>
  <c r="D53" i="26"/>
  <c r="I53" i="26"/>
  <c r="K53" i="26"/>
  <c r="B54" i="26" s="1"/>
  <c r="E54" i="26" s="1"/>
  <c r="J54" i="26" s="1"/>
  <c r="D54" i="26"/>
  <c r="I54" i="26"/>
  <c r="K54" i="26"/>
  <c r="B55" i="26" s="1"/>
  <c r="D55" i="26"/>
  <c r="I55" i="26"/>
  <c r="K55" i="26"/>
  <c r="B56" i="26" s="1"/>
  <c r="E56" i="26" s="1"/>
  <c r="J56" i="26" s="1"/>
  <c r="G56" i="26" s="1"/>
  <c r="D56" i="26"/>
  <c r="I56" i="26"/>
  <c r="K56" i="26"/>
  <c r="B57" i="26" s="1"/>
  <c r="E57" i="26" s="1"/>
  <c r="D57" i="26"/>
  <c r="I57" i="26"/>
  <c r="K57" i="26"/>
  <c r="B58" i="26" s="1"/>
  <c r="D58" i="26"/>
  <c r="I58" i="26"/>
  <c r="K58" i="26"/>
  <c r="B59" i="26"/>
  <c r="D59" i="26"/>
  <c r="I59" i="26"/>
  <c r="K59" i="26"/>
  <c r="B60" i="26" s="1"/>
  <c r="D60" i="26"/>
  <c r="I60" i="26"/>
  <c r="B61" i="26"/>
  <c r="E61" i="26" s="1"/>
  <c r="J61" i="26" s="1"/>
  <c r="D61" i="26"/>
  <c r="I61" i="26"/>
  <c r="C62" i="26"/>
  <c r="H62" i="26"/>
  <c r="E64" i="26"/>
  <c r="J64" i="26" s="1"/>
  <c r="G64" i="26" s="1"/>
  <c r="B65" i="26"/>
  <c r="E65" i="26" s="1"/>
  <c r="J65" i="26" s="1"/>
  <c r="G65" i="26" s="1"/>
  <c r="B66" i="26"/>
  <c r="E66" i="26" s="1"/>
  <c r="J66" i="26" s="1"/>
  <c r="G66" i="26" s="1"/>
  <c r="B67" i="26"/>
  <c r="E67" i="26"/>
  <c r="J67" i="26" s="1"/>
  <c r="G67" i="26" s="1"/>
  <c r="B68" i="26"/>
  <c r="B69" i="26"/>
  <c r="E69" i="26" s="1"/>
  <c r="J69" i="26" s="1"/>
  <c r="G69" i="26" s="1"/>
  <c r="B70" i="26"/>
  <c r="E70" i="26"/>
  <c r="J70" i="26" s="1"/>
  <c r="G70" i="26" s="1"/>
  <c r="B71" i="26"/>
  <c r="E71" i="26" s="1"/>
  <c r="J71" i="26" s="1"/>
  <c r="G71" i="26" s="1"/>
  <c r="B72" i="26"/>
  <c r="E72" i="26" s="1"/>
  <c r="J72" i="26" s="1"/>
  <c r="G72" i="26" s="1"/>
  <c r="B73" i="26"/>
  <c r="E73" i="26" s="1"/>
  <c r="J73" i="26" s="1"/>
  <c r="G73" i="26" s="1"/>
  <c r="B74" i="26"/>
  <c r="E74" i="26" s="1"/>
  <c r="J74" i="26" s="1"/>
  <c r="B75" i="26"/>
  <c r="E75" i="26"/>
  <c r="J75" i="26" s="1"/>
  <c r="G75" i="26" s="1"/>
  <c r="C76" i="26"/>
  <c r="C42" i="21" s="1"/>
  <c r="H76" i="26"/>
  <c r="I76" i="26"/>
  <c r="I42" i="21" s="1"/>
  <c r="E78" i="26"/>
  <c r="J78" i="26" s="1"/>
  <c r="G78" i="26" s="1"/>
  <c r="E79" i="26"/>
  <c r="J79" i="26" s="1"/>
  <c r="G79" i="26" s="1"/>
  <c r="E80" i="26"/>
  <c r="J80" i="26" s="1"/>
  <c r="G80" i="26"/>
  <c r="E81" i="26"/>
  <c r="J81" i="26" s="1"/>
  <c r="G81" i="26" s="1"/>
  <c r="E82" i="26"/>
  <c r="J82" i="26" s="1"/>
  <c r="G82" i="26" s="1"/>
  <c r="E83" i="26"/>
  <c r="J83" i="26" s="1"/>
  <c r="G83" i="26" s="1"/>
  <c r="E84" i="26"/>
  <c r="J84" i="26" s="1"/>
  <c r="G84" i="26" s="1"/>
  <c r="E85" i="26"/>
  <c r="J85" i="26" s="1"/>
  <c r="G85" i="26" s="1"/>
  <c r="E86" i="26"/>
  <c r="J86" i="26" s="1"/>
  <c r="G86" i="26" s="1"/>
  <c r="E87" i="26"/>
  <c r="J87" i="26"/>
  <c r="G87" i="26" s="1"/>
  <c r="E88" i="26"/>
  <c r="J88" i="26" s="1"/>
  <c r="G88" i="26" s="1"/>
  <c r="E89" i="26"/>
  <c r="J89" i="26" s="1"/>
  <c r="G89" i="26" s="1"/>
  <c r="C90" i="26"/>
  <c r="D90" i="26"/>
  <c r="D43" i="21" s="1"/>
  <c r="H90" i="26"/>
  <c r="H43" i="21" s="1"/>
  <c r="I90" i="26"/>
  <c r="I43" i="21" s="1"/>
  <c r="B8" i="27"/>
  <c r="C8" i="27"/>
  <c r="D8" i="27"/>
  <c r="H8" i="27"/>
  <c r="J8" i="27"/>
  <c r="B9" i="27" s="1"/>
  <c r="C9" i="27"/>
  <c r="D9" i="27"/>
  <c r="H9" i="27"/>
  <c r="J9" i="27"/>
  <c r="B10" i="27" s="1"/>
  <c r="C10" i="27"/>
  <c r="D10" i="27"/>
  <c r="H10" i="27"/>
  <c r="J10" i="27"/>
  <c r="B11" i="27" s="1"/>
  <c r="C11" i="27"/>
  <c r="D11" i="27"/>
  <c r="H11" i="27"/>
  <c r="J11" i="27"/>
  <c r="B12" i="27" s="1"/>
  <c r="C12" i="27"/>
  <c r="D12" i="27"/>
  <c r="H12" i="27"/>
  <c r="J12" i="27"/>
  <c r="B13" i="27" s="1"/>
  <c r="E13" i="27" s="1"/>
  <c r="I13" i="27" s="1"/>
  <c r="C13" i="27"/>
  <c r="D13" i="27"/>
  <c r="H13" i="27"/>
  <c r="J13" i="27"/>
  <c r="B14" i="27" s="1"/>
  <c r="C14" i="27"/>
  <c r="D14" i="27"/>
  <c r="H14" i="27"/>
  <c r="J14" i="27"/>
  <c r="B15" i="27" s="1"/>
  <c r="C15" i="27"/>
  <c r="D15" i="27"/>
  <c r="H15" i="27"/>
  <c r="J15" i="27"/>
  <c r="B16" i="27" s="1"/>
  <c r="C16" i="27"/>
  <c r="D16" i="27"/>
  <c r="H16" i="27"/>
  <c r="J16" i="27"/>
  <c r="B17" i="27" s="1"/>
  <c r="C17" i="27"/>
  <c r="D17" i="27"/>
  <c r="H17" i="27"/>
  <c r="J17" i="27"/>
  <c r="B18" i="27" s="1"/>
  <c r="C18" i="27"/>
  <c r="D18" i="27"/>
  <c r="H18" i="27"/>
  <c r="J18" i="27"/>
  <c r="B19" i="27" s="1"/>
  <c r="C19" i="27"/>
  <c r="D19" i="27"/>
  <c r="H19" i="27"/>
  <c r="J19" i="27"/>
  <c r="B22" i="27"/>
  <c r="C22" i="27"/>
  <c r="D22" i="27"/>
  <c r="H22" i="27"/>
  <c r="J22" i="27"/>
  <c r="B23" i="27" s="1"/>
  <c r="E23" i="27" s="1"/>
  <c r="I23" i="27" s="1"/>
  <c r="G23" i="27" s="1"/>
  <c r="C23" i="27"/>
  <c r="D23" i="27"/>
  <c r="H23" i="27"/>
  <c r="J23" i="27"/>
  <c r="B24" i="27" s="1"/>
  <c r="C24" i="27"/>
  <c r="D24" i="27"/>
  <c r="H24" i="27"/>
  <c r="J24" i="27"/>
  <c r="B25" i="27" s="1"/>
  <c r="C25" i="27"/>
  <c r="D25" i="27"/>
  <c r="H25" i="27"/>
  <c r="J25" i="27"/>
  <c r="B26" i="27" s="1"/>
  <c r="C26" i="27"/>
  <c r="D26" i="27"/>
  <c r="H26" i="27"/>
  <c r="J26" i="27"/>
  <c r="B27" i="27" s="1"/>
  <c r="C27" i="27"/>
  <c r="D27" i="27"/>
  <c r="H27" i="27"/>
  <c r="J27" i="27"/>
  <c r="B28" i="27" s="1"/>
  <c r="C28" i="27"/>
  <c r="D28" i="27"/>
  <c r="H28" i="27"/>
  <c r="J28" i="27"/>
  <c r="B29" i="27" s="1"/>
  <c r="C29" i="27"/>
  <c r="D29" i="27"/>
  <c r="H29" i="27"/>
  <c r="J29" i="27"/>
  <c r="B30" i="27"/>
  <c r="C30" i="27"/>
  <c r="D30" i="27"/>
  <c r="H30" i="27"/>
  <c r="J30" i="27"/>
  <c r="B31" i="27" s="1"/>
  <c r="C31" i="27"/>
  <c r="D31" i="27"/>
  <c r="H31" i="27"/>
  <c r="J31" i="27"/>
  <c r="B32" i="27" s="1"/>
  <c r="C32" i="27"/>
  <c r="D32" i="27"/>
  <c r="H32" i="27"/>
  <c r="J32" i="27"/>
  <c r="B33" i="27" s="1"/>
  <c r="C33" i="27"/>
  <c r="D33" i="27"/>
  <c r="H33" i="27"/>
  <c r="J33" i="27"/>
  <c r="B36" i="27" s="1"/>
  <c r="D34" i="27"/>
  <c r="C36" i="27"/>
  <c r="D36" i="27"/>
  <c r="H36" i="27"/>
  <c r="J36" i="27"/>
  <c r="B37" i="27"/>
  <c r="C37" i="27"/>
  <c r="D37" i="27"/>
  <c r="H37" i="27"/>
  <c r="J37" i="27"/>
  <c r="B38" i="27" s="1"/>
  <c r="C38" i="27"/>
  <c r="D38" i="27"/>
  <c r="H38" i="27"/>
  <c r="J38" i="27"/>
  <c r="B39" i="27" s="1"/>
  <c r="C39" i="27"/>
  <c r="D39" i="27"/>
  <c r="H39" i="27"/>
  <c r="J39" i="27"/>
  <c r="B40" i="27" s="1"/>
  <c r="C40" i="27"/>
  <c r="E40" i="27" s="1"/>
  <c r="I40" i="27" s="1"/>
  <c r="D40" i="27"/>
  <c r="H40" i="27"/>
  <c r="J40" i="27"/>
  <c r="B41" i="27" s="1"/>
  <c r="C41" i="27"/>
  <c r="D41" i="27"/>
  <c r="H41" i="27"/>
  <c r="J41" i="27"/>
  <c r="B42" i="27"/>
  <c r="C42" i="27"/>
  <c r="D42" i="27"/>
  <c r="H42" i="27"/>
  <c r="J42" i="27"/>
  <c r="B43" i="27" s="1"/>
  <c r="C43" i="27"/>
  <c r="D43" i="27"/>
  <c r="H43" i="27"/>
  <c r="J43" i="27"/>
  <c r="B44" i="27" s="1"/>
  <c r="C44" i="27"/>
  <c r="D44" i="27"/>
  <c r="H44" i="27"/>
  <c r="J44" i="27"/>
  <c r="B45" i="27" s="1"/>
  <c r="E45" i="27" s="1"/>
  <c r="I45" i="27" s="1"/>
  <c r="C45" i="27"/>
  <c r="D45" i="27"/>
  <c r="H45" i="27"/>
  <c r="J45" i="27"/>
  <c r="B46" i="27"/>
  <c r="C46" i="27"/>
  <c r="D46" i="27"/>
  <c r="H46" i="27"/>
  <c r="J46" i="27"/>
  <c r="B47" i="27" s="1"/>
  <c r="C47" i="27"/>
  <c r="D47" i="27"/>
  <c r="E47" i="27" s="1"/>
  <c r="I47" i="27" s="1"/>
  <c r="G47" i="27" s="1"/>
  <c r="H47" i="27"/>
  <c r="J47" i="27"/>
  <c r="B50" i="27" s="1"/>
  <c r="C50" i="27"/>
  <c r="D50" i="27"/>
  <c r="H50" i="27"/>
  <c r="J50" i="27"/>
  <c r="B51" i="27" s="1"/>
  <c r="C51" i="27"/>
  <c r="D51" i="27"/>
  <c r="H51" i="27"/>
  <c r="J51" i="27"/>
  <c r="B52" i="27" s="1"/>
  <c r="C52" i="27"/>
  <c r="D52" i="27"/>
  <c r="H52" i="27"/>
  <c r="J52" i="27"/>
  <c r="B53" i="27" s="1"/>
  <c r="C53" i="27"/>
  <c r="D53" i="27"/>
  <c r="H53" i="27"/>
  <c r="J53" i="27"/>
  <c r="B54" i="27"/>
  <c r="C54" i="27"/>
  <c r="D54" i="27"/>
  <c r="H54" i="27"/>
  <c r="J54" i="27"/>
  <c r="B55" i="27" s="1"/>
  <c r="C55" i="27"/>
  <c r="D55" i="27"/>
  <c r="H55" i="27"/>
  <c r="J55" i="27"/>
  <c r="B56" i="27"/>
  <c r="C56" i="27"/>
  <c r="D56" i="27"/>
  <c r="H56" i="27"/>
  <c r="J56" i="27"/>
  <c r="B57" i="27" s="1"/>
  <c r="C57" i="27"/>
  <c r="D57" i="27"/>
  <c r="H57" i="27"/>
  <c r="J57" i="27"/>
  <c r="B58" i="27" s="1"/>
  <c r="C58" i="27"/>
  <c r="D58" i="27"/>
  <c r="H58" i="27"/>
  <c r="J58" i="27"/>
  <c r="B59" i="27" s="1"/>
  <c r="C59" i="27"/>
  <c r="D59" i="27"/>
  <c r="H59" i="27"/>
  <c r="J59" i="27"/>
  <c r="B60" i="27" s="1"/>
  <c r="E60" i="27" s="1"/>
  <c r="I60" i="27" s="1"/>
  <c r="G60" i="27" s="1"/>
  <c r="D60" i="27"/>
  <c r="H60" i="27"/>
  <c r="B61" i="27"/>
  <c r="D61" i="27"/>
  <c r="H61" i="27"/>
  <c r="B64" i="27"/>
  <c r="C64" i="27"/>
  <c r="B65" i="27"/>
  <c r="C65" i="27"/>
  <c r="B66" i="27"/>
  <c r="C66" i="27"/>
  <c r="B67" i="27"/>
  <c r="C67" i="27"/>
  <c r="E67" i="27" s="1"/>
  <c r="I67" i="27" s="1"/>
  <c r="G67" i="27" s="1"/>
  <c r="B68" i="27"/>
  <c r="C68" i="27"/>
  <c r="B69" i="27"/>
  <c r="E69" i="27" s="1"/>
  <c r="I69" i="27" s="1"/>
  <c r="G69" i="27" s="1"/>
  <c r="C69" i="27"/>
  <c r="B70" i="27"/>
  <c r="C70" i="27"/>
  <c r="B71" i="27"/>
  <c r="C71" i="27"/>
  <c r="B72" i="27"/>
  <c r="C72" i="27"/>
  <c r="B73" i="27"/>
  <c r="C73" i="27"/>
  <c r="B74" i="27"/>
  <c r="C74" i="27"/>
  <c r="B75" i="27"/>
  <c r="C75" i="27"/>
  <c r="J43" i="22"/>
  <c r="B44" i="22" s="1"/>
  <c r="H76" i="27"/>
  <c r="H43" i="22" s="1"/>
  <c r="B78" i="27"/>
  <c r="E78" i="27"/>
  <c r="I78" i="27" s="1"/>
  <c r="G78" i="27" s="1"/>
  <c r="B79" i="27"/>
  <c r="E79" i="27" s="1"/>
  <c r="I79" i="27" s="1"/>
  <c r="G79" i="27" s="1"/>
  <c r="B80" i="27"/>
  <c r="E80" i="27"/>
  <c r="I80" i="27" s="1"/>
  <c r="G80" i="27" s="1"/>
  <c r="B81" i="27"/>
  <c r="E81" i="27" s="1"/>
  <c r="I81" i="27" s="1"/>
  <c r="G81" i="27" s="1"/>
  <c r="B82" i="27"/>
  <c r="E82" i="27" s="1"/>
  <c r="I82" i="27" s="1"/>
  <c r="G82" i="27" s="1"/>
  <c r="B83" i="27"/>
  <c r="E83" i="27" s="1"/>
  <c r="I83" i="27" s="1"/>
  <c r="G83" i="27" s="1"/>
  <c r="B84" i="27"/>
  <c r="E84" i="27" s="1"/>
  <c r="I84" i="27" s="1"/>
  <c r="G84" i="27" s="1"/>
  <c r="B85" i="27"/>
  <c r="E85" i="27" s="1"/>
  <c r="I85" i="27" s="1"/>
  <c r="G85" i="27" s="1"/>
  <c r="B86" i="27"/>
  <c r="E86" i="27" s="1"/>
  <c r="I86" i="27" s="1"/>
  <c r="G86" i="27" s="1"/>
  <c r="B87" i="27"/>
  <c r="E87" i="27" s="1"/>
  <c r="I87" i="27" s="1"/>
  <c r="G87" i="27" s="1"/>
  <c r="B88" i="27"/>
  <c r="E88" i="27" s="1"/>
  <c r="I88" i="27" s="1"/>
  <c r="G88" i="27" s="1"/>
  <c r="B89" i="27"/>
  <c r="E89" i="27" s="1"/>
  <c r="I89" i="27" s="1"/>
  <c r="G89" i="27"/>
  <c r="C90" i="27"/>
  <c r="C44" i="22" s="1"/>
  <c r="D90" i="27"/>
  <c r="D44" i="22" s="1"/>
  <c r="H90" i="27"/>
  <c r="H44" i="22" s="1"/>
  <c r="E8" i="28"/>
  <c r="C12" i="28"/>
  <c r="P7" i="28" s="1"/>
  <c r="D12" i="28"/>
  <c r="F12" i="28"/>
  <c r="G28" i="23" s="1"/>
  <c r="G12" i="28"/>
  <c r="C19" i="28"/>
  <c r="P8" i="28" s="1"/>
  <c r="D19" i="28"/>
  <c r="F19" i="28"/>
  <c r="G29" i="23" s="1"/>
  <c r="G19" i="28"/>
  <c r="Q8" i="28" s="1"/>
  <c r="C26" i="28"/>
  <c r="P9" i="28" s="1"/>
  <c r="D26" i="28"/>
  <c r="F26" i="28"/>
  <c r="G30" i="23" s="1"/>
  <c r="G26" i="28"/>
  <c r="Q9" i="28" s="1"/>
  <c r="C33" i="28"/>
  <c r="P10" i="28" s="1"/>
  <c r="D33" i="28"/>
  <c r="F33" i="28"/>
  <c r="G31" i="23" s="1"/>
  <c r="G33" i="28"/>
  <c r="C40" i="28"/>
  <c r="P11" i="28" s="1"/>
  <c r="D40" i="28"/>
  <c r="F40" i="28"/>
  <c r="G32" i="23" s="1"/>
  <c r="G40" i="28"/>
  <c r="Q11" i="28" s="1"/>
  <c r="C47" i="28"/>
  <c r="P12" i="28" s="1"/>
  <c r="D47" i="28"/>
  <c r="F47" i="28"/>
  <c r="G33" i="23" s="1"/>
  <c r="G47" i="28"/>
  <c r="Q12" i="28" s="1"/>
  <c r="C54" i="28"/>
  <c r="P13" i="28" s="1"/>
  <c r="D54" i="28"/>
  <c r="F54" i="28"/>
  <c r="G34" i="23" s="1"/>
  <c r="G54" i="28"/>
  <c r="C57" i="28"/>
  <c r="D61" i="28"/>
  <c r="F61" i="28"/>
  <c r="G35" i="23" s="1"/>
  <c r="G61" i="28"/>
  <c r="Q14" i="28" s="1"/>
  <c r="C64" i="28"/>
  <c r="D68" i="28"/>
  <c r="F68" i="28"/>
  <c r="G36" i="23" s="1"/>
  <c r="G68" i="28"/>
  <c r="C71" i="28"/>
  <c r="D75" i="28"/>
  <c r="F75" i="28"/>
  <c r="G37" i="23" s="1"/>
  <c r="G75" i="28"/>
  <c r="Q16" i="28" s="1"/>
  <c r="C78" i="28"/>
  <c r="D82" i="28"/>
  <c r="F82" i="28"/>
  <c r="G38" i="23" s="1"/>
  <c r="G82" i="28"/>
  <c r="Q17" i="28" s="1"/>
  <c r="C85" i="28"/>
  <c r="D89" i="28"/>
  <c r="G89" i="28"/>
  <c r="C92" i="28"/>
  <c r="D96" i="28"/>
  <c r="G96" i="28"/>
  <c r="C99" i="28"/>
  <c r="D103" i="28"/>
  <c r="G103" i="28"/>
  <c r="C106" i="28"/>
  <c r="D110" i="28"/>
  <c r="G110" i="28"/>
  <c r="D113" i="28"/>
  <c r="F113" i="28"/>
  <c r="D114" i="28"/>
  <c r="F114" i="28"/>
  <c r="G116" i="28"/>
  <c r="D115" i="28"/>
  <c r="F115" i="28"/>
  <c r="C116" i="28"/>
  <c r="D117" i="28"/>
  <c r="F117" i="28"/>
  <c r="D118" i="28"/>
  <c r="F118" i="28"/>
  <c r="G120" i="28"/>
  <c r="D119" i="28"/>
  <c r="F119" i="28"/>
  <c r="D121" i="28"/>
  <c r="F121" i="28"/>
  <c r="D122" i="28"/>
  <c r="F122" i="28"/>
  <c r="D123" i="28"/>
  <c r="F123" i="28"/>
  <c r="G124" i="28"/>
  <c r="D125" i="28"/>
  <c r="F125" i="28"/>
  <c r="D126" i="28"/>
  <c r="F126" i="28"/>
  <c r="D127" i="28"/>
  <c r="F127" i="28"/>
  <c r="G128" i="28"/>
  <c r="C135" i="28"/>
  <c r="D135" i="28"/>
  <c r="F135" i="28"/>
  <c r="G135" i="28"/>
  <c r="D139" i="28"/>
  <c r="F139" i="28"/>
  <c r="G139" i="28"/>
  <c r="D143" i="28"/>
  <c r="F143" i="28"/>
  <c r="G143" i="28"/>
  <c r="D147" i="28"/>
  <c r="F147" i="28"/>
  <c r="G147" i="28"/>
  <c r="C154" i="28"/>
  <c r="D154" i="28"/>
  <c r="F154" i="28"/>
  <c r="G154" i="28"/>
  <c r="E7" i="21"/>
  <c r="J7" i="21" s="1"/>
  <c r="G7" i="21" s="1"/>
  <c r="B8" i="21"/>
  <c r="E8" i="21" s="1"/>
  <c r="J8" i="21" s="1"/>
  <c r="G8" i="21" s="1"/>
  <c r="B9" i="21"/>
  <c r="E9" i="21"/>
  <c r="J9" i="21" s="1"/>
  <c r="G9" i="21" s="1"/>
  <c r="B10" i="21"/>
  <c r="E10" i="21" s="1"/>
  <c r="J10" i="21" s="1"/>
  <c r="G10" i="21" s="1"/>
  <c r="B11" i="21"/>
  <c r="E11" i="21" s="1"/>
  <c r="J11" i="21" s="1"/>
  <c r="G11" i="21" s="1"/>
  <c r="B12" i="21"/>
  <c r="E12" i="21" s="1"/>
  <c r="J12" i="21" s="1"/>
  <c r="G12" i="21" s="1"/>
  <c r="B13" i="21"/>
  <c r="E13" i="21" s="1"/>
  <c r="J13" i="21" s="1"/>
  <c r="G13" i="21" s="1"/>
  <c r="B14" i="21"/>
  <c r="E14" i="21" s="1"/>
  <c r="J14" i="21" s="1"/>
  <c r="G14" i="21" s="1"/>
  <c r="B15" i="21"/>
  <c r="E15" i="21" s="1"/>
  <c r="J15" i="21" s="1"/>
  <c r="G15" i="21" s="1"/>
  <c r="B16" i="21"/>
  <c r="E16" i="21" s="1"/>
  <c r="J16" i="21" s="1"/>
  <c r="G16" i="21" s="1"/>
  <c r="B17" i="21"/>
  <c r="E17" i="21" s="1"/>
  <c r="J17" i="21" s="1"/>
  <c r="G17" i="21" s="1"/>
  <c r="B18" i="21"/>
  <c r="E18" i="21" s="1"/>
  <c r="J18" i="21" s="1"/>
  <c r="G18" i="21" s="1"/>
  <c r="B19" i="21"/>
  <c r="E19" i="21" s="1"/>
  <c r="J19" i="21" s="1"/>
  <c r="G19" i="21" s="1"/>
  <c r="B20" i="21"/>
  <c r="E20" i="21" s="1"/>
  <c r="J20" i="21" s="1"/>
  <c r="G20" i="21" s="1"/>
  <c r="B21" i="21"/>
  <c r="E21" i="21" s="1"/>
  <c r="J21" i="21" s="1"/>
  <c r="G21" i="21" s="1"/>
  <c r="B22" i="21"/>
  <c r="E22" i="21" s="1"/>
  <c r="J22" i="21" s="1"/>
  <c r="G22" i="21" s="1"/>
  <c r="B23" i="21"/>
  <c r="E23" i="21" s="1"/>
  <c r="J23" i="21" s="1"/>
  <c r="G23" i="21" s="1"/>
  <c r="B24" i="21"/>
  <c r="E24" i="21" s="1"/>
  <c r="J24" i="21" s="1"/>
  <c r="G24" i="21" s="1"/>
  <c r="B25" i="21"/>
  <c r="E25" i="21" s="1"/>
  <c r="J25" i="21" s="1"/>
  <c r="G25" i="21" s="1"/>
  <c r="B26" i="21"/>
  <c r="E26" i="21" s="1"/>
  <c r="J26" i="21" s="1"/>
  <c r="G26" i="21" s="1"/>
  <c r="B27" i="21"/>
  <c r="E27" i="21" s="1"/>
  <c r="J27" i="21" s="1"/>
  <c r="G27" i="21" s="1"/>
  <c r="B28" i="21"/>
  <c r="E28" i="21" s="1"/>
  <c r="J28" i="21"/>
  <c r="G28" i="21" s="1"/>
  <c r="B29" i="21"/>
  <c r="E29" i="21" s="1"/>
  <c r="J29" i="21" s="1"/>
  <c r="G29" i="21" s="1"/>
  <c r="B30" i="21"/>
  <c r="E30" i="21" s="1"/>
  <c r="J30" i="21" s="1"/>
  <c r="G30" i="21" s="1"/>
  <c r="B31" i="21"/>
  <c r="E31" i="21" s="1"/>
  <c r="J31" i="21" s="1"/>
  <c r="G31" i="21" s="1"/>
  <c r="B32" i="21"/>
  <c r="E32" i="21" s="1"/>
  <c r="J32" i="21" s="1"/>
  <c r="G32" i="21" s="1"/>
  <c r="B33" i="21"/>
  <c r="E33" i="21" s="1"/>
  <c r="J33" i="21" s="1"/>
  <c r="G33" i="21" s="1"/>
  <c r="B34" i="21"/>
  <c r="K34" i="21"/>
  <c r="B35" i="21" s="1"/>
  <c r="C35" i="21"/>
  <c r="K35" i="21"/>
  <c r="B36" i="21" s="1"/>
  <c r="C36" i="21"/>
  <c r="K36" i="21"/>
  <c r="B37" i="21" s="1"/>
  <c r="C37" i="21"/>
  <c r="B38" i="21"/>
  <c r="E38" i="21" s="1"/>
  <c r="J38" i="21" s="1"/>
  <c r="G38" i="21" s="1"/>
  <c r="B39" i="21"/>
  <c r="E39" i="21" s="1"/>
  <c r="J39" i="21" s="1"/>
  <c r="G39" i="21" s="1"/>
  <c r="B40" i="21"/>
  <c r="E40" i="21" s="1"/>
  <c r="J40" i="21" s="1"/>
  <c r="G40" i="21" s="1"/>
  <c r="B41" i="21"/>
  <c r="E41" i="21" s="1"/>
  <c r="J41" i="21" s="1"/>
  <c r="G41" i="21" s="1"/>
  <c r="B42" i="21"/>
  <c r="H42" i="21"/>
  <c r="K42" i="21"/>
  <c r="B43" i="21" s="1"/>
  <c r="B44" i="21"/>
  <c r="E44" i="21" s="1"/>
  <c r="G44" i="21"/>
  <c r="E8" i="22"/>
  <c r="I8" i="22" s="1"/>
  <c r="G8" i="22" s="1"/>
  <c r="B9" i="22"/>
  <c r="E9" i="22" s="1"/>
  <c r="I9" i="22" s="1"/>
  <c r="G9" i="22" s="1"/>
  <c r="B10" i="22"/>
  <c r="E10" i="22" s="1"/>
  <c r="I10" i="22" s="1"/>
  <c r="G10" i="22" s="1"/>
  <c r="B11" i="22"/>
  <c r="E11" i="22"/>
  <c r="I11" i="22" s="1"/>
  <c r="G11" i="22" s="1"/>
  <c r="B12" i="22"/>
  <c r="E12" i="22" s="1"/>
  <c r="I12" i="22" s="1"/>
  <c r="G12" i="22" s="1"/>
  <c r="B13" i="22"/>
  <c r="E13" i="22" s="1"/>
  <c r="I13" i="22" s="1"/>
  <c r="G13" i="22" s="1"/>
  <c r="B14" i="22"/>
  <c r="E14" i="22" s="1"/>
  <c r="I14" i="22" s="1"/>
  <c r="G14" i="22" s="1"/>
  <c r="B15" i="22"/>
  <c r="E15" i="22" s="1"/>
  <c r="I15" i="22" s="1"/>
  <c r="G15" i="22" s="1"/>
  <c r="B16" i="22"/>
  <c r="E16" i="22" s="1"/>
  <c r="I16" i="22" s="1"/>
  <c r="G16" i="22" s="1"/>
  <c r="B17" i="22"/>
  <c r="E17" i="22" s="1"/>
  <c r="I17" i="22" s="1"/>
  <c r="G17" i="22" s="1"/>
  <c r="B18" i="22"/>
  <c r="E18" i="22" s="1"/>
  <c r="I18" i="22" s="1"/>
  <c r="G18" i="22" s="1"/>
  <c r="B19" i="22"/>
  <c r="E19" i="22" s="1"/>
  <c r="I19" i="22" s="1"/>
  <c r="G19" i="22" s="1"/>
  <c r="B20" i="22"/>
  <c r="E20" i="22" s="1"/>
  <c r="I20" i="22" s="1"/>
  <c r="G20" i="22" s="1"/>
  <c r="B21" i="22"/>
  <c r="E21" i="22" s="1"/>
  <c r="I21" i="22" s="1"/>
  <c r="G21" i="22" s="1"/>
  <c r="B22" i="22"/>
  <c r="E22" i="22" s="1"/>
  <c r="I22" i="22" s="1"/>
  <c r="G22" i="22" s="1"/>
  <c r="B23" i="22"/>
  <c r="E23" i="22"/>
  <c r="I23" i="22" s="1"/>
  <c r="G23" i="22" s="1"/>
  <c r="B24" i="22"/>
  <c r="E24" i="22" s="1"/>
  <c r="I24" i="22" s="1"/>
  <c r="G24" i="22" s="1"/>
  <c r="B25" i="22"/>
  <c r="E25" i="22" s="1"/>
  <c r="I25" i="22" s="1"/>
  <c r="G25" i="22" s="1"/>
  <c r="B26" i="22"/>
  <c r="E26" i="22" s="1"/>
  <c r="I26" i="22" s="1"/>
  <c r="G26" i="22" s="1"/>
  <c r="B27" i="22"/>
  <c r="E27" i="22" s="1"/>
  <c r="I27" i="22" s="1"/>
  <c r="G27" i="22" s="1"/>
  <c r="B28" i="22"/>
  <c r="E28" i="22" s="1"/>
  <c r="I28" i="22" s="1"/>
  <c r="G28" i="22" s="1"/>
  <c r="B29" i="22"/>
  <c r="E29" i="22" s="1"/>
  <c r="I29" i="22" s="1"/>
  <c r="G29" i="22" s="1"/>
  <c r="B30" i="22"/>
  <c r="E30" i="22" s="1"/>
  <c r="I30" i="22" s="1"/>
  <c r="G30" i="22" s="1"/>
  <c r="B31" i="22"/>
  <c r="E31" i="22" s="1"/>
  <c r="I31" i="22" s="1"/>
  <c r="G31" i="22" s="1"/>
  <c r="B32" i="22"/>
  <c r="E32" i="22" s="1"/>
  <c r="I32" i="22" s="1"/>
  <c r="G32" i="22" s="1"/>
  <c r="B33" i="22"/>
  <c r="E33" i="22" s="1"/>
  <c r="I33" i="22" s="1"/>
  <c r="G33" i="22" s="1"/>
  <c r="B34" i="22"/>
  <c r="E34" i="22" s="1"/>
  <c r="I34" i="22" s="1"/>
  <c r="G34" i="22" s="1"/>
  <c r="B35" i="22"/>
  <c r="J35" i="22"/>
  <c r="B36" i="22" s="1"/>
  <c r="E36" i="22" s="1"/>
  <c r="J36" i="22"/>
  <c r="B37" i="22" s="1"/>
  <c r="E37" i="22" s="1"/>
  <c r="J37" i="22"/>
  <c r="B38" i="22" s="1"/>
  <c r="E38" i="22" s="1"/>
  <c r="J38" i="22"/>
  <c r="B39" i="22" s="1"/>
  <c r="E39" i="22" s="1"/>
  <c r="I39" i="22" s="1"/>
  <c r="G39" i="22" s="1"/>
  <c r="B40" i="22"/>
  <c r="E40" i="22"/>
  <c r="I40" i="22" s="1"/>
  <c r="G40" i="22" s="1"/>
  <c r="B41" i="22"/>
  <c r="E41" i="22" s="1"/>
  <c r="I41" i="22" s="1"/>
  <c r="G41" i="22" s="1"/>
  <c r="B42" i="22"/>
  <c r="E42" i="22" s="1"/>
  <c r="I42" i="22" s="1"/>
  <c r="G42" i="22" s="1"/>
  <c r="B43" i="22"/>
  <c r="B45" i="22"/>
  <c r="E45" i="22" s="1"/>
  <c r="I45" i="22"/>
  <c r="G45" i="22" s="1"/>
  <c r="C8" i="23"/>
  <c r="E8" i="23" s="1"/>
  <c r="J8" i="23" s="1"/>
  <c r="I8" i="23" s="1"/>
  <c r="B9" i="23"/>
  <c r="C9" i="23"/>
  <c r="B10" i="23"/>
  <c r="E10" i="23" s="1"/>
  <c r="J10" i="23" s="1"/>
  <c r="I10" i="23" s="1"/>
  <c r="C10" i="23"/>
  <c r="B11" i="23"/>
  <c r="E11" i="23" s="1"/>
  <c r="J11" i="23" s="1"/>
  <c r="I11" i="23" s="1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E22" i="23" s="1"/>
  <c r="J22" i="23" s="1"/>
  <c r="I22" i="23" s="1"/>
  <c r="C22" i="23"/>
  <c r="B23" i="23"/>
  <c r="C23" i="23"/>
  <c r="B24" i="23"/>
  <c r="C24" i="23"/>
  <c r="B25" i="23"/>
  <c r="C25" i="23"/>
  <c r="B26" i="23"/>
  <c r="C26" i="23"/>
  <c r="B27" i="23"/>
  <c r="C27" i="23"/>
  <c r="C28" i="23"/>
  <c r="C29" i="23"/>
  <c r="H29" i="23"/>
  <c r="C30" i="23"/>
  <c r="H30" i="23"/>
  <c r="C31" i="23"/>
  <c r="C32" i="23"/>
  <c r="H32" i="23"/>
  <c r="C33" i="23"/>
  <c r="H33" i="23"/>
  <c r="C34" i="23"/>
  <c r="C35" i="23"/>
  <c r="H35" i="23"/>
  <c r="C36" i="23"/>
  <c r="C37" i="23"/>
  <c r="C38" i="23"/>
  <c r="H38" i="23"/>
  <c r="C39" i="23"/>
  <c r="G39" i="23"/>
  <c r="C40" i="23"/>
  <c r="G40" i="23"/>
  <c r="C41" i="23"/>
  <c r="G41" i="23"/>
  <c r="C42" i="23"/>
  <c r="G42" i="23"/>
  <c r="C43" i="23"/>
  <c r="C44" i="23"/>
  <c r="B45" i="23"/>
  <c r="C45" i="2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5" i="1"/>
  <c r="D6" i="1"/>
  <c r="D7" i="1"/>
  <c r="D8" i="1"/>
  <c r="K27" i="23" s="1"/>
  <c r="D10" i="1"/>
  <c r="J8" i="28" s="1"/>
  <c r="B9" i="28" s="1"/>
  <c r="E9" i="28" s="1"/>
  <c r="D11" i="1"/>
  <c r="J9" i="28" s="1"/>
  <c r="B10" i="28" s="1"/>
  <c r="E10" i="28" s="1"/>
  <c r="D12" i="1"/>
  <c r="J10" i="28" s="1"/>
  <c r="B11" i="28" s="1"/>
  <c r="E11" i="28" s="1"/>
  <c r="D13" i="1"/>
  <c r="J11" i="28" s="1"/>
  <c r="B15" i="28" s="1"/>
  <c r="E15" i="28" s="1"/>
  <c r="D15" i="1"/>
  <c r="J15" i="28" s="1"/>
  <c r="B16" i="28" s="1"/>
  <c r="E16" i="28" s="1"/>
  <c r="D16" i="1"/>
  <c r="J16" i="28" s="1"/>
  <c r="B17" i="28" s="1"/>
  <c r="E17" i="28" s="1"/>
  <c r="D17" i="1"/>
  <c r="J17" i="28" s="1"/>
  <c r="B18" i="28" s="1"/>
  <c r="E18" i="28" s="1"/>
  <c r="D18" i="1"/>
  <c r="J18" i="28" s="1"/>
  <c r="B22" i="28" s="1"/>
  <c r="E22" i="28" s="1"/>
  <c r="D20" i="1"/>
  <c r="J22" i="28" s="1"/>
  <c r="B23" i="28" s="1"/>
  <c r="E23" i="28" s="1"/>
  <c r="D21" i="1"/>
  <c r="J23" i="28" s="1"/>
  <c r="B24" i="28" s="1"/>
  <c r="E24" i="28" s="1"/>
  <c r="D22" i="1"/>
  <c r="J24" i="28" s="1"/>
  <c r="B25" i="28" s="1"/>
  <c r="E25" i="28" s="1"/>
  <c r="D23" i="1"/>
  <c r="K30" i="23" s="1"/>
  <c r="B31" i="23" s="1"/>
  <c r="D25" i="1"/>
  <c r="J29" i="28" s="1"/>
  <c r="B30" i="28" s="1"/>
  <c r="E30" i="28" s="1"/>
  <c r="D26" i="1"/>
  <c r="J30" i="28" s="1"/>
  <c r="B31" i="28" s="1"/>
  <c r="E31" i="28" s="1"/>
  <c r="D27" i="1"/>
  <c r="J31" i="28" s="1"/>
  <c r="B32" i="28" s="1"/>
  <c r="E32" i="28" s="1"/>
  <c r="D28" i="1"/>
  <c r="J32" i="28" s="1"/>
  <c r="B36" i="28" s="1"/>
  <c r="D30" i="1"/>
  <c r="J36" i="28" s="1"/>
  <c r="B37" i="28" s="1"/>
  <c r="E37" i="28" s="1"/>
  <c r="D31" i="1"/>
  <c r="J37" i="28" s="1"/>
  <c r="B38" i="28" s="1"/>
  <c r="E38" i="28" s="1"/>
  <c r="D32" i="1"/>
  <c r="J38" i="28" s="1"/>
  <c r="B39" i="28" s="1"/>
  <c r="E39" i="28" s="1"/>
  <c r="D33" i="1"/>
  <c r="J39" i="28" s="1"/>
  <c r="B43" i="28" s="1"/>
  <c r="D35" i="1"/>
  <c r="J43" i="28" s="1"/>
  <c r="B44" i="28" s="1"/>
  <c r="E44" i="28" s="1"/>
  <c r="D36" i="1"/>
  <c r="J44" i="28" s="1"/>
  <c r="B45" i="28" s="1"/>
  <c r="E45" i="28" s="1"/>
  <c r="D37" i="1"/>
  <c r="J45" i="28" s="1"/>
  <c r="B46" i="28" s="1"/>
  <c r="E46" i="28" s="1"/>
  <c r="D38" i="1"/>
  <c r="J46" i="28" s="1"/>
  <c r="B50" i="28" s="1"/>
  <c r="E50" i="28" s="1"/>
  <c r="D40" i="1"/>
  <c r="J50" i="28" s="1"/>
  <c r="B51" i="28" s="1"/>
  <c r="E51" i="28" s="1"/>
  <c r="D41" i="1"/>
  <c r="J51" i="28" s="1"/>
  <c r="B52" i="28" s="1"/>
  <c r="E52" i="28" s="1"/>
  <c r="D42" i="1"/>
  <c r="J52" i="28" s="1"/>
  <c r="B53" i="28" s="1"/>
  <c r="E53" i="28" s="1"/>
  <c r="D43" i="1"/>
  <c r="J53" i="28" s="1"/>
  <c r="B57" i="28" s="1"/>
  <c r="D45" i="1"/>
  <c r="J57" i="28" s="1"/>
  <c r="B58" i="28" s="1"/>
  <c r="E58" i="28" s="1"/>
  <c r="D46" i="1"/>
  <c r="J58" i="28" s="1"/>
  <c r="B59" i="28" s="1"/>
  <c r="E59" i="28" s="1"/>
  <c r="D47" i="1"/>
  <c r="J59" i="28" s="1"/>
  <c r="B60" i="28" s="1"/>
  <c r="E60" i="28" s="1"/>
  <c r="D48" i="1"/>
  <c r="J60" i="28" s="1"/>
  <c r="B64" i="28" s="1"/>
  <c r="D50" i="1"/>
  <c r="J64" i="28" s="1"/>
  <c r="B65" i="28" s="1"/>
  <c r="E65" i="28" s="1"/>
  <c r="D51" i="1"/>
  <c r="J65" i="28" s="1"/>
  <c r="B66" i="28" s="1"/>
  <c r="E66" i="28" s="1"/>
  <c r="D52" i="1"/>
  <c r="J66" i="28" s="1"/>
  <c r="B67" i="28" s="1"/>
  <c r="E67" i="28" s="1"/>
  <c r="D53" i="1"/>
  <c r="J67" i="28" s="1"/>
  <c r="B71" i="28" s="1"/>
  <c r="D55" i="1"/>
  <c r="J71" i="28" s="1"/>
  <c r="B72" i="28" s="1"/>
  <c r="E72" i="28" s="1"/>
  <c r="D56" i="1"/>
  <c r="J72" i="28" s="1"/>
  <c r="B73" i="28" s="1"/>
  <c r="E73" i="28" s="1"/>
  <c r="D57" i="1"/>
  <c r="J73" i="28" s="1"/>
  <c r="B74" i="28" s="1"/>
  <c r="E74" i="28" s="1"/>
  <c r="D58" i="1"/>
  <c r="K37" i="23" s="1"/>
  <c r="B38" i="23" s="1"/>
  <c r="D60" i="1"/>
  <c r="J78" i="28" s="1"/>
  <c r="B79" i="28" s="1"/>
  <c r="E79" i="28" s="1"/>
  <c r="D61" i="1"/>
  <c r="J79" i="28" s="1"/>
  <c r="B80" i="28" s="1"/>
  <c r="E80" i="28" s="1"/>
  <c r="D62" i="1"/>
  <c r="J80" i="28" s="1"/>
  <c r="B81" i="28" s="1"/>
  <c r="E81" i="28" s="1"/>
  <c r="D63" i="1"/>
  <c r="J81" i="28" s="1"/>
  <c r="B85" i="28" s="1"/>
  <c r="D65" i="1"/>
  <c r="J85" i="28" s="1"/>
  <c r="B86" i="28" s="1"/>
  <c r="E86" i="28" s="1"/>
  <c r="D66" i="1"/>
  <c r="J86" i="28" s="1"/>
  <c r="B87" i="28" s="1"/>
  <c r="E87" i="28" s="1"/>
  <c r="D67" i="1"/>
  <c r="J87" i="28" s="1"/>
  <c r="B88" i="28" s="1"/>
  <c r="E88" i="28" s="1"/>
  <c r="D68" i="1"/>
  <c r="J88" i="28" s="1"/>
  <c r="B92" i="28" s="1"/>
  <c r="D70" i="1"/>
  <c r="J92" i="28" s="1"/>
  <c r="B93" i="28" s="1"/>
  <c r="E93" i="28" s="1"/>
  <c r="D71" i="1"/>
  <c r="J93" i="28" s="1"/>
  <c r="B94" i="28" s="1"/>
  <c r="E94" i="28" s="1"/>
  <c r="D72" i="1"/>
  <c r="J94" i="28" s="1"/>
  <c r="B95" i="28" s="1"/>
  <c r="E95" i="28" s="1"/>
  <c r="D73" i="1"/>
  <c r="J95" i="28" s="1"/>
  <c r="D75" i="1"/>
  <c r="J99" i="28" s="1"/>
  <c r="B100" i="28" s="1"/>
  <c r="E100" i="28" s="1"/>
  <c r="D76" i="1"/>
  <c r="J100" i="28" s="1"/>
  <c r="B101" i="28" s="1"/>
  <c r="E101" i="28" s="1"/>
  <c r="D77" i="1"/>
  <c r="J101" i="28" s="1"/>
  <c r="B102" i="28" s="1"/>
  <c r="E102" i="28" s="1"/>
  <c r="D78" i="1"/>
  <c r="J102" i="28" s="1"/>
  <c r="B106" i="28" s="1"/>
  <c r="D80" i="1"/>
  <c r="J106" i="28" s="1"/>
  <c r="B107" i="28" s="1"/>
  <c r="E107" i="28" s="1"/>
  <c r="D81" i="1"/>
  <c r="J107" i="28" s="1"/>
  <c r="B108" i="28" s="1"/>
  <c r="E108" i="28" s="1"/>
  <c r="D82" i="1"/>
  <c r="J108" i="28" s="1"/>
  <c r="B109" i="28" s="1"/>
  <c r="E109" i="28" s="1"/>
  <c r="D83" i="1"/>
  <c r="J109" i="28" s="1"/>
  <c r="B116" i="28" s="1"/>
  <c r="D85" i="1"/>
  <c r="J116" i="28" s="1"/>
  <c r="B120" i="28" s="1"/>
  <c r="D86" i="1"/>
  <c r="J120" i="28" s="1"/>
  <c r="B124" i="28" s="1"/>
  <c r="D87" i="1"/>
  <c r="J124" i="28" s="1"/>
  <c r="B128" i="28" s="1"/>
  <c r="D88" i="1"/>
  <c r="J128" i="28" s="1"/>
  <c r="B135" i="28" s="1"/>
  <c r="D90" i="1"/>
  <c r="J135" i="28" s="1"/>
  <c r="B139" i="28" s="1"/>
  <c r="D91" i="1"/>
  <c r="J139" i="28" s="1"/>
  <c r="B143" i="28" s="1"/>
  <c r="E143" i="28" s="1"/>
  <c r="D92" i="1"/>
  <c r="J143" i="28" s="1"/>
  <c r="B147" i="28" s="1"/>
  <c r="E147" i="28" s="1"/>
  <c r="D93" i="1"/>
  <c r="J147" i="28" s="1"/>
  <c r="B154" i="28" s="1"/>
  <c r="D95" i="1"/>
  <c r="J154" i="28" s="1"/>
  <c r="H37" i="23" l="1"/>
  <c r="I108" i="28"/>
  <c r="I51" i="28"/>
  <c r="H51" i="28" s="1"/>
  <c r="I107" i="28"/>
  <c r="I23" i="28"/>
  <c r="H23" i="28" s="1"/>
  <c r="I79" i="28"/>
  <c r="H79" i="28" s="1"/>
  <c r="I93" i="28"/>
  <c r="I65" i="28"/>
  <c r="H65" i="28" s="1"/>
  <c r="D128" i="28"/>
  <c r="E128" i="28" s="1"/>
  <c r="I128" i="28" s="1"/>
  <c r="I67" i="28"/>
  <c r="H67" i="28" s="1"/>
  <c r="H40" i="23"/>
  <c r="Q19" i="28"/>
  <c r="C103" i="28"/>
  <c r="P20" i="28" s="1"/>
  <c r="C82" i="28"/>
  <c r="P17" i="28" s="1"/>
  <c r="C68" i="28"/>
  <c r="P15" i="28" s="1"/>
  <c r="E139" i="28"/>
  <c r="I139" i="28" s="1"/>
  <c r="H139" i="28" s="1"/>
  <c r="F128" i="28"/>
  <c r="C129" i="28"/>
  <c r="P22" i="28" s="1"/>
  <c r="H42" i="23"/>
  <c r="Q21" i="28"/>
  <c r="C96" i="28"/>
  <c r="P19" i="28" s="1"/>
  <c r="H31" i="23"/>
  <c r="Q10" i="28"/>
  <c r="H39" i="23"/>
  <c r="Q18" i="28"/>
  <c r="C110" i="28"/>
  <c r="P21" i="28" s="1"/>
  <c r="H41" i="23"/>
  <c r="Q20" i="28"/>
  <c r="C89" i="28"/>
  <c r="P18" i="28" s="1"/>
  <c r="C61" i="28"/>
  <c r="P14" i="28" s="1"/>
  <c r="C148" i="28"/>
  <c r="P23" i="28" s="1"/>
  <c r="H36" i="23"/>
  <c r="Q15" i="28"/>
  <c r="H34" i="23"/>
  <c r="Q13" i="28"/>
  <c r="H28" i="23"/>
  <c r="Q7" i="28"/>
  <c r="J16" i="51"/>
  <c r="F56" i="53" s="1"/>
  <c r="E56" i="53"/>
  <c r="B37" i="53"/>
  <c r="J36" i="65"/>
  <c r="C37" i="53" s="1"/>
  <c r="E61" i="53"/>
  <c r="J21" i="51"/>
  <c r="F61" i="53" s="1"/>
  <c r="B65" i="53"/>
  <c r="K27" i="64"/>
  <c r="C65" i="53" s="1"/>
  <c r="K19" i="64"/>
  <c r="C57" i="53" s="1"/>
  <c r="B57" i="53"/>
  <c r="D62" i="27"/>
  <c r="F38" i="13"/>
  <c r="J22" i="48"/>
  <c r="L23" i="53" s="1"/>
  <c r="E12" i="28"/>
  <c r="C76" i="27"/>
  <c r="C43" i="22" s="1"/>
  <c r="E55" i="27"/>
  <c r="I55" i="27" s="1"/>
  <c r="G55" i="27" s="1"/>
  <c r="E38" i="27"/>
  <c r="E17" i="27"/>
  <c r="E52" i="26"/>
  <c r="J52" i="26" s="1"/>
  <c r="G52" i="26" s="1"/>
  <c r="E8" i="26"/>
  <c r="P32" i="6"/>
  <c r="B32" i="70" s="1"/>
  <c r="P43" i="15"/>
  <c r="C43" i="70" s="1"/>
  <c r="E24" i="23"/>
  <c r="J24" i="23" s="1"/>
  <c r="I24" i="23" s="1"/>
  <c r="E20" i="23"/>
  <c r="J20" i="23" s="1"/>
  <c r="I20" i="23" s="1"/>
  <c r="E51" i="27"/>
  <c r="I51" i="27" s="1"/>
  <c r="G51" i="27" s="1"/>
  <c r="G61" i="26"/>
  <c r="G54" i="26"/>
  <c r="E18" i="26"/>
  <c r="J18" i="26" s="1"/>
  <c r="G18" i="26" s="1"/>
  <c r="J95" i="20"/>
  <c r="J67" i="20"/>
  <c r="K10" i="20"/>
  <c r="O10" i="20" s="1"/>
  <c r="K37" i="13"/>
  <c r="O34" i="13"/>
  <c r="F32" i="13"/>
  <c r="K29" i="13"/>
  <c r="O26" i="13"/>
  <c r="K21" i="13"/>
  <c r="O18" i="13"/>
  <c r="K13" i="13"/>
  <c r="O10" i="13"/>
  <c r="J32" i="48"/>
  <c r="L33" i="53" s="1"/>
  <c r="G45" i="27"/>
  <c r="J26" i="26"/>
  <c r="G26" i="26" s="1"/>
  <c r="J15" i="26"/>
  <c r="G15" i="26" s="1"/>
  <c r="I72" i="28"/>
  <c r="H72" i="28" s="1"/>
  <c r="E19" i="23"/>
  <c r="J19" i="23" s="1"/>
  <c r="I19" i="23" s="1"/>
  <c r="E15" i="23"/>
  <c r="J15" i="23" s="1"/>
  <c r="I15" i="23" s="1"/>
  <c r="D148" i="28"/>
  <c r="E43" i="27"/>
  <c r="I43" i="27" s="1"/>
  <c r="G43" i="27" s="1"/>
  <c r="E26" i="27"/>
  <c r="E24" i="27"/>
  <c r="E16" i="27"/>
  <c r="I16" i="27" s="1"/>
  <c r="G16" i="27" s="1"/>
  <c r="E58" i="26"/>
  <c r="J58" i="26" s="1"/>
  <c r="G58" i="26" s="1"/>
  <c r="E45" i="26"/>
  <c r="G38" i="26"/>
  <c r="I48" i="26"/>
  <c r="I36" i="21" s="1"/>
  <c r="E28" i="26"/>
  <c r="J28" i="26" s="1"/>
  <c r="G28" i="26" s="1"/>
  <c r="E12" i="26"/>
  <c r="J12" i="26" s="1"/>
  <c r="K123" i="20"/>
  <c r="O123" i="20" s="1"/>
  <c r="J109" i="20"/>
  <c r="G81" i="20"/>
  <c r="P39" i="6"/>
  <c r="B39" i="70" s="1"/>
  <c r="O28" i="13"/>
  <c r="E23" i="17"/>
  <c r="J23" i="17" s="1"/>
  <c r="I23" i="17" s="1"/>
  <c r="L8" i="33"/>
  <c r="K30" i="64"/>
  <c r="C68" i="53" s="1"/>
  <c r="E61" i="27"/>
  <c r="I61" i="27" s="1"/>
  <c r="E41" i="27"/>
  <c r="I41" i="27" s="1"/>
  <c r="G41" i="27" s="1"/>
  <c r="E60" i="26"/>
  <c r="J60" i="26" s="1"/>
  <c r="G60" i="26" s="1"/>
  <c r="E47" i="26"/>
  <c r="E17" i="26"/>
  <c r="J17" i="26" s="1"/>
  <c r="G17" i="26" s="1"/>
  <c r="K43" i="20"/>
  <c r="O43" i="20" s="1"/>
  <c r="P36" i="6"/>
  <c r="B36" i="70" s="1"/>
  <c r="P28" i="6"/>
  <c r="B28" i="70" s="1"/>
  <c r="L38" i="33"/>
  <c r="K40" i="23"/>
  <c r="B41" i="23" s="1"/>
  <c r="E18" i="23"/>
  <c r="J18" i="23" s="1"/>
  <c r="I18" i="23" s="1"/>
  <c r="E70" i="27"/>
  <c r="I70" i="27" s="1"/>
  <c r="G70" i="27" s="1"/>
  <c r="E52" i="27"/>
  <c r="I52" i="27" s="1"/>
  <c r="G52" i="27" s="1"/>
  <c r="E50" i="27"/>
  <c r="I50" i="27" s="1"/>
  <c r="G50" i="27" s="1"/>
  <c r="E46" i="27"/>
  <c r="I46" i="27" s="1"/>
  <c r="E12" i="27"/>
  <c r="E8" i="27"/>
  <c r="I8" i="27" s="1"/>
  <c r="G8" i="27" s="1"/>
  <c r="J14" i="26"/>
  <c r="G14" i="26" s="1"/>
  <c r="E10" i="17"/>
  <c r="J10" i="17" s="1"/>
  <c r="I10" i="17" s="1"/>
  <c r="B47" i="53"/>
  <c r="G148" i="28"/>
  <c r="E59" i="26"/>
  <c r="J59" i="26" s="1"/>
  <c r="G59" i="26" s="1"/>
  <c r="K114" i="20"/>
  <c r="O114" i="20" s="1"/>
  <c r="D95" i="20"/>
  <c r="K62" i="20"/>
  <c r="O62" i="20" s="1"/>
  <c r="F41" i="13"/>
  <c r="O35" i="13"/>
  <c r="F33" i="13"/>
  <c r="O19" i="13"/>
  <c r="F17" i="13"/>
  <c r="E41" i="17"/>
  <c r="J41" i="17" s="1"/>
  <c r="I41" i="17" s="1"/>
  <c r="E25" i="17"/>
  <c r="J25" i="17" s="1"/>
  <c r="I25" i="17" s="1"/>
  <c r="L20" i="33"/>
  <c r="E51" i="53"/>
  <c r="J10" i="48"/>
  <c r="L11" i="53" s="1"/>
  <c r="M123" i="20"/>
  <c r="J9" i="51"/>
  <c r="F49" i="53" s="1"/>
  <c r="E49" i="53"/>
  <c r="I143" i="28"/>
  <c r="H143" i="28" s="1"/>
  <c r="E72" i="27"/>
  <c r="I72" i="27" s="1"/>
  <c r="G72" i="27" s="1"/>
  <c r="G13" i="27"/>
  <c r="E10" i="27"/>
  <c r="I10" i="27" s="1"/>
  <c r="G10" i="27" s="1"/>
  <c r="E55" i="26"/>
  <c r="J55" i="26" s="1"/>
  <c r="G55" i="26" s="1"/>
  <c r="E27" i="26"/>
  <c r="J27" i="26" s="1"/>
  <c r="G27" i="26" s="1"/>
  <c r="K34" i="23"/>
  <c r="B35" i="23" s="1"/>
  <c r="K32" i="23"/>
  <c r="B33" i="23" s="1"/>
  <c r="E33" i="23" s="1"/>
  <c r="E75" i="27"/>
  <c r="I75" i="27" s="1"/>
  <c r="G75" i="27" s="1"/>
  <c r="E64" i="27"/>
  <c r="I64" i="27" s="1"/>
  <c r="E15" i="27"/>
  <c r="I15" i="27" s="1"/>
  <c r="G15" i="27" s="1"/>
  <c r="E9" i="27"/>
  <c r="I9" i="27" s="1"/>
  <c r="G9" i="27" s="1"/>
  <c r="E32" i="26"/>
  <c r="E13" i="26"/>
  <c r="J13" i="26" s="1"/>
  <c r="G13" i="26" s="1"/>
  <c r="D53" i="20"/>
  <c r="F37" i="13"/>
  <c r="F29" i="13"/>
  <c r="K26" i="13"/>
  <c r="O23" i="13"/>
  <c r="F21" i="13"/>
  <c r="K18" i="13"/>
  <c r="O15" i="13"/>
  <c r="F13" i="13"/>
  <c r="K10" i="13"/>
  <c r="L25" i="33"/>
  <c r="C27" i="32"/>
  <c r="E27" i="32" s="1"/>
  <c r="J27" i="32" s="1"/>
  <c r="H27" i="32" s="1"/>
  <c r="E65" i="27"/>
  <c r="I65" i="27" s="1"/>
  <c r="G65" i="27" s="1"/>
  <c r="E39" i="27"/>
  <c r="I39" i="27" s="1"/>
  <c r="G39" i="27" s="1"/>
  <c r="E53" i="26"/>
  <c r="J47" i="26"/>
  <c r="G47" i="26" s="1"/>
  <c r="E42" i="26"/>
  <c r="J42" i="26" s="1"/>
  <c r="G42" i="26" s="1"/>
  <c r="K36" i="23"/>
  <c r="B37" i="23" s="1"/>
  <c r="E26" i="23"/>
  <c r="J26" i="23" s="1"/>
  <c r="I26" i="23" s="1"/>
  <c r="F148" i="28"/>
  <c r="G44" i="23" s="1"/>
  <c r="I24" i="27"/>
  <c r="G24" i="27" s="1"/>
  <c r="J45" i="26"/>
  <c r="G45" i="26" s="1"/>
  <c r="K98" i="20"/>
  <c r="O98" i="20" s="1"/>
  <c r="K71" i="20"/>
  <c r="O71" i="20" s="1"/>
  <c r="K38" i="20"/>
  <c r="P31" i="6"/>
  <c r="B31" i="70" s="1"/>
  <c r="K39" i="13"/>
  <c r="O36" i="13"/>
  <c r="K31" i="13"/>
  <c r="K23" i="13"/>
  <c r="O20" i="13"/>
  <c r="P18" i="14"/>
  <c r="K15" i="13"/>
  <c r="O12" i="13"/>
  <c r="K7" i="13"/>
  <c r="E29" i="17"/>
  <c r="J29" i="17" s="1"/>
  <c r="I29" i="17" s="1"/>
  <c r="K36" i="64"/>
  <c r="C74" i="53" s="1"/>
  <c r="B74" i="53"/>
  <c r="E18" i="27"/>
  <c r="I18" i="27" s="1"/>
  <c r="G18" i="27" s="1"/>
  <c r="E41" i="26"/>
  <c r="J41" i="26" s="1"/>
  <c r="G41" i="26" s="1"/>
  <c r="E39" i="26"/>
  <c r="J39" i="26" s="1"/>
  <c r="E37" i="26"/>
  <c r="J37" i="26" s="1"/>
  <c r="G37" i="26" s="1"/>
  <c r="G12" i="26"/>
  <c r="E9" i="26"/>
  <c r="J9" i="26" s="1"/>
  <c r="G9" i="26" s="1"/>
  <c r="D109" i="20"/>
  <c r="K109" i="20" s="1"/>
  <c r="O109" i="20" s="1"/>
  <c r="D67" i="20"/>
  <c r="L31" i="33"/>
  <c r="C33" i="32"/>
  <c r="E33" i="32" s="1"/>
  <c r="J33" i="32" s="1"/>
  <c r="H33" i="32" s="1"/>
  <c r="E36" i="32"/>
  <c r="J36" i="32" s="1"/>
  <c r="H36" i="32" s="1"/>
  <c r="K17" i="64"/>
  <c r="C55" i="53" s="1"/>
  <c r="B55" i="53"/>
  <c r="K88" i="20"/>
  <c r="O88" i="20" s="1"/>
  <c r="E71" i="28"/>
  <c r="I71" i="28" s="1"/>
  <c r="D116" i="28"/>
  <c r="E116" i="28" s="1"/>
  <c r="I116" i="28" s="1"/>
  <c r="E44" i="27"/>
  <c r="I44" i="27" s="1"/>
  <c r="G44" i="27" s="1"/>
  <c r="E90" i="26"/>
  <c r="C43" i="21"/>
  <c r="E43" i="21" s="1"/>
  <c r="J43" i="21" s="1"/>
  <c r="G43" i="21" s="1"/>
  <c r="G44" i="26"/>
  <c r="E29" i="26"/>
  <c r="J29" i="26" s="1"/>
  <c r="G29" i="26" s="1"/>
  <c r="K66" i="20"/>
  <c r="L66" i="20" s="1"/>
  <c r="K22" i="20"/>
  <c r="O22" i="20" s="1"/>
  <c r="K13" i="20"/>
  <c r="O13" i="20" s="1"/>
  <c r="P33" i="6"/>
  <c r="B33" i="70" s="1"/>
  <c r="E36" i="17"/>
  <c r="J36" i="17" s="1"/>
  <c r="I36" i="17" s="1"/>
  <c r="L34" i="33"/>
  <c r="B59" i="53"/>
  <c r="K21" i="64"/>
  <c r="C59" i="53" s="1"/>
  <c r="K17" i="53"/>
  <c r="J16" i="48"/>
  <c r="L17" i="53" s="1"/>
  <c r="I53" i="28"/>
  <c r="H53" i="28" s="1"/>
  <c r="K38" i="23"/>
  <c r="B39" i="23" s="1"/>
  <c r="K28" i="23"/>
  <c r="B29" i="23" s="1"/>
  <c r="E29" i="23" s="1"/>
  <c r="J29" i="23" s="1"/>
  <c r="I29" i="23" s="1"/>
  <c r="E13" i="23"/>
  <c r="J13" i="23" s="1"/>
  <c r="I13" i="23" s="1"/>
  <c r="D124" i="28"/>
  <c r="E124" i="28" s="1"/>
  <c r="I124" i="28" s="1"/>
  <c r="F116" i="28"/>
  <c r="E73" i="27"/>
  <c r="I73" i="27" s="1"/>
  <c r="G73" i="27" s="1"/>
  <c r="E66" i="27"/>
  <c r="I66" i="27" s="1"/>
  <c r="G66" i="27" s="1"/>
  <c r="E27" i="27"/>
  <c r="I27" i="27" s="1"/>
  <c r="G27" i="27" s="1"/>
  <c r="C34" i="27"/>
  <c r="M117" i="20"/>
  <c r="J53" i="20"/>
  <c r="K30" i="20"/>
  <c r="O30" i="20" s="1"/>
  <c r="P35" i="6"/>
  <c r="B35" i="70" s="1"/>
  <c r="P30" i="6"/>
  <c r="B30" i="70" s="1"/>
  <c r="K9" i="53"/>
  <c r="J8" i="48"/>
  <c r="L9" i="53" s="1"/>
  <c r="P37" i="6"/>
  <c r="B37" i="70" s="1"/>
  <c r="E39" i="17"/>
  <c r="J39" i="17" s="1"/>
  <c r="I39" i="17" s="1"/>
  <c r="J25" i="51"/>
  <c r="F65" i="53" s="1"/>
  <c r="K38" i="64"/>
  <c r="C76" i="53" s="1"/>
  <c r="K25" i="64"/>
  <c r="C63" i="53" s="1"/>
  <c r="B63" i="53"/>
  <c r="K20" i="64"/>
  <c r="C58" i="53" s="1"/>
  <c r="B58" i="53"/>
  <c r="K43" i="23"/>
  <c r="B44" i="23" s="1"/>
  <c r="E44" i="23" s="1"/>
  <c r="J44" i="23" s="1"/>
  <c r="E25" i="26"/>
  <c r="E10" i="26"/>
  <c r="J10" i="26" s="1"/>
  <c r="C18" i="32"/>
  <c r="E18" i="32" s="1"/>
  <c r="J18" i="32" s="1"/>
  <c r="H18" i="32" s="1"/>
  <c r="B61" i="53"/>
  <c r="K61" i="53" s="1"/>
  <c r="L61" i="53" s="1"/>
  <c r="K24" i="64"/>
  <c r="C62" i="53" s="1"/>
  <c r="B62" i="53"/>
  <c r="K25" i="53"/>
  <c r="K63" i="53" s="1"/>
  <c r="L63" i="53" s="1"/>
  <c r="J24" i="48"/>
  <c r="L25" i="53" s="1"/>
  <c r="E27" i="23"/>
  <c r="E23" i="23"/>
  <c r="J23" i="23" s="1"/>
  <c r="I23" i="23" s="1"/>
  <c r="J74" i="28"/>
  <c r="B78" i="28" s="1"/>
  <c r="E78" i="28" s="1"/>
  <c r="I78" i="28" s="1"/>
  <c r="E68" i="27"/>
  <c r="I68" i="27" s="1"/>
  <c r="G68" i="27" s="1"/>
  <c r="E42" i="27"/>
  <c r="I42" i="27" s="1"/>
  <c r="G42" i="27" s="1"/>
  <c r="E37" i="27"/>
  <c r="I37" i="27" s="1"/>
  <c r="G37" i="27" s="1"/>
  <c r="E30" i="27"/>
  <c r="I30" i="27" s="1"/>
  <c r="G30" i="27" s="1"/>
  <c r="E19" i="26"/>
  <c r="J19" i="26" s="1"/>
  <c r="G19" i="26" s="1"/>
  <c r="K119" i="20"/>
  <c r="O119" i="20" s="1"/>
  <c r="K105" i="20"/>
  <c r="P41" i="6"/>
  <c r="B41" i="70" s="1"/>
  <c r="P43" i="14"/>
  <c r="E43" i="70" s="1"/>
  <c r="C46" i="5" s="1"/>
  <c r="E46" i="5" s="1"/>
  <c r="K46" i="5" s="1"/>
  <c r="J46" i="5" s="1"/>
  <c r="F43" i="13"/>
  <c r="E26" i="17"/>
  <c r="J26" i="17" s="1"/>
  <c r="I26" i="17" s="1"/>
  <c r="K28" i="64"/>
  <c r="C66" i="53" s="1"/>
  <c r="B66" i="53"/>
  <c r="P36" i="15"/>
  <c r="C36" i="70" s="1"/>
  <c r="P28" i="15"/>
  <c r="C28" i="70" s="1"/>
  <c r="O41" i="13"/>
  <c r="P39" i="14"/>
  <c r="E39" i="70" s="1"/>
  <c r="K36" i="13"/>
  <c r="O33" i="13"/>
  <c r="P31" i="14"/>
  <c r="K28" i="13"/>
  <c r="O25" i="13"/>
  <c r="P23" i="14"/>
  <c r="K20" i="13"/>
  <c r="O17" i="13"/>
  <c r="P15" i="14"/>
  <c r="P15" i="13" s="1"/>
  <c r="K12" i="13"/>
  <c r="O9" i="13"/>
  <c r="F7" i="13"/>
  <c r="E22" i="32"/>
  <c r="J22" i="32" s="1"/>
  <c r="H22" i="32" s="1"/>
  <c r="L17" i="33"/>
  <c r="F23" i="13"/>
  <c r="E24" i="17"/>
  <c r="J24" i="17" s="1"/>
  <c r="I24" i="17" s="1"/>
  <c r="E17" i="17"/>
  <c r="J17" i="17" s="1"/>
  <c r="I17" i="17" s="1"/>
  <c r="L40" i="33"/>
  <c r="L29" i="33"/>
  <c r="L26" i="33"/>
  <c r="J34" i="48"/>
  <c r="L35" i="53" s="1"/>
  <c r="O27" i="13"/>
  <c r="F25" i="13"/>
  <c r="K22" i="13"/>
  <c r="K14" i="13"/>
  <c r="O11" i="13"/>
  <c r="F9" i="13"/>
  <c r="K6" i="13"/>
  <c r="E27" i="17"/>
  <c r="J27" i="17" s="1"/>
  <c r="I27" i="17" s="1"/>
  <c r="L32" i="33"/>
  <c r="P35" i="15"/>
  <c r="C35" i="70" s="1"/>
  <c r="L18" i="33"/>
  <c r="C19" i="32"/>
  <c r="E19" i="32" s="1"/>
  <c r="J19" i="32" s="1"/>
  <c r="H19" i="32" s="1"/>
  <c r="J30" i="51"/>
  <c r="F70" i="53" s="1"/>
  <c r="K40" i="13"/>
  <c r="P35" i="14"/>
  <c r="E35" i="70" s="1"/>
  <c r="P27" i="14"/>
  <c r="P19" i="14"/>
  <c r="P11" i="14"/>
  <c r="F27" i="13"/>
  <c r="F15" i="13"/>
  <c r="E33" i="17"/>
  <c r="J33" i="17" s="1"/>
  <c r="I33" i="17" s="1"/>
  <c r="L33" i="33"/>
  <c r="L24" i="33"/>
  <c r="L10" i="33"/>
  <c r="G129" i="28"/>
  <c r="E44" i="22"/>
  <c r="I44" i="22" s="1"/>
  <c r="G44" i="22" s="1"/>
  <c r="I90" i="27"/>
  <c r="E90" i="27"/>
  <c r="E38" i="23"/>
  <c r="J38" i="23" s="1"/>
  <c r="I38" i="23" s="1"/>
  <c r="E12" i="23"/>
  <c r="J12" i="23" s="1"/>
  <c r="I12" i="23" s="1"/>
  <c r="E16" i="23"/>
  <c r="J16" i="23" s="1"/>
  <c r="I16" i="23" s="1"/>
  <c r="K79" i="20"/>
  <c r="O79" i="20" s="1"/>
  <c r="O105" i="20"/>
  <c r="M105" i="20"/>
  <c r="K73" i="20"/>
  <c r="O73" i="20" s="1"/>
  <c r="K60" i="20"/>
  <c r="O60" i="20" s="1"/>
  <c r="K28" i="20"/>
  <c r="O28" i="20" s="1"/>
  <c r="K74" i="20"/>
  <c r="O74" i="20" s="1"/>
  <c r="K55" i="20"/>
  <c r="L55" i="20" s="1"/>
  <c r="D39" i="20"/>
  <c r="L99" i="20"/>
  <c r="K75" i="20"/>
  <c r="O75" i="20" s="1"/>
  <c r="L114" i="20"/>
  <c r="M13" i="20"/>
  <c r="K33" i="20"/>
  <c r="O33" i="20" s="1"/>
  <c r="K115" i="20"/>
  <c r="O115" i="20" s="1"/>
  <c r="K18" i="20"/>
  <c r="K91" i="20"/>
  <c r="O91" i="20" s="1"/>
  <c r="L119" i="20"/>
  <c r="K113" i="20"/>
  <c r="L113" i="20" s="1"/>
  <c r="K90" i="20"/>
  <c r="G53" i="20"/>
  <c r="K53" i="20" s="1"/>
  <c r="O53" i="20" s="1"/>
  <c r="L13" i="20"/>
  <c r="G39" i="20"/>
  <c r="E34" i="32"/>
  <c r="J34" i="32" s="1"/>
  <c r="H34" i="32" s="1"/>
  <c r="E42" i="32"/>
  <c r="J42" i="32" s="1"/>
  <c r="H42" i="32" s="1"/>
  <c r="E10" i="32"/>
  <c r="J10" i="32" s="1"/>
  <c r="H10" i="32" s="1"/>
  <c r="E37" i="32"/>
  <c r="J37" i="32" s="1"/>
  <c r="H37" i="32" s="1"/>
  <c r="E26" i="32"/>
  <c r="J26" i="32" s="1"/>
  <c r="H26" i="32" s="1"/>
  <c r="E24" i="32"/>
  <c r="J24" i="32" s="1"/>
  <c r="H24" i="32" s="1"/>
  <c r="E44" i="17"/>
  <c r="J44" i="17" s="1"/>
  <c r="I44" i="17" s="1"/>
  <c r="E38" i="17"/>
  <c r="J38" i="17" s="1"/>
  <c r="I38" i="17" s="1"/>
  <c r="E14" i="17"/>
  <c r="J14" i="17" s="1"/>
  <c r="I14" i="17" s="1"/>
  <c r="E11" i="17"/>
  <c r="J11" i="17" s="1"/>
  <c r="I11" i="17" s="1"/>
  <c r="E18" i="17"/>
  <c r="J18" i="17" s="1"/>
  <c r="I18" i="17" s="1"/>
  <c r="E40" i="17"/>
  <c r="J40" i="17" s="1"/>
  <c r="I40" i="17" s="1"/>
  <c r="E13" i="17"/>
  <c r="J13" i="17" s="1"/>
  <c r="I13" i="17" s="1"/>
  <c r="E42" i="17"/>
  <c r="J42" i="17" s="1"/>
  <c r="I42" i="17" s="1"/>
  <c r="E19" i="17"/>
  <c r="J19" i="17" s="1"/>
  <c r="I19" i="17" s="1"/>
  <c r="D7" i="70"/>
  <c r="I38" i="22"/>
  <c r="G38" i="22" s="1"/>
  <c r="I36" i="22"/>
  <c r="E154" i="28"/>
  <c r="E57" i="28"/>
  <c r="I57" i="28" s="1"/>
  <c r="H57" i="28" s="1"/>
  <c r="E39" i="23"/>
  <c r="E41" i="23"/>
  <c r="E17" i="23"/>
  <c r="J17" i="23" s="1"/>
  <c r="I17" i="23" s="1"/>
  <c r="E9" i="23"/>
  <c r="J9" i="23" s="1"/>
  <c r="I9" i="23" s="1"/>
  <c r="E14" i="23"/>
  <c r="J14" i="23" s="1"/>
  <c r="I14" i="23" s="1"/>
  <c r="C75" i="28"/>
  <c r="E35" i="23"/>
  <c r="E37" i="23"/>
  <c r="J37" i="23" s="1"/>
  <c r="E31" i="23"/>
  <c r="I46" i="28"/>
  <c r="H46" i="28" s="1"/>
  <c r="I86" i="28"/>
  <c r="I109" i="28"/>
  <c r="H109" i="28" s="1"/>
  <c r="I39" i="28"/>
  <c r="H39" i="28" s="1"/>
  <c r="E19" i="28"/>
  <c r="I24" i="28"/>
  <c r="H24" i="28" s="1"/>
  <c r="I45" i="28"/>
  <c r="H45" i="28" s="1"/>
  <c r="I95" i="28"/>
  <c r="I9" i="28"/>
  <c r="H9" i="28" s="1"/>
  <c r="I22" i="28"/>
  <c r="H22" i="28" s="1"/>
  <c r="I94" i="28"/>
  <c r="I52" i="28"/>
  <c r="H52" i="28" s="1"/>
  <c r="I38" i="28"/>
  <c r="H38" i="28" s="1"/>
  <c r="I50" i="28"/>
  <c r="H50" i="28" s="1"/>
  <c r="I101" i="28"/>
  <c r="I73" i="28"/>
  <c r="H73" i="28" s="1"/>
  <c r="I17" i="28"/>
  <c r="H17" i="28" s="1"/>
  <c r="I10" i="28"/>
  <c r="H10" i="28" s="1"/>
  <c r="I58" i="28"/>
  <c r="H58" i="28" s="1"/>
  <c r="I44" i="28"/>
  <c r="H44" i="28" s="1"/>
  <c r="I30" i="28"/>
  <c r="H30" i="28" s="1"/>
  <c r="I66" i="28"/>
  <c r="H66" i="28" s="1"/>
  <c r="I87" i="28"/>
  <c r="I59" i="28"/>
  <c r="H59" i="28" s="1"/>
  <c r="I37" i="28"/>
  <c r="H37" i="28" s="1"/>
  <c r="K44" i="20"/>
  <c r="O44" i="20" s="1"/>
  <c r="K34" i="20"/>
  <c r="E135" i="28"/>
  <c r="I135" i="28" s="1"/>
  <c r="E106" i="28"/>
  <c r="I106" i="28" s="1"/>
  <c r="E92" i="28"/>
  <c r="I92" i="28" s="1"/>
  <c r="E40" i="28"/>
  <c r="E36" i="28"/>
  <c r="I36" i="28" s="1"/>
  <c r="B28" i="23"/>
  <c r="E28" i="23" s="1"/>
  <c r="J27" i="23"/>
  <c r="I27" i="23" s="1"/>
  <c r="G64" i="27"/>
  <c r="I102" i="28"/>
  <c r="I100" i="28"/>
  <c r="O90" i="20"/>
  <c r="M90" i="20"/>
  <c r="K104" i="20"/>
  <c r="O104" i="20" s="1"/>
  <c r="L10" i="20"/>
  <c r="E85" i="28"/>
  <c r="I85" i="28" s="1"/>
  <c r="E47" i="28"/>
  <c r="E43" i="28"/>
  <c r="I43" i="28" s="1"/>
  <c r="K51" i="20"/>
  <c r="M51" i="20" s="1"/>
  <c r="H62" i="27"/>
  <c r="K36" i="20"/>
  <c r="M36" i="20" s="1"/>
  <c r="J13" i="48"/>
  <c r="L14" i="53" s="1"/>
  <c r="K14" i="53"/>
  <c r="E33" i="27"/>
  <c r="I33" i="27" s="1"/>
  <c r="G33" i="27" s="1"/>
  <c r="J90" i="26"/>
  <c r="K116" i="20"/>
  <c r="O116" i="20" s="1"/>
  <c r="K64" i="20"/>
  <c r="O64" i="20" s="1"/>
  <c r="J24" i="51"/>
  <c r="F64" i="53" s="1"/>
  <c r="E64" i="53"/>
  <c r="K31" i="53"/>
  <c r="J30" i="48"/>
  <c r="L31" i="53" s="1"/>
  <c r="B99" i="28"/>
  <c r="E36" i="26"/>
  <c r="J36" i="26" s="1"/>
  <c r="K56" i="20"/>
  <c r="M56" i="20" s="1"/>
  <c r="K23" i="20"/>
  <c r="O23" i="20" s="1"/>
  <c r="K26" i="64"/>
  <c r="C64" i="53" s="1"/>
  <c r="B64" i="53"/>
  <c r="F120" i="28"/>
  <c r="I81" i="28"/>
  <c r="H81" i="28" s="1"/>
  <c r="E20" i="26"/>
  <c r="C34" i="21"/>
  <c r="J31" i="48"/>
  <c r="L32" i="53" s="1"/>
  <c r="K32" i="53"/>
  <c r="E64" i="28"/>
  <c r="I64" i="28" s="1"/>
  <c r="K33" i="23"/>
  <c r="B34" i="23" s="1"/>
  <c r="E34" i="23" s="1"/>
  <c r="J34" i="23" s="1"/>
  <c r="E21" i="23"/>
  <c r="J21" i="23" s="1"/>
  <c r="I21" i="23" s="1"/>
  <c r="G40" i="27"/>
  <c r="M114" i="20"/>
  <c r="J81" i="20"/>
  <c r="K81" i="20" s="1"/>
  <c r="C44" i="32"/>
  <c r="E44" i="32" s="1"/>
  <c r="J44" i="32" s="1"/>
  <c r="H44" i="32" s="1"/>
  <c r="K8" i="64"/>
  <c r="C46" i="53" s="1"/>
  <c r="B46" i="53"/>
  <c r="I37" i="22"/>
  <c r="E26" i="28"/>
  <c r="E56" i="27"/>
  <c r="I56" i="27" s="1"/>
  <c r="G56" i="27" s="1"/>
  <c r="E31" i="27"/>
  <c r="I31" i="27" s="1"/>
  <c r="G31" i="27" s="1"/>
  <c r="E23" i="70"/>
  <c r="P23" i="13"/>
  <c r="I147" i="28"/>
  <c r="H147" i="28" s="1"/>
  <c r="G46" i="27"/>
  <c r="E28" i="27"/>
  <c r="I28" i="27" s="1"/>
  <c r="G28" i="27" s="1"/>
  <c r="E25" i="27"/>
  <c r="I25" i="27" s="1"/>
  <c r="G25" i="27" s="1"/>
  <c r="E19" i="27"/>
  <c r="I19" i="27" s="1"/>
  <c r="G19" i="27" s="1"/>
  <c r="I17" i="27"/>
  <c r="G17" i="27" s="1"/>
  <c r="C20" i="27"/>
  <c r="D62" i="26"/>
  <c r="G39" i="26"/>
  <c r="E33" i="26"/>
  <c r="J33" i="26" s="1"/>
  <c r="G33" i="26" s="1"/>
  <c r="K121" i="20"/>
  <c r="M121" i="20" s="1"/>
  <c r="K112" i="20"/>
  <c r="M99" i="20"/>
  <c r="K94" i="20"/>
  <c r="O94" i="20" s="1"/>
  <c r="K77" i="20"/>
  <c r="O77" i="20" s="1"/>
  <c r="K65" i="20"/>
  <c r="O65" i="20" s="1"/>
  <c r="K59" i="20"/>
  <c r="O59" i="20" s="1"/>
  <c r="K42" i="20"/>
  <c r="O42" i="20" s="1"/>
  <c r="L42" i="20"/>
  <c r="O38" i="20"/>
  <c r="L38" i="20"/>
  <c r="K29" i="20"/>
  <c r="K24" i="20"/>
  <c r="O24" i="20" s="1"/>
  <c r="K41" i="23"/>
  <c r="B42" i="23" s="1"/>
  <c r="E42" i="23" s="1"/>
  <c r="K29" i="23"/>
  <c r="B30" i="23" s="1"/>
  <c r="E30" i="23" s="1"/>
  <c r="J30" i="23" s="1"/>
  <c r="I30" i="23" s="1"/>
  <c r="C48" i="27"/>
  <c r="E11" i="27"/>
  <c r="I11" i="27" s="1"/>
  <c r="G11" i="27" s="1"/>
  <c r="D76" i="26"/>
  <c r="D42" i="21" s="1"/>
  <c r="E42" i="21" s="1"/>
  <c r="J42" i="21" s="1"/>
  <c r="G42" i="21" s="1"/>
  <c r="J57" i="26"/>
  <c r="G57" i="26" s="1"/>
  <c r="G50" i="26"/>
  <c r="E22" i="26"/>
  <c r="J22" i="26" s="1"/>
  <c r="D34" i="26"/>
  <c r="L123" i="20"/>
  <c r="M119" i="20"/>
  <c r="L111" i="20"/>
  <c r="L90" i="20"/>
  <c r="M75" i="20"/>
  <c r="K70" i="20"/>
  <c r="M70" i="20" s="1"/>
  <c r="L62" i="20"/>
  <c r="L23" i="33"/>
  <c r="C25" i="32"/>
  <c r="E25" i="32" s="1"/>
  <c r="J25" i="32" s="1"/>
  <c r="H25" i="32" s="1"/>
  <c r="I88" i="28"/>
  <c r="I32" i="28"/>
  <c r="H32" i="28" s="1"/>
  <c r="J12" i="51"/>
  <c r="F52" i="53" s="1"/>
  <c r="E52" i="53"/>
  <c r="K31" i="23"/>
  <c r="B32" i="23" s="1"/>
  <c r="E32" i="23" s="1"/>
  <c r="J32" i="23" s="1"/>
  <c r="I32" i="23" s="1"/>
  <c r="K118" i="20"/>
  <c r="M118" i="20" s="1"/>
  <c r="K89" i="20"/>
  <c r="O89" i="20" s="1"/>
  <c r="K48" i="20"/>
  <c r="O48" i="20" s="1"/>
  <c r="J31" i="51"/>
  <c r="F71" i="53" s="1"/>
  <c r="E71" i="53"/>
  <c r="I18" i="28"/>
  <c r="H18" i="28" s="1"/>
  <c r="I31" i="28"/>
  <c r="H31" i="28" s="1"/>
  <c r="G74" i="26"/>
  <c r="K108" i="20"/>
  <c r="O108" i="20" s="1"/>
  <c r="K93" i="20"/>
  <c r="O93" i="20" s="1"/>
  <c r="K49" i="20"/>
  <c r="M49" i="20" s="1"/>
  <c r="K32" i="20"/>
  <c r="C42" i="5"/>
  <c r="E42" i="5" s="1"/>
  <c r="K42" i="5" s="1"/>
  <c r="J42" i="5" s="1"/>
  <c r="E45" i="23"/>
  <c r="J45" i="23" s="1"/>
  <c r="I45" i="23" s="1"/>
  <c r="K39" i="23"/>
  <c r="B40" i="23" s="1"/>
  <c r="E40" i="23" s="1"/>
  <c r="J40" i="23" s="1"/>
  <c r="I40" i="23" s="1"/>
  <c r="I15" i="28"/>
  <c r="F124" i="28"/>
  <c r="J25" i="28"/>
  <c r="B29" i="28" s="1"/>
  <c r="E74" i="27"/>
  <c r="I74" i="27" s="1"/>
  <c r="G74" i="27" s="1"/>
  <c r="E57" i="27"/>
  <c r="I57" i="27" s="1"/>
  <c r="G57" i="27" s="1"/>
  <c r="I38" i="27"/>
  <c r="G38" i="27" s="1"/>
  <c r="J40" i="26"/>
  <c r="G40" i="26" s="1"/>
  <c r="J8" i="26"/>
  <c r="K76" i="20"/>
  <c r="M10" i="20"/>
  <c r="J22" i="51"/>
  <c r="F62" i="53" s="1"/>
  <c r="E62" i="53"/>
  <c r="J18" i="51"/>
  <c r="F58" i="53" s="1"/>
  <c r="E58" i="53"/>
  <c r="K32" i="64"/>
  <c r="C70" i="53" s="1"/>
  <c r="B70" i="53"/>
  <c r="B52" i="53"/>
  <c r="K14" i="64"/>
  <c r="C52" i="53" s="1"/>
  <c r="K37" i="53"/>
  <c r="J36" i="48"/>
  <c r="L37" i="53" s="1"/>
  <c r="J23" i="48"/>
  <c r="L24" i="53" s="1"/>
  <c r="K24" i="53"/>
  <c r="K62" i="53" s="1"/>
  <c r="L62" i="53" s="1"/>
  <c r="J19" i="48"/>
  <c r="L20" i="53" s="1"/>
  <c r="K20" i="53"/>
  <c r="I11" i="28"/>
  <c r="H11" i="28" s="1"/>
  <c r="E54" i="28"/>
  <c r="G61" i="27"/>
  <c r="E36" i="27"/>
  <c r="I36" i="27" s="1"/>
  <c r="E32" i="27"/>
  <c r="I32" i="27" s="1"/>
  <c r="G32" i="27" s="1"/>
  <c r="E29" i="27"/>
  <c r="I29" i="27" s="1"/>
  <c r="G29" i="27" s="1"/>
  <c r="J32" i="26"/>
  <c r="G32" i="26" s="1"/>
  <c r="D20" i="26"/>
  <c r="D34" i="21" s="1"/>
  <c r="K122" i="20"/>
  <c r="O122" i="20" s="1"/>
  <c r="K107" i="20"/>
  <c r="K106" i="20"/>
  <c r="O106" i="20" s="1"/>
  <c r="L105" i="20"/>
  <c r="M88" i="20"/>
  <c r="K87" i="20"/>
  <c r="K83" i="20"/>
  <c r="O83" i="20" s="1"/>
  <c r="K72" i="20"/>
  <c r="L72" i="20" s="1"/>
  <c r="K47" i="20"/>
  <c r="M47" i="20" s="1"/>
  <c r="M38" i="20"/>
  <c r="M30" i="20"/>
  <c r="K21" i="20"/>
  <c r="O21" i="20" s="1"/>
  <c r="K15" i="20"/>
  <c r="O15" i="20" s="1"/>
  <c r="O37" i="13"/>
  <c r="K32" i="13"/>
  <c r="O29" i="13"/>
  <c r="K24" i="13"/>
  <c r="O21" i="13"/>
  <c r="K16" i="13"/>
  <c r="O13" i="13"/>
  <c r="K8" i="13"/>
  <c r="P43" i="13"/>
  <c r="E31" i="17"/>
  <c r="J31" i="17" s="1"/>
  <c r="I31" i="17" s="1"/>
  <c r="I16" i="28"/>
  <c r="H16" i="28" s="1"/>
  <c r="J8" i="51"/>
  <c r="F48" i="53" s="1"/>
  <c r="E48" i="53"/>
  <c r="K35" i="23"/>
  <c r="B36" i="23" s="1"/>
  <c r="E36" i="23" s="1"/>
  <c r="J36" i="23" s="1"/>
  <c r="I80" i="28"/>
  <c r="H80" i="28" s="1"/>
  <c r="K41" i="20"/>
  <c r="O41" i="20" s="1"/>
  <c r="J27" i="51"/>
  <c r="F67" i="53" s="1"/>
  <c r="E67" i="53"/>
  <c r="K34" i="64"/>
  <c r="C72" i="53" s="1"/>
  <c r="B72" i="53"/>
  <c r="I60" i="28"/>
  <c r="H60" i="28" s="1"/>
  <c r="E34" i="27"/>
  <c r="E22" i="27"/>
  <c r="I22" i="27" s="1"/>
  <c r="D20" i="27"/>
  <c r="D35" i="22" s="1"/>
  <c r="K103" i="20"/>
  <c r="O103" i="20" s="1"/>
  <c r="K86" i="20"/>
  <c r="O86" i="20" s="1"/>
  <c r="E31" i="70"/>
  <c r="K15" i="64"/>
  <c r="C53" i="53" s="1"/>
  <c r="B53" i="53"/>
  <c r="K42" i="23"/>
  <c r="B43" i="23" s="1"/>
  <c r="E43" i="23" s="1"/>
  <c r="G90" i="27"/>
  <c r="H48" i="27"/>
  <c r="H37" i="22" s="1"/>
  <c r="I26" i="27"/>
  <c r="G26" i="27" s="1"/>
  <c r="I12" i="27"/>
  <c r="G12" i="27" s="1"/>
  <c r="I20" i="26"/>
  <c r="I34" i="21" s="1"/>
  <c r="M113" i="20"/>
  <c r="L98" i="20"/>
  <c r="K95" i="20"/>
  <c r="O95" i="20" s="1"/>
  <c r="M91" i="20"/>
  <c r="K84" i="20"/>
  <c r="M84" i="20" s="1"/>
  <c r="K58" i="20"/>
  <c r="O58" i="20" s="1"/>
  <c r="E71" i="27"/>
  <c r="I71" i="27" s="1"/>
  <c r="G71" i="27" s="1"/>
  <c r="E58" i="27"/>
  <c r="I58" i="27" s="1"/>
  <c r="G58" i="27" s="1"/>
  <c r="C62" i="27"/>
  <c r="E62" i="27" s="1"/>
  <c r="D48" i="27"/>
  <c r="J53" i="26"/>
  <c r="G53" i="26" s="1"/>
  <c r="G31" i="26"/>
  <c r="J25" i="26"/>
  <c r="G25" i="26" s="1"/>
  <c r="G10" i="26"/>
  <c r="M122" i="20"/>
  <c r="L101" i="20"/>
  <c r="K92" i="20"/>
  <c r="M92" i="20" s="1"/>
  <c r="K80" i="20"/>
  <c r="K63" i="20"/>
  <c r="O63" i="20" s="1"/>
  <c r="K57" i="20"/>
  <c r="O57" i="20" s="1"/>
  <c r="K45" i="20"/>
  <c r="O45" i="20" s="1"/>
  <c r="M28" i="20"/>
  <c r="K27" i="20"/>
  <c r="O27" i="20" s="1"/>
  <c r="P37" i="15"/>
  <c r="C37" i="70" s="1"/>
  <c r="P29" i="15"/>
  <c r="C29" i="70" s="1"/>
  <c r="E59" i="27"/>
  <c r="I59" i="27" s="1"/>
  <c r="G59" i="27" s="1"/>
  <c r="H34" i="27"/>
  <c r="H36" i="22" s="1"/>
  <c r="G36" i="22" s="1"/>
  <c r="E30" i="26"/>
  <c r="J30" i="26" s="1"/>
  <c r="G30" i="26" s="1"/>
  <c r="E24" i="26"/>
  <c r="J24" i="26" s="1"/>
  <c r="G24" i="26" s="1"/>
  <c r="I34" i="26"/>
  <c r="I35" i="21" s="1"/>
  <c r="M111" i="20"/>
  <c r="M101" i="20"/>
  <c r="K69" i="20"/>
  <c r="M69" i="20" s="1"/>
  <c r="M62" i="20"/>
  <c r="M60" i="20"/>
  <c r="M58" i="20"/>
  <c r="F42" i="13"/>
  <c r="P42" i="14"/>
  <c r="P34" i="14"/>
  <c r="F34" i="13"/>
  <c r="P26" i="14"/>
  <c r="F26" i="13"/>
  <c r="P18" i="13"/>
  <c r="E18" i="70"/>
  <c r="P10" i="14"/>
  <c r="F10" i="13"/>
  <c r="E25" i="23"/>
  <c r="J25" i="23" s="1"/>
  <c r="I25" i="23" s="1"/>
  <c r="D76" i="27"/>
  <c r="D43" i="22" s="1"/>
  <c r="E43" i="22" s="1"/>
  <c r="I43" i="22" s="1"/>
  <c r="G43" i="22" s="1"/>
  <c r="E53" i="27"/>
  <c r="I53" i="27" s="1"/>
  <c r="E14" i="27"/>
  <c r="I14" i="27" s="1"/>
  <c r="G14" i="27" s="1"/>
  <c r="L117" i="20"/>
  <c r="K97" i="20"/>
  <c r="M66" i="20"/>
  <c r="K46" i="20"/>
  <c r="L46" i="20" s="1"/>
  <c r="M32" i="20"/>
  <c r="K31" i="20"/>
  <c r="O31" i="20" s="1"/>
  <c r="K16" i="20"/>
  <c r="K12" i="20"/>
  <c r="O12" i="20" s="1"/>
  <c r="K9" i="20"/>
  <c r="O9" i="20" s="1"/>
  <c r="K9" i="13"/>
  <c r="C14" i="32"/>
  <c r="E14" i="32" s="1"/>
  <c r="J14" i="32" s="1"/>
  <c r="H14" i="32" s="1"/>
  <c r="L12" i="33"/>
  <c r="D120" i="28"/>
  <c r="E120" i="28" s="1"/>
  <c r="I120" i="28" s="1"/>
  <c r="I8" i="28"/>
  <c r="E54" i="27"/>
  <c r="I54" i="27" s="1"/>
  <c r="G54" i="27" s="1"/>
  <c r="H20" i="27"/>
  <c r="H35" i="22" s="1"/>
  <c r="G90" i="26"/>
  <c r="I62" i="26"/>
  <c r="I37" i="21" s="1"/>
  <c r="K120" i="20"/>
  <c r="O120" i="20" s="1"/>
  <c r="K102" i="20"/>
  <c r="K78" i="20"/>
  <c r="L78" i="20" s="1"/>
  <c r="K67" i="20"/>
  <c r="L43" i="20"/>
  <c r="L28" i="20"/>
  <c r="F18" i="13"/>
  <c r="D48" i="26"/>
  <c r="D36" i="21" s="1"/>
  <c r="E36" i="21" s="1"/>
  <c r="J36" i="21" s="1"/>
  <c r="G36" i="21" s="1"/>
  <c r="L24" i="20"/>
  <c r="K19" i="20"/>
  <c r="O19" i="20" s="1"/>
  <c r="K42" i="13"/>
  <c r="C16" i="32"/>
  <c r="E16" i="32" s="1"/>
  <c r="J16" i="32" s="1"/>
  <c r="H16" i="32" s="1"/>
  <c r="L14" i="33"/>
  <c r="B75" i="53"/>
  <c r="K37" i="64"/>
  <c r="C75" i="53" s="1"/>
  <c r="K100" i="20"/>
  <c r="K85" i="20"/>
  <c r="K61" i="20"/>
  <c r="M61" i="20" s="1"/>
  <c r="K52" i="20"/>
  <c r="K50" i="20"/>
  <c r="O50" i="20" s="1"/>
  <c r="K37" i="20"/>
  <c r="M37" i="20" s="1"/>
  <c r="K35" i="20"/>
  <c r="O35" i="20" s="1"/>
  <c r="M22" i="20"/>
  <c r="K20" i="20"/>
  <c r="M20" i="20" s="1"/>
  <c r="K11" i="20"/>
  <c r="O11" i="20" s="1"/>
  <c r="P41" i="15"/>
  <c r="C41" i="70" s="1"/>
  <c r="P33" i="15"/>
  <c r="C33" i="70" s="1"/>
  <c r="K41" i="13"/>
  <c r="O38" i="13"/>
  <c r="P36" i="14"/>
  <c r="F36" i="13"/>
  <c r="K33" i="13"/>
  <c r="O30" i="13"/>
  <c r="P28" i="14"/>
  <c r="K25" i="13"/>
  <c r="O22" i="13"/>
  <c r="P20" i="14"/>
  <c r="F20" i="13"/>
  <c r="K17" i="13"/>
  <c r="F12" i="13"/>
  <c r="P12" i="14"/>
  <c r="F28" i="13"/>
  <c r="E21" i="32"/>
  <c r="J21" i="32" s="1"/>
  <c r="H21" i="32" s="1"/>
  <c r="E68" i="26"/>
  <c r="J68" i="26" s="1"/>
  <c r="G68" i="26" s="1"/>
  <c r="K17" i="20"/>
  <c r="M17" i="20" s="1"/>
  <c r="K14" i="20"/>
  <c r="D6" i="70"/>
  <c r="C9" i="5"/>
  <c r="E9" i="5" s="1"/>
  <c r="K9" i="5" s="1"/>
  <c r="J9" i="5" s="1"/>
  <c r="P29" i="6"/>
  <c r="B29" i="70" s="1"/>
  <c r="P38" i="15"/>
  <c r="C38" i="70" s="1"/>
  <c r="P30" i="15"/>
  <c r="C30" i="70" s="1"/>
  <c r="K38" i="13"/>
  <c r="K30" i="13"/>
  <c r="P17" i="14"/>
  <c r="E37" i="17"/>
  <c r="J37" i="17" s="1"/>
  <c r="I37" i="17" s="1"/>
  <c r="C38" i="32"/>
  <c r="E38" i="32" s="1"/>
  <c r="J38" i="32" s="1"/>
  <c r="H38" i="32" s="1"/>
  <c r="L36" i="33"/>
  <c r="C20" i="32"/>
  <c r="E20" i="32" s="1"/>
  <c r="J20" i="32" s="1"/>
  <c r="H20" i="32" s="1"/>
  <c r="C12" i="32"/>
  <c r="E12" i="32" s="1"/>
  <c r="J12" i="32" s="1"/>
  <c r="H12" i="32" s="1"/>
  <c r="P40" i="15"/>
  <c r="C40" i="70" s="1"/>
  <c r="P32" i="15"/>
  <c r="C32" i="70" s="1"/>
  <c r="P38" i="14"/>
  <c r="P30" i="14"/>
  <c r="P22" i="14"/>
  <c r="O16" i="13"/>
  <c r="F14" i="13"/>
  <c r="P14" i="14"/>
  <c r="O8" i="13"/>
  <c r="F6" i="13"/>
  <c r="K42" i="33"/>
  <c r="L42" i="33" s="1"/>
  <c r="L39" i="33"/>
  <c r="C32" i="32"/>
  <c r="E32" i="32" s="1"/>
  <c r="J32" i="32" s="1"/>
  <c r="H32" i="32" s="1"/>
  <c r="L30" i="33"/>
  <c r="C17" i="32"/>
  <c r="E17" i="32" s="1"/>
  <c r="J17" i="32" s="1"/>
  <c r="H17" i="32" s="1"/>
  <c r="L15" i="33"/>
  <c r="C41" i="32"/>
  <c r="E41" i="32" s="1"/>
  <c r="J41" i="32" s="1"/>
  <c r="H41" i="32" s="1"/>
  <c r="J14" i="51"/>
  <c r="F54" i="53" s="1"/>
  <c r="E54" i="53"/>
  <c r="J6" i="51"/>
  <c r="F46" i="53" s="1"/>
  <c r="E46" i="53"/>
  <c r="K11" i="64"/>
  <c r="C49" i="53" s="1"/>
  <c r="B49" i="53"/>
  <c r="K49" i="53" s="1"/>
  <c r="L49" i="53" s="1"/>
  <c r="P42" i="15"/>
  <c r="C42" i="70" s="1"/>
  <c r="P34" i="15"/>
  <c r="C34" i="70" s="1"/>
  <c r="P40" i="14"/>
  <c r="P32" i="14"/>
  <c r="P24" i="14"/>
  <c r="F16" i="13"/>
  <c r="P16" i="14"/>
  <c r="F8" i="13"/>
  <c r="P8" i="14"/>
  <c r="F40" i="13"/>
  <c r="F24" i="13"/>
  <c r="E32" i="17"/>
  <c r="J32" i="17" s="1"/>
  <c r="I32" i="17" s="1"/>
  <c r="L37" i="33"/>
  <c r="C30" i="32"/>
  <c r="E30" i="32" s="1"/>
  <c r="J30" i="32" s="1"/>
  <c r="H30" i="32" s="1"/>
  <c r="L28" i="33"/>
  <c r="L13" i="33"/>
  <c r="C9" i="32"/>
  <c r="E9" i="32" s="1"/>
  <c r="J9" i="32" s="1"/>
  <c r="H9" i="32" s="1"/>
  <c r="L7" i="33"/>
  <c r="E40" i="32"/>
  <c r="J40" i="32" s="1"/>
  <c r="H40" i="32" s="1"/>
  <c r="E69" i="53"/>
  <c r="J29" i="51"/>
  <c r="F69" i="53" s="1"/>
  <c r="B73" i="53"/>
  <c r="K35" i="64"/>
  <c r="C73" i="53" s="1"/>
  <c r="P39" i="15"/>
  <c r="C39" i="70" s="1"/>
  <c r="P31" i="15"/>
  <c r="C31" i="70" s="1"/>
  <c r="O39" i="13"/>
  <c r="O31" i="13"/>
  <c r="P41" i="14"/>
  <c r="P37" i="14"/>
  <c r="P33" i="14"/>
  <c r="P29" i="14"/>
  <c r="P25" i="14"/>
  <c r="P21" i="14"/>
  <c r="P13" i="14"/>
  <c r="P9" i="14"/>
  <c r="K43" i="33"/>
  <c r="L43" i="33" s="1"/>
  <c r="L27" i="33"/>
  <c r="L11" i="33"/>
  <c r="C13" i="32"/>
  <c r="E13" i="32" s="1"/>
  <c r="J13" i="32" s="1"/>
  <c r="H13" i="32" s="1"/>
  <c r="C8" i="32"/>
  <c r="E8" i="32" s="1"/>
  <c r="J8" i="32" s="1"/>
  <c r="H8" i="32" s="1"/>
  <c r="J17" i="51"/>
  <c r="F57" i="53" s="1"/>
  <c r="E57" i="53"/>
  <c r="K57" i="53" s="1"/>
  <c r="L57" i="53" s="1"/>
  <c r="K18" i="64"/>
  <c r="C56" i="53" s="1"/>
  <c r="B56" i="53"/>
  <c r="J7" i="48"/>
  <c r="L8" i="53" s="1"/>
  <c r="K8" i="53"/>
  <c r="L41" i="33"/>
  <c r="E29" i="32"/>
  <c r="J29" i="32" s="1"/>
  <c r="H29" i="32" s="1"/>
  <c r="J20" i="51"/>
  <c r="F60" i="53" s="1"/>
  <c r="E60" i="53"/>
  <c r="K13" i="64"/>
  <c r="C51" i="53" s="1"/>
  <c r="B51" i="53"/>
  <c r="K10" i="64"/>
  <c r="C48" i="53" s="1"/>
  <c r="B48" i="53"/>
  <c r="J15" i="48"/>
  <c r="L16" i="53" s="1"/>
  <c r="K16" i="53"/>
  <c r="E15" i="17"/>
  <c r="J15" i="17" s="1"/>
  <c r="I15" i="17" s="1"/>
  <c r="L35" i="33"/>
  <c r="L22" i="33"/>
  <c r="L19" i="33"/>
  <c r="K27" i="53"/>
  <c r="K65" i="53" s="1"/>
  <c r="L65" i="53" s="1"/>
  <c r="J26" i="48"/>
  <c r="L27" i="53" s="1"/>
  <c r="J33" i="51"/>
  <c r="F73" i="53" s="1"/>
  <c r="E73" i="53"/>
  <c r="J7" i="51"/>
  <c r="F47" i="53" s="1"/>
  <c r="E47" i="53"/>
  <c r="K47" i="53" s="1"/>
  <c r="L47" i="53" s="1"/>
  <c r="K31" i="64"/>
  <c r="C69" i="53" s="1"/>
  <c r="B69" i="53"/>
  <c r="C39" i="32"/>
  <c r="E39" i="32" s="1"/>
  <c r="J39" i="32" s="1"/>
  <c r="H39" i="32" s="1"/>
  <c r="C31" i="32"/>
  <c r="E31" i="32" s="1"/>
  <c r="J31" i="32" s="1"/>
  <c r="H31" i="32" s="1"/>
  <c r="C23" i="32"/>
  <c r="E23" i="32" s="1"/>
  <c r="J23" i="32" s="1"/>
  <c r="H23" i="32" s="1"/>
  <c r="J35" i="51"/>
  <c r="F75" i="53" s="1"/>
  <c r="E75" i="53"/>
  <c r="J13" i="51"/>
  <c r="F53" i="53" s="1"/>
  <c r="B67" i="53"/>
  <c r="K29" i="64"/>
  <c r="C67" i="53" s="1"/>
  <c r="K16" i="64"/>
  <c r="C54" i="53" s="1"/>
  <c r="J29" i="48"/>
  <c r="L30" i="53" s="1"/>
  <c r="K30" i="53"/>
  <c r="K68" i="53" s="1"/>
  <c r="L68" i="53" s="1"/>
  <c r="J25" i="48"/>
  <c r="L26" i="53" s="1"/>
  <c r="K26" i="53"/>
  <c r="J21" i="48"/>
  <c r="L22" i="53" s="1"/>
  <c r="K22" i="53"/>
  <c r="J9" i="48"/>
  <c r="L10" i="53" s="1"/>
  <c r="K10" i="53"/>
  <c r="B60" i="53"/>
  <c r="K22" i="64"/>
  <c r="C60" i="53" s="1"/>
  <c r="J33" i="48"/>
  <c r="L34" i="53" s="1"/>
  <c r="K34" i="53"/>
  <c r="K29" i="53"/>
  <c r="J28" i="48"/>
  <c r="L29" i="53" s="1"/>
  <c r="J17" i="48"/>
  <c r="L18" i="53" s="1"/>
  <c r="K18" i="53"/>
  <c r="B71" i="53"/>
  <c r="K71" i="53" s="1"/>
  <c r="L71" i="53" s="1"/>
  <c r="J10" i="51"/>
  <c r="F50" i="53" s="1"/>
  <c r="E50" i="53"/>
  <c r="J37" i="48"/>
  <c r="L38" i="53" s="1"/>
  <c r="K38" i="53"/>
  <c r="K76" i="53" s="1"/>
  <c r="L76" i="53" s="1"/>
  <c r="K15" i="53"/>
  <c r="J14" i="48"/>
  <c r="L15" i="53" s="1"/>
  <c r="K21" i="53"/>
  <c r="K59" i="53" s="1"/>
  <c r="L59" i="53" s="1"/>
  <c r="J20" i="48"/>
  <c r="L21" i="53" s="1"/>
  <c r="K13" i="53"/>
  <c r="J12" i="48"/>
  <c r="L13" i="53" s="1"/>
  <c r="J26" i="51"/>
  <c r="F66" i="53" s="1"/>
  <c r="E66" i="53"/>
  <c r="J35" i="48"/>
  <c r="L36" i="53" s="1"/>
  <c r="K36" i="53"/>
  <c r="K74" i="53" s="1"/>
  <c r="L74" i="53" s="1"/>
  <c r="J27" i="48"/>
  <c r="L28" i="53" s="1"/>
  <c r="K28" i="53"/>
  <c r="J11" i="48"/>
  <c r="L12" i="53" s="1"/>
  <c r="K12" i="53"/>
  <c r="M45" i="3"/>
  <c r="E89" i="28" l="1"/>
  <c r="I37" i="23"/>
  <c r="H128" i="28"/>
  <c r="I34" i="23"/>
  <c r="E68" i="28"/>
  <c r="E96" i="28"/>
  <c r="I36" i="23"/>
  <c r="E110" i="28"/>
  <c r="E61" i="28"/>
  <c r="I74" i="28"/>
  <c r="H74" i="28" s="1"/>
  <c r="H124" i="28"/>
  <c r="H120" i="28"/>
  <c r="E148" i="28"/>
  <c r="E75" i="28"/>
  <c r="P16" i="28"/>
  <c r="H43" i="23"/>
  <c r="Q22" i="28"/>
  <c r="H44" i="23"/>
  <c r="Q23" i="28"/>
  <c r="E82" i="28"/>
  <c r="L9" i="20"/>
  <c r="L65" i="20"/>
  <c r="M71" i="20"/>
  <c r="L63" i="20"/>
  <c r="L103" i="20"/>
  <c r="P35" i="13"/>
  <c r="E48" i="27"/>
  <c r="M98" i="20"/>
  <c r="K55" i="53"/>
  <c r="L55" i="53" s="1"/>
  <c r="G20" i="27"/>
  <c r="K72" i="53"/>
  <c r="L72" i="53" s="1"/>
  <c r="J43" i="23"/>
  <c r="M43" i="20"/>
  <c r="L71" i="20"/>
  <c r="K39" i="20"/>
  <c r="O39" i="20" s="1"/>
  <c r="L27" i="20"/>
  <c r="L15" i="20"/>
  <c r="L59" i="20"/>
  <c r="L104" i="20"/>
  <c r="J28" i="23"/>
  <c r="I28" i="23" s="1"/>
  <c r="P11" i="13"/>
  <c r="E11" i="70"/>
  <c r="L88" i="20"/>
  <c r="L106" i="20"/>
  <c r="O55" i="20"/>
  <c r="F129" i="28"/>
  <c r="G43" i="23" s="1"/>
  <c r="M93" i="20"/>
  <c r="D43" i="70"/>
  <c r="P19" i="13"/>
  <c r="E19" i="70"/>
  <c r="M55" i="20"/>
  <c r="M74" i="20"/>
  <c r="O66" i="20"/>
  <c r="L74" i="20"/>
  <c r="G62" i="26"/>
  <c r="E15" i="70"/>
  <c r="D15" i="70" s="1"/>
  <c r="L109" i="20"/>
  <c r="P27" i="13"/>
  <c r="E27" i="70"/>
  <c r="D39" i="70"/>
  <c r="M109" i="20"/>
  <c r="L60" i="20"/>
  <c r="L30" i="20"/>
  <c r="M79" i="20"/>
  <c r="M42" i="20"/>
  <c r="M115" i="20"/>
  <c r="L22" i="20"/>
  <c r="L45" i="20"/>
  <c r="L115" i="20"/>
  <c r="M9" i="20"/>
  <c r="K70" i="53"/>
  <c r="L70" i="53" s="1"/>
  <c r="M64" i="20"/>
  <c r="E76" i="26"/>
  <c r="G76" i="26"/>
  <c r="I76" i="27"/>
  <c r="I154" i="28"/>
  <c r="H154" i="28" s="1"/>
  <c r="L120" i="20"/>
  <c r="L95" i="20"/>
  <c r="L53" i="20"/>
  <c r="L116" i="20"/>
  <c r="M23" i="20"/>
  <c r="L18" i="20"/>
  <c r="O18" i="20"/>
  <c r="M24" i="20"/>
  <c r="M116" i="20"/>
  <c r="L73" i="20"/>
  <c r="M63" i="20"/>
  <c r="M95" i="20"/>
  <c r="M57" i="20"/>
  <c r="L91" i="20"/>
  <c r="L75" i="20"/>
  <c r="M77" i="20"/>
  <c r="L23" i="20"/>
  <c r="L58" i="20"/>
  <c r="M18" i="20"/>
  <c r="L33" i="20"/>
  <c r="M45" i="20"/>
  <c r="L93" i="20"/>
  <c r="M73" i="20"/>
  <c r="L64" i="20"/>
  <c r="O113" i="20"/>
  <c r="L79" i="20"/>
  <c r="M120" i="20"/>
  <c r="M103" i="20"/>
  <c r="L31" i="20"/>
  <c r="L57" i="20"/>
  <c r="M33" i="20"/>
  <c r="M48" i="20"/>
  <c r="M89" i="20"/>
  <c r="K56" i="53"/>
  <c r="L56" i="53" s="1"/>
  <c r="K53" i="53"/>
  <c r="L53" i="53" s="1"/>
  <c r="K69" i="53"/>
  <c r="L69" i="53" s="1"/>
  <c r="K51" i="53"/>
  <c r="L51" i="53" s="1"/>
  <c r="K46" i="53"/>
  <c r="L46" i="53" s="1"/>
  <c r="K48" i="53"/>
  <c r="L48" i="53" s="1"/>
  <c r="K73" i="53"/>
  <c r="L73" i="53" s="1"/>
  <c r="K66" i="53"/>
  <c r="L66" i="53" s="1"/>
  <c r="K64" i="53"/>
  <c r="L64" i="53" s="1"/>
  <c r="K52" i="53"/>
  <c r="L52" i="53" s="1"/>
  <c r="K58" i="53"/>
  <c r="L58" i="53" s="1"/>
  <c r="K50" i="53"/>
  <c r="L50" i="53" s="1"/>
  <c r="K60" i="53"/>
  <c r="L60" i="53" s="1"/>
  <c r="G37" i="22"/>
  <c r="E34" i="21"/>
  <c r="J34" i="21" s="1"/>
  <c r="G34" i="21" s="1"/>
  <c r="I110" i="28"/>
  <c r="H110" i="28" s="1"/>
  <c r="I96" i="28"/>
  <c r="H96" i="28" s="1"/>
  <c r="H54" i="28"/>
  <c r="I25" i="28"/>
  <c r="H25" i="28" s="1"/>
  <c r="H26" i="28" s="1"/>
  <c r="J31" i="23"/>
  <c r="I31" i="23" s="1"/>
  <c r="I54" i="28"/>
  <c r="J42" i="23"/>
  <c r="I42" i="23" s="1"/>
  <c r="O81" i="20"/>
  <c r="L81" i="20"/>
  <c r="E32" i="70"/>
  <c r="P32" i="13"/>
  <c r="P22" i="13"/>
  <c r="E22" i="70"/>
  <c r="O107" i="20"/>
  <c r="L107" i="20"/>
  <c r="O29" i="20"/>
  <c r="L29" i="20"/>
  <c r="E103" i="28"/>
  <c r="E99" i="28"/>
  <c r="I99" i="28" s="1"/>
  <c r="I103" i="28" s="1"/>
  <c r="H103" i="28" s="1"/>
  <c r="P25" i="13"/>
  <c r="E25" i="70"/>
  <c r="O20" i="20"/>
  <c r="L20" i="20"/>
  <c r="C38" i="5"/>
  <c r="E38" i="5" s="1"/>
  <c r="K38" i="5" s="1"/>
  <c r="J38" i="5" s="1"/>
  <c r="D35" i="70"/>
  <c r="C35" i="22"/>
  <c r="E35" i="22" s="1"/>
  <c r="I35" i="22" s="1"/>
  <c r="G35" i="22" s="1"/>
  <c r="E20" i="27"/>
  <c r="D129" i="28"/>
  <c r="E129" i="28" s="1"/>
  <c r="P29" i="13"/>
  <c r="E29" i="70"/>
  <c r="E17" i="70"/>
  <c r="P17" i="13"/>
  <c r="P36" i="13"/>
  <c r="E36" i="70"/>
  <c r="L17" i="20"/>
  <c r="O17" i="20"/>
  <c r="P20" i="13"/>
  <c r="E20" i="70"/>
  <c r="L35" i="20"/>
  <c r="O85" i="20"/>
  <c r="L85" i="20"/>
  <c r="L19" i="20"/>
  <c r="O97" i="20"/>
  <c r="L97" i="20"/>
  <c r="P34" i="13"/>
  <c r="E34" i="70"/>
  <c r="L84" i="20"/>
  <c r="O84" i="20"/>
  <c r="P31" i="13"/>
  <c r="I34" i="27"/>
  <c r="G22" i="27"/>
  <c r="G34" i="27" s="1"/>
  <c r="L41" i="20"/>
  <c r="J62" i="26"/>
  <c r="L112" i="20"/>
  <c r="O112" i="20"/>
  <c r="M112" i="20"/>
  <c r="O56" i="20"/>
  <c r="L56" i="20"/>
  <c r="M31" i="20"/>
  <c r="L44" i="20"/>
  <c r="O102" i="20"/>
  <c r="L102" i="20"/>
  <c r="G53" i="27"/>
  <c r="G62" i="27" s="1"/>
  <c r="I62" i="27"/>
  <c r="L83" i="20"/>
  <c r="D35" i="21"/>
  <c r="E35" i="21" s="1"/>
  <c r="J35" i="21" s="1"/>
  <c r="G35" i="21" s="1"/>
  <c r="E34" i="26"/>
  <c r="M11" i="20"/>
  <c r="O34" i="20"/>
  <c r="L34" i="20"/>
  <c r="O14" i="20"/>
  <c r="L14" i="20"/>
  <c r="O87" i="20"/>
  <c r="L87" i="20"/>
  <c r="M87" i="20"/>
  <c r="G22" i="26"/>
  <c r="G34" i="26" s="1"/>
  <c r="J34" i="26"/>
  <c r="D23" i="70"/>
  <c r="C26" i="5"/>
  <c r="E26" i="5" s="1"/>
  <c r="K26" i="5" s="1"/>
  <c r="J26" i="5" s="1"/>
  <c r="H64" i="28"/>
  <c r="H68" i="28" s="1"/>
  <c r="I68" i="28"/>
  <c r="L36" i="20"/>
  <c r="O36" i="20"/>
  <c r="H78" i="28"/>
  <c r="H82" i="28" s="1"/>
  <c r="I82" i="28"/>
  <c r="I47" i="28"/>
  <c r="H43" i="28"/>
  <c r="H47" i="28" s="1"/>
  <c r="M102" i="20"/>
  <c r="J39" i="23"/>
  <c r="I39" i="23" s="1"/>
  <c r="M34" i="20"/>
  <c r="P37" i="13"/>
  <c r="E37" i="70"/>
  <c r="O100" i="20"/>
  <c r="L100" i="20"/>
  <c r="P42" i="13"/>
  <c r="E42" i="70"/>
  <c r="L69" i="20"/>
  <c r="O69" i="20"/>
  <c r="M35" i="20"/>
  <c r="M12" i="20"/>
  <c r="P41" i="13"/>
  <c r="E41" i="70"/>
  <c r="P10" i="13"/>
  <c r="E10" i="70"/>
  <c r="M41" i="20"/>
  <c r="L80" i="20"/>
  <c r="O80" i="20"/>
  <c r="M80" i="20"/>
  <c r="M27" i="20"/>
  <c r="M19" i="20"/>
  <c r="M100" i="20"/>
  <c r="C18" i="5"/>
  <c r="E18" i="5" s="1"/>
  <c r="K18" i="5" s="1"/>
  <c r="J18" i="5" s="1"/>
  <c r="M83" i="20"/>
  <c r="E76" i="27"/>
  <c r="M81" i="20"/>
  <c r="M104" i="20"/>
  <c r="J33" i="23"/>
  <c r="I33" i="23" s="1"/>
  <c r="I89" i="28"/>
  <c r="H89" i="28" s="1"/>
  <c r="J41" i="23"/>
  <c r="I41" i="23" s="1"/>
  <c r="P21" i="13"/>
  <c r="E21" i="70"/>
  <c r="G36" i="27"/>
  <c r="G48" i="27" s="1"/>
  <c r="I48" i="27"/>
  <c r="P40" i="13"/>
  <c r="E40" i="70"/>
  <c r="P30" i="13"/>
  <c r="E30" i="70"/>
  <c r="O61" i="20"/>
  <c r="L61" i="20"/>
  <c r="O16" i="20"/>
  <c r="L16" i="20"/>
  <c r="M16" i="20"/>
  <c r="P26" i="13"/>
  <c r="E26" i="70"/>
  <c r="M107" i="20"/>
  <c r="L51" i="20"/>
  <c r="O51" i="20"/>
  <c r="P33" i="13"/>
  <c r="E33" i="70"/>
  <c r="P8" i="13"/>
  <c r="E8" i="70"/>
  <c r="O67" i="20"/>
  <c r="L67" i="20"/>
  <c r="M67" i="20"/>
  <c r="O47" i="20"/>
  <c r="L47" i="20"/>
  <c r="E29" i="28"/>
  <c r="I29" i="28" s="1"/>
  <c r="E33" i="28"/>
  <c r="I20" i="27"/>
  <c r="P16" i="13"/>
  <c r="E16" i="70"/>
  <c r="P14" i="13"/>
  <c r="E14" i="70"/>
  <c r="O37" i="20"/>
  <c r="L37" i="20"/>
  <c r="P9" i="13"/>
  <c r="E9" i="70"/>
  <c r="E28" i="70"/>
  <c r="P28" i="13"/>
  <c r="L50" i="20"/>
  <c r="O78" i="20"/>
  <c r="M78" i="20"/>
  <c r="D18" i="70"/>
  <c r="C21" i="5"/>
  <c r="E21" i="5" s="1"/>
  <c r="K21" i="5" s="1"/>
  <c r="J21" i="5" s="1"/>
  <c r="M14" i="20"/>
  <c r="L92" i="20"/>
  <c r="O92" i="20"/>
  <c r="J76" i="26"/>
  <c r="M44" i="20"/>
  <c r="L86" i="20"/>
  <c r="M86" i="20"/>
  <c r="M15" i="20"/>
  <c r="L108" i="20"/>
  <c r="H15" i="28"/>
  <c r="H19" i="28" s="1"/>
  <c r="I19" i="28"/>
  <c r="O32" i="20"/>
  <c r="L32" i="20"/>
  <c r="L89" i="20"/>
  <c r="M21" i="20"/>
  <c r="L77" i="20"/>
  <c r="M106" i="20"/>
  <c r="H61" i="28"/>
  <c r="E48" i="26"/>
  <c r="J35" i="23"/>
  <c r="I35" i="23" s="1"/>
  <c r="M65" i="20"/>
  <c r="M94" i="20"/>
  <c r="M97" i="20"/>
  <c r="O52" i="20"/>
  <c r="L52" i="20"/>
  <c r="H8" i="28"/>
  <c r="H12" i="28" s="1"/>
  <c r="I12" i="28"/>
  <c r="E62" i="26"/>
  <c r="D37" i="21"/>
  <c r="E37" i="21" s="1"/>
  <c r="J37" i="21" s="1"/>
  <c r="G37" i="21" s="1"/>
  <c r="L118" i="20"/>
  <c r="O118" i="20"/>
  <c r="O70" i="20"/>
  <c r="L70" i="20"/>
  <c r="L94" i="20"/>
  <c r="P38" i="13"/>
  <c r="E38" i="70"/>
  <c r="D31" i="70"/>
  <c r="C34" i="5"/>
  <c r="E34" i="5" s="1"/>
  <c r="K34" i="5" s="1"/>
  <c r="J34" i="5" s="1"/>
  <c r="O76" i="20"/>
  <c r="L76" i="20"/>
  <c r="K75" i="53"/>
  <c r="L75" i="53" s="1"/>
  <c r="L121" i="20"/>
  <c r="O121" i="20"/>
  <c r="M53" i="20"/>
  <c r="K67" i="53"/>
  <c r="L67" i="53" s="1"/>
  <c r="K54" i="53"/>
  <c r="L54" i="53" s="1"/>
  <c r="E13" i="70"/>
  <c r="P13" i="13"/>
  <c r="P24" i="13"/>
  <c r="E24" i="70"/>
  <c r="P12" i="13"/>
  <c r="E12" i="70"/>
  <c r="L11" i="20"/>
  <c r="L12" i="20"/>
  <c r="O46" i="20"/>
  <c r="M46" i="20"/>
  <c r="M52" i="20"/>
  <c r="H71" i="28"/>
  <c r="P39" i="13"/>
  <c r="L21" i="20"/>
  <c r="O72" i="20"/>
  <c r="M72" i="20"/>
  <c r="L48" i="20"/>
  <c r="G8" i="26"/>
  <c r="G20" i="26" s="1"/>
  <c r="J20" i="26"/>
  <c r="H116" i="28"/>
  <c r="I129" i="28"/>
  <c r="O49" i="20"/>
  <c r="L49" i="20"/>
  <c r="M76" i="20"/>
  <c r="M50" i="20"/>
  <c r="M29" i="20"/>
  <c r="M108" i="20"/>
  <c r="G36" i="26"/>
  <c r="G48" i="26" s="1"/>
  <c r="J48" i="26"/>
  <c r="I61" i="28"/>
  <c r="L122" i="20"/>
  <c r="M85" i="20"/>
  <c r="G76" i="27"/>
  <c r="H36" i="28"/>
  <c r="H40" i="28" s="1"/>
  <c r="I40" i="28"/>
  <c r="H135" i="28"/>
  <c r="H148" i="28" s="1"/>
  <c r="I148" i="28"/>
  <c r="M59" i="20"/>
  <c r="H75" i="28" l="1"/>
  <c r="I75" i="28"/>
  <c r="H129" i="28"/>
  <c r="M39" i="20"/>
  <c r="L39" i="20"/>
  <c r="D42" i="70"/>
  <c r="C45" i="5"/>
  <c r="E45" i="5" s="1"/>
  <c r="K45" i="5" s="1"/>
  <c r="J45" i="5" s="1"/>
  <c r="C30" i="5"/>
  <c r="E30" i="5" s="1"/>
  <c r="K30" i="5" s="1"/>
  <c r="J30" i="5" s="1"/>
  <c r="D27" i="70"/>
  <c r="C22" i="5"/>
  <c r="E22" i="5" s="1"/>
  <c r="K22" i="5" s="1"/>
  <c r="J22" i="5" s="1"/>
  <c r="D19" i="70"/>
  <c r="D11" i="70"/>
  <c r="C14" i="5"/>
  <c r="E14" i="5" s="1"/>
  <c r="K14" i="5" s="1"/>
  <c r="J14" i="5" s="1"/>
  <c r="I26" i="28"/>
  <c r="H29" i="28"/>
  <c r="H33" i="28" s="1"/>
  <c r="I33" i="28"/>
  <c r="C36" i="5"/>
  <c r="E36" i="5" s="1"/>
  <c r="K36" i="5" s="1"/>
  <c r="J36" i="5" s="1"/>
  <c r="D33" i="70"/>
  <c r="C44" i="5"/>
  <c r="E44" i="5" s="1"/>
  <c r="K44" i="5" s="1"/>
  <c r="J44" i="5" s="1"/>
  <c r="D41" i="70"/>
  <c r="D34" i="70"/>
  <c r="C37" i="5"/>
  <c r="E37" i="5" s="1"/>
  <c r="K37" i="5" s="1"/>
  <c r="J37" i="5" s="1"/>
  <c r="D20" i="70"/>
  <c r="C23" i="5"/>
  <c r="E23" i="5" s="1"/>
  <c r="K23" i="5" s="1"/>
  <c r="J23" i="5" s="1"/>
  <c r="C32" i="5"/>
  <c r="E32" i="5" s="1"/>
  <c r="K32" i="5" s="1"/>
  <c r="J32" i="5" s="1"/>
  <c r="D29" i="70"/>
  <c r="C25" i="5"/>
  <c r="E25" i="5" s="1"/>
  <c r="K25" i="5" s="1"/>
  <c r="J25" i="5" s="1"/>
  <c r="D22" i="70"/>
  <c r="D12" i="70"/>
  <c r="C15" i="5"/>
  <c r="E15" i="5" s="1"/>
  <c r="K15" i="5" s="1"/>
  <c r="J15" i="5" s="1"/>
  <c r="D38" i="70"/>
  <c r="C41" i="5"/>
  <c r="E41" i="5" s="1"/>
  <c r="K41" i="5" s="1"/>
  <c r="J41" i="5" s="1"/>
  <c r="C17" i="5"/>
  <c r="E17" i="5" s="1"/>
  <c r="K17" i="5" s="1"/>
  <c r="J17" i="5" s="1"/>
  <c r="D14" i="70"/>
  <c r="C40" i="5"/>
  <c r="E40" i="5" s="1"/>
  <c r="K40" i="5" s="1"/>
  <c r="J40" i="5" s="1"/>
  <c r="D37" i="70"/>
  <c r="C24" i="5"/>
  <c r="E24" i="5" s="1"/>
  <c r="K24" i="5" s="1"/>
  <c r="J24" i="5" s="1"/>
  <c r="D21" i="70"/>
  <c r="C28" i="5"/>
  <c r="E28" i="5" s="1"/>
  <c r="K28" i="5" s="1"/>
  <c r="J28" i="5" s="1"/>
  <c r="D25" i="70"/>
  <c r="D32" i="70"/>
  <c r="C35" i="5"/>
  <c r="E35" i="5" s="1"/>
  <c r="K35" i="5" s="1"/>
  <c r="J35" i="5" s="1"/>
  <c r="C31" i="5"/>
  <c r="E31" i="5" s="1"/>
  <c r="K31" i="5" s="1"/>
  <c r="J31" i="5" s="1"/>
  <c r="D28" i="70"/>
  <c r="D30" i="70"/>
  <c r="C33" i="5"/>
  <c r="E33" i="5" s="1"/>
  <c r="K33" i="5" s="1"/>
  <c r="J33" i="5" s="1"/>
  <c r="D24" i="70"/>
  <c r="C27" i="5"/>
  <c r="E27" i="5" s="1"/>
  <c r="K27" i="5" s="1"/>
  <c r="J27" i="5" s="1"/>
  <c r="D16" i="70"/>
  <c r="C19" i="5"/>
  <c r="E19" i="5" s="1"/>
  <c r="K19" i="5" s="1"/>
  <c r="J19" i="5" s="1"/>
  <c r="C12" i="5"/>
  <c r="E12" i="5" s="1"/>
  <c r="K12" i="5" s="1"/>
  <c r="J12" i="5" s="1"/>
  <c r="D9" i="70"/>
  <c r="D8" i="70"/>
  <c r="C11" i="5"/>
  <c r="E11" i="5" s="1"/>
  <c r="K11" i="5" s="1"/>
  <c r="J11" i="5" s="1"/>
  <c r="D26" i="70"/>
  <c r="C29" i="5"/>
  <c r="E29" i="5" s="1"/>
  <c r="K29" i="5" s="1"/>
  <c r="J29" i="5" s="1"/>
  <c r="D10" i="70"/>
  <c r="C13" i="5"/>
  <c r="E13" i="5" s="1"/>
  <c r="K13" i="5" s="1"/>
  <c r="J13" i="5" s="1"/>
  <c r="D36" i="70"/>
  <c r="C39" i="5"/>
  <c r="E39" i="5" s="1"/>
  <c r="K39" i="5" s="1"/>
  <c r="J39" i="5" s="1"/>
  <c r="C16" i="5"/>
  <c r="E16" i="5" s="1"/>
  <c r="K16" i="5" s="1"/>
  <c r="J16" i="5" s="1"/>
  <c r="D13" i="70"/>
  <c r="D40" i="70"/>
  <c r="C43" i="5"/>
  <c r="E43" i="5" s="1"/>
  <c r="K43" i="5" s="1"/>
  <c r="J43" i="5" s="1"/>
  <c r="D17" i="70"/>
  <c r="C20" i="5"/>
  <c r="E20" i="5" s="1"/>
  <c r="K20" i="5" s="1"/>
  <c r="J2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8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00000000-0006-0000-17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7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7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2" authorId="0" shapeId="0" xr:uid="{00000000-0006-0000-17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17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" authorId="0" shapeId="0" xr:uid="{00000000-0006-0000-17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00000000-0006-0000-17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26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19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19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19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7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 shapeId="0" xr:uid="{00000000-0006-0000-20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 xr:uid="{00000000-0006-0000-20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20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20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8" authorId="0" shapeId="0" xr:uid="{00000000-0006-0000-20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20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20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20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20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20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00000000-0006-0000-20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20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20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00000000-0006-0000-20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20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20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20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5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6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0" authorId="0" shapeId="0" xr:uid="{00000000-0006-0000-2F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2F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0" authorId="0" shapeId="0" xr:uid="{00000000-0006-0000-2F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2F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2F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1" authorId="0" shapeId="0" xr:uid="{00000000-0006-0000-2F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2F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2F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2" authorId="0" shapeId="0" xr:uid="{00000000-0006-0000-2F00-000009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00000000-0006-0000-2F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3" authorId="0" shapeId="0" xr:uid="{00000000-0006-0000-2F00-00000B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3" authorId="0" shapeId="0" xr:uid="{00000000-0006-0000-2F00-00000C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4" authorId="0" shapeId="0" xr:uid="{00000000-0006-0000-2F00-00000D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4" authorId="0" shapeId="0" xr:uid="{00000000-0006-0000-2F00-00000E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4" authorId="0" shapeId="0" xr:uid="{00000000-0006-0000-2F00-00000F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5" authorId="0" shapeId="0" xr:uid="{00000000-0006-0000-2F00-000010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5" authorId="0" shapeId="0" xr:uid="{00000000-0006-0000-2F00-00001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5" authorId="0" shapeId="0" xr:uid="{00000000-0006-0000-2F00-00001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9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9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0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4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1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0" authorId="0" shapeId="0" xr:uid="{00000000-0006-0000-3100-00000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0" authorId="0" shapeId="0" xr:uid="{00000000-0006-0000-31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31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1" authorId="0" shapeId="0" xr:uid="{00000000-0006-0000-3100-000004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31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2" authorId="0" shapeId="0" xr:uid="{00000000-0006-0000-31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00000000-0006-0000-3100-000007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3" authorId="0" shapeId="0" xr:uid="{00000000-0006-0000-31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8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9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0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1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Mark Ash</author>
  </authors>
  <commentList>
    <comment ref="C6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0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1" authorId="1" shapeId="0" xr:uid="{00000000-0006-0000-0700-000006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Ash</author>
    <author>Windows User</author>
  </authors>
  <commentList>
    <comment ref="C6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0" authorId="1" shapeId="0" xr:uid="{00000000-0006-0000-08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1" shapeId="0" xr:uid="{00000000-0006-0000-0800-000006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H61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1" authorId="1" shapeId="0" xr:uid="{00000000-0006-0000-08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Ash</author>
  </authors>
  <commentList>
    <comment ref="B9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ERS estimate
</t>
        </r>
      </text>
    </comment>
    <comment ref="E94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4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00000000-0006-0000-11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1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11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3" authorId="0" shapeId="0" xr:uid="{00000000-0006-0000-11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200-000001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G38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8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9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0" authorId="0" shapeId="0" xr:uid="{00000000-0006-0000-12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2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2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1" authorId="0" shapeId="0" xr:uid="{00000000-0006-0000-12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2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200-00000E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8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39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13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3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00000000-0006-0000-1300-000009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13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3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00000000-0006-0000-1300-00000C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13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3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<sst xmlns="http://schemas.openxmlformats.org/spreadsheetml/2006/main" count="3935" uniqueCount="778">
  <si>
    <t>Date</t>
  </si>
  <si>
    <t>On-farm</t>
  </si>
  <si>
    <t>Off-farm</t>
  </si>
  <si>
    <t>Total</t>
  </si>
  <si>
    <t>1,000 bushels</t>
  </si>
  <si>
    <t xml:space="preserve">  December 1</t>
  </si>
  <si>
    <t xml:space="preserve">  March 1</t>
  </si>
  <si>
    <t xml:space="preserve">  June 1</t>
  </si>
  <si>
    <t xml:space="preserve">  September 1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</si>
  <si>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</si>
  <si>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</si>
  <si>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</si>
  <si>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</si>
  <si>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</si>
  <si>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</si>
  <si>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</si>
  <si>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</si>
  <si>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</si>
  <si>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</si>
  <si>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</si>
  <si>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</si>
  <si>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>----------------1,000 acres---------------------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</si>
  <si>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</si>
  <si>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</si>
  <si>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</si>
  <si>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</si>
  <si>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</si>
  <si>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</si>
  <si>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</si>
  <si>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</si>
  <si>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</si>
  <si>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</si>
  <si>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</si>
  <si>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</si>
  <si>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</si>
  <si>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</si>
  <si>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</si>
  <si>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</si>
  <si>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</si>
  <si>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</si>
  <si>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</si>
  <si>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</si>
  <si>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</si>
  <si>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</si>
  <si>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</si>
  <si>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</si>
  <si>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</si>
  <si>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</si>
  <si>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</si>
  <si>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</si>
  <si>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</si>
  <si>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</si>
  <si>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</si>
  <si>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</si>
  <si>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 xml:space="preserve">1992 </t>
  </si>
  <si>
    <t>1993</t>
  </si>
  <si>
    <t>1994</t>
  </si>
  <si>
    <t>1995</t>
  </si>
  <si>
    <t xml:space="preserve">1996 </t>
  </si>
  <si>
    <t>1997</t>
  </si>
  <si>
    <t xml:space="preserve">  N.A. =  Not applicable.</t>
  </si>
  <si>
    <t xml:space="preserve"> </t>
  </si>
  <si>
    <t>Planted</t>
  </si>
  <si>
    <t>Harvested</t>
  </si>
  <si>
    <t>Yield</t>
  </si>
  <si>
    <t>per acre</t>
  </si>
  <si>
    <t>Production</t>
  </si>
  <si>
    <t>Value</t>
  </si>
  <si>
    <t>Loan</t>
  </si>
  <si>
    <t>rate 1/</t>
  </si>
  <si>
    <t>Bushels</t>
  </si>
  <si>
    <t>$/bu.</t>
  </si>
  <si>
    <t xml:space="preserve">               N.A.</t>
  </si>
  <si>
    <t xml:space="preserve">     Item</t>
  </si>
  <si>
    <t>1992</t>
  </si>
  <si>
    <t>1996</t>
  </si>
  <si>
    <t>Stocks October 1</t>
  </si>
  <si>
    <t xml:space="preserve">  Coconut</t>
  </si>
  <si>
    <t xml:space="preserve">  Corn</t>
  </si>
  <si>
    <t xml:space="preserve">  Cottonseed</t>
  </si>
  <si>
    <t xml:space="preserve">  Lard</t>
  </si>
  <si>
    <t xml:space="preserve">  Palm</t>
  </si>
  <si>
    <t xml:space="preserve">  Palm kernel</t>
  </si>
  <si>
    <t xml:space="preserve">  Safflower</t>
  </si>
  <si>
    <t xml:space="preserve">  Soybean</t>
  </si>
  <si>
    <t xml:space="preserve">  Sunflower</t>
  </si>
  <si>
    <t xml:space="preserve">  Canola</t>
  </si>
  <si>
    <t xml:space="preserve">  Tallow, edible</t>
  </si>
  <si>
    <t>Imports</t>
  </si>
  <si>
    <t xml:space="preserve">  Peanut</t>
  </si>
  <si>
    <t>Exports</t>
  </si>
  <si>
    <t>Million pounds</t>
  </si>
  <si>
    <t>Domestic disappearance</t>
  </si>
  <si>
    <t xml:space="preserve">Production </t>
  </si>
  <si>
    <t>Yield per acre</t>
  </si>
  <si>
    <t>Pounds</t>
  </si>
  <si>
    <t>$ million</t>
  </si>
  <si>
    <t>Planted 1/</t>
  </si>
  <si>
    <t>Harvested 2/</t>
  </si>
  <si>
    <t>Value 3/</t>
  </si>
  <si>
    <t>beginning</t>
  </si>
  <si>
    <t>Seed, loss,</t>
  </si>
  <si>
    <t>August 1</t>
  </si>
  <si>
    <t>shrinkage,</t>
  </si>
  <si>
    <t xml:space="preserve">                                                                                  residual           farmers</t>
  </si>
  <si>
    <t>residual 1/</t>
  </si>
  <si>
    <t>Quota</t>
  </si>
  <si>
    <t xml:space="preserve">  Year</t>
  </si>
  <si>
    <t>Begin-</t>
  </si>
  <si>
    <t>ning</t>
  </si>
  <si>
    <t>stocks</t>
  </si>
  <si>
    <t>Crush</t>
  </si>
  <si>
    <t>Food</t>
  </si>
  <si>
    <t>and</t>
  </si>
  <si>
    <t>received</t>
  </si>
  <si>
    <t>by</t>
  </si>
  <si>
    <t>farmers</t>
  </si>
  <si>
    <t>Disappearance</t>
  </si>
  <si>
    <t>Price</t>
  </si>
  <si>
    <t>Supply</t>
  </si>
  <si>
    <t>Crop</t>
  </si>
  <si>
    <t>year</t>
  </si>
  <si>
    <t>1998</t>
  </si>
  <si>
    <t>1999</t>
  </si>
  <si>
    <t>1,000 acres</t>
  </si>
  <si>
    <t>Virginia &amp; Carolina</t>
  </si>
  <si>
    <t>Southwest</t>
  </si>
  <si>
    <t>Southeast</t>
  </si>
  <si>
    <t>AL</t>
  </si>
  <si>
    <t>FL</t>
  </si>
  <si>
    <t>GA</t>
  </si>
  <si>
    <t>SC</t>
  </si>
  <si>
    <t>OK</t>
  </si>
  <si>
    <t>TX</t>
  </si>
  <si>
    <t>NM</t>
  </si>
  <si>
    <t>VA</t>
  </si>
  <si>
    <t>NC</t>
  </si>
  <si>
    <t>United</t>
  </si>
  <si>
    <t>States</t>
  </si>
  <si>
    <t>1,000 pounds (in-shell)</t>
  </si>
  <si>
    <t>October 1</t>
  </si>
  <si>
    <t>Beginning</t>
  </si>
  <si>
    <t>Domestic</t>
  </si>
  <si>
    <t>Ending</t>
  </si>
  <si>
    <t>Chicago</t>
  </si>
  <si>
    <t>Cents/lb.</t>
  </si>
  <si>
    <t>3/</t>
  </si>
  <si>
    <t xml:space="preserve">  Year </t>
  </si>
  <si>
    <t>May</t>
  </si>
  <si>
    <t>June</t>
  </si>
  <si>
    <t>July</t>
  </si>
  <si>
    <t>Total  2/</t>
  </si>
  <si>
    <t>1,000 pounds</t>
  </si>
  <si>
    <t>Oct.</t>
  </si>
  <si>
    <t>Nov.</t>
  </si>
  <si>
    <t>Dec.</t>
  </si>
  <si>
    <t>Jan.</t>
  </si>
  <si>
    <t>Feb.</t>
  </si>
  <si>
    <t>Mar.</t>
  </si>
  <si>
    <t>Apr.</t>
  </si>
  <si>
    <t>Aug.</t>
  </si>
  <si>
    <t>Sep.</t>
  </si>
  <si>
    <t xml:space="preserve">  --------1,000 acres---------</t>
  </si>
  <si>
    <t xml:space="preserve">  Year     </t>
  </si>
  <si>
    <t xml:space="preserve"> June 1</t>
  </si>
  <si>
    <t xml:space="preserve"> Exports</t>
  </si>
  <si>
    <t>Residual</t>
  </si>
  <si>
    <t xml:space="preserve"> --------------- 1,000 bushels ---------------</t>
  </si>
  <si>
    <t>Seed</t>
  </si>
  <si>
    <t>by farmers</t>
  </si>
  <si>
    <t>Minneapolis</t>
  </si>
  <si>
    <t>34% protein</t>
  </si>
  <si>
    <t xml:space="preserve"> ---------------1,000 short tons ---------------</t>
  </si>
  <si>
    <t>1/ Forecast.</t>
  </si>
  <si>
    <t>-------------------- Million pounds --------------------</t>
  </si>
  <si>
    <t>Seed, feed</t>
  </si>
  <si>
    <t>September 1</t>
  </si>
  <si>
    <t>Total 1/</t>
  </si>
  <si>
    <t>residual</t>
  </si>
  <si>
    <t xml:space="preserve">  Year      </t>
  </si>
  <si>
    <t>stocks 1/</t>
  </si>
  <si>
    <t>Production 1/</t>
  </si>
  <si>
    <t>48% protein,</t>
  </si>
  <si>
    <t>Decatur</t>
  </si>
  <si>
    <t>(solvent)</t>
  </si>
  <si>
    <t>Crude,</t>
  </si>
  <si>
    <t xml:space="preserve">September 1 </t>
  </si>
  <si>
    <t xml:space="preserve">  September</t>
  </si>
  <si>
    <t xml:space="preserve">  October</t>
  </si>
  <si>
    <t xml:space="preserve">  November</t>
  </si>
  <si>
    <t xml:space="preserve">  December</t>
  </si>
  <si>
    <t xml:space="preserve">  January</t>
  </si>
  <si>
    <t xml:space="preserve">  February</t>
  </si>
  <si>
    <t xml:space="preserve">  March</t>
  </si>
  <si>
    <t xml:space="preserve">  April</t>
  </si>
  <si>
    <t xml:space="preserve">  June</t>
  </si>
  <si>
    <t xml:space="preserve">  July</t>
  </si>
  <si>
    <t xml:space="preserve">  May</t>
  </si>
  <si>
    <t>Ending stocks</t>
  </si>
  <si>
    <t>1999/2000</t>
  </si>
  <si>
    <t xml:space="preserve">October 1 </t>
  </si>
  <si>
    <t xml:space="preserve">  May </t>
  </si>
  <si>
    <t>1,000 short tons</t>
  </si>
  <si>
    <t>Supply 1/</t>
  </si>
  <si>
    <t>Disappearance 1/</t>
  </si>
  <si>
    <t>use</t>
  </si>
  <si>
    <t xml:space="preserve">  August</t>
  </si>
  <si>
    <t>Soybean meal</t>
  </si>
  <si>
    <t xml:space="preserve">between value </t>
  </si>
  <si>
    <t>of products and</t>
  </si>
  <si>
    <t>soybean price</t>
  </si>
  <si>
    <t>Soybean oil</t>
  </si>
  <si>
    <t xml:space="preserve"> Value of products per bushel</t>
  </si>
  <si>
    <t>oil</t>
  </si>
  <si>
    <t>Soybean</t>
  </si>
  <si>
    <t>No. 1</t>
  </si>
  <si>
    <t>yellow</t>
  </si>
  <si>
    <t>Illinois</t>
  </si>
  <si>
    <t>processor</t>
  </si>
  <si>
    <t>Spread</t>
  </si>
  <si>
    <t>Percent of value</t>
  </si>
  <si>
    <t>Lbs.</t>
  </si>
  <si>
    <t>Price 1/</t>
  </si>
  <si>
    <t>Cents</t>
  </si>
  <si>
    <t>$</t>
  </si>
  <si>
    <t>Price 2/</t>
  </si>
  <si>
    <t>value</t>
  </si>
  <si>
    <t xml:space="preserve">    Average</t>
  </si>
  <si>
    <t>exporters</t>
  </si>
  <si>
    <t>Soybeans--</t>
  </si>
  <si>
    <t xml:space="preserve"> Supply--</t>
  </si>
  <si>
    <t xml:space="preserve">  Beg. stocks</t>
  </si>
  <si>
    <t xml:space="preserve">  Production</t>
  </si>
  <si>
    <t xml:space="preserve">  Imports</t>
  </si>
  <si>
    <t xml:space="preserve"> Use--</t>
  </si>
  <si>
    <t xml:space="preserve">  Crush</t>
  </si>
  <si>
    <t xml:space="preserve">  Total</t>
  </si>
  <si>
    <t xml:space="preserve">  Exports</t>
  </si>
  <si>
    <t xml:space="preserve"> Ending stocks</t>
  </si>
  <si>
    <t>Soybean meal--</t>
  </si>
  <si>
    <t xml:space="preserve">  Domestic</t>
  </si>
  <si>
    <t>Soybean oil--</t>
  </si>
  <si>
    <t>Million metric tons</t>
  </si>
  <si>
    <t>Major</t>
  </si>
  <si>
    <t>2/</t>
  </si>
  <si>
    <t>importers</t>
  </si>
  <si>
    <t>World</t>
  </si>
  <si>
    <t>4/</t>
  </si>
  <si>
    <t xml:space="preserve">   Year</t>
  </si>
  <si>
    <t>-----------1,000 acres--------</t>
  </si>
  <si>
    <t>1/</t>
  </si>
  <si>
    <t>Other</t>
  </si>
  <si>
    <t>Average,</t>
  </si>
  <si>
    <t>Memphis</t>
  </si>
  <si>
    <t>---------Million pounds---------</t>
  </si>
  <si>
    <t>Valley</t>
  </si>
  <si>
    <t>Points</t>
  </si>
  <si>
    <t>crude</t>
  </si>
  <si>
    <t xml:space="preserve"> Production</t>
  </si>
  <si>
    <t>--------1,000 acres----------</t>
  </si>
  <si>
    <t xml:space="preserve">   Disappearance</t>
  </si>
  <si>
    <t xml:space="preserve">      Imports</t>
  </si>
  <si>
    <t>Non-oil</t>
  </si>
  <si>
    <t>use +</t>
  </si>
  <si>
    <t>seed</t>
  </si>
  <si>
    <t xml:space="preserve">Year </t>
  </si>
  <si>
    <t xml:space="preserve">beginning </t>
  </si>
  <si>
    <t>protein</t>
  </si>
  <si>
    <t>N.A.</t>
  </si>
  <si>
    <t xml:space="preserve">     Total</t>
  </si>
  <si>
    <t xml:space="preserve">     Ending</t>
  </si>
  <si>
    <t>June 1</t>
  </si>
  <si>
    <t xml:space="preserve"> stocks</t>
  </si>
  <si>
    <t xml:space="preserve">     stocks</t>
  </si>
  <si>
    <t>$/cwt</t>
  </si>
  <si>
    <t xml:space="preserve">1998 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</si>
  <si>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</si>
  <si>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</si>
  <si>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</si>
  <si>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</si>
  <si>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</si>
  <si>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</si>
  <si>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</si>
  <si>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</si>
  <si>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</si>
  <si>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 xml:space="preserve"> ---------- Million pounds ----------</t>
  </si>
  <si>
    <t xml:space="preserve">Total </t>
  </si>
  <si>
    <t>foreign</t>
  </si>
  <si>
    <t>Midwest</t>
  </si>
  <si>
    <t>$/short ton</t>
  </si>
  <si>
    <t xml:space="preserve">    Item                                     </t>
  </si>
  <si>
    <t>Oilseeds:</t>
  </si>
  <si>
    <t xml:space="preserve">  Received by farmers, U.S.</t>
  </si>
  <si>
    <t xml:space="preserve">    Cottonseed</t>
  </si>
  <si>
    <t xml:space="preserve">    Flaxseed</t>
  </si>
  <si>
    <t xml:space="preserve">  $/bu.</t>
  </si>
  <si>
    <t xml:space="preserve">    Peanuts</t>
  </si>
  <si>
    <t xml:space="preserve"> Ct./lb.</t>
  </si>
  <si>
    <t xml:space="preserve">    Soybeans</t>
  </si>
  <si>
    <t xml:space="preserve">  $/cwt</t>
  </si>
  <si>
    <t>Fats and oils:</t>
  </si>
  <si>
    <t xml:space="preserve">  Wholesale</t>
  </si>
  <si>
    <t xml:space="preserve">    Coconut oil, crude, tank cars, N.Y.</t>
  </si>
  <si>
    <t xml:space="preserve">    "</t>
  </si>
  <si>
    <t xml:space="preserve">    Corn oil, crude, tank cars, wet/dry mill Chicago.</t>
  </si>
  <si>
    <t xml:space="preserve">    Cottonseed oil, PBSY, Greenwood, MS</t>
  </si>
  <si>
    <t xml:space="preserve">    Palm oil, refined, c.i.f., bulk, U.S. ports</t>
  </si>
  <si>
    <t xml:space="preserve">    Peanut oil, crude, tank cars f.o.b. Southeastern mills</t>
  </si>
  <si>
    <t xml:space="preserve">    Soybean oil, crude, tank cars, f.o.b. Decatur</t>
  </si>
  <si>
    <t xml:space="preserve">    Sunflower oil, crude Minneapolis</t>
  </si>
  <si>
    <t>Oilmeals:</t>
  </si>
  <si>
    <t xml:space="preserve">    Cottonseed meal, 41 percent protein, solvent, Memphis</t>
  </si>
  <si>
    <t>1982=100</t>
  </si>
  <si>
    <t xml:space="preserve">  Group by origin:</t>
  </si>
  <si>
    <t xml:space="preserve">    Animal fats</t>
  </si>
  <si>
    <t xml:space="preserve">  Group by use:</t>
  </si>
  <si>
    <t>Unit</t>
  </si>
  <si>
    <t xml:space="preserve">      N.A.</t>
  </si>
  <si>
    <t>Calendar</t>
  </si>
  <si>
    <t xml:space="preserve">  year</t>
  </si>
  <si>
    <t>Per</t>
  </si>
  <si>
    <t>capita</t>
  </si>
  <si>
    <t xml:space="preserve">Butter  </t>
  </si>
  <si>
    <t>(actual weight)</t>
  </si>
  <si>
    <t>All food products</t>
  </si>
  <si>
    <t>Other edible</t>
  </si>
  <si>
    <t>uses 2/</t>
  </si>
  <si>
    <t>Salad or</t>
  </si>
  <si>
    <t>cooking oils</t>
  </si>
  <si>
    <t>frying fats</t>
  </si>
  <si>
    <t xml:space="preserve">Baking or </t>
  </si>
  <si>
    <t>Lard 2/</t>
  </si>
  <si>
    <t>Tallow  1/</t>
  </si>
  <si>
    <t>Margarine</t>
  </si>
  <si>
    <t>Fatty</t>
  </si>
  <si>
    <t>acids</t>
  </si>
  <si>
    <t>Animal</t>
  </si>
  <si>
    <t>feeds</t>
  </si>
  <si>
    <t>Soap</t>
  </si>
  <si>
    <t>Paint</t>
  </si>
  <si>
    <t>varnish</t>
  </si>
  <si>
    <t>Resins</t>
  </si>
  <si>
    <t>plastics</t>
  </si>
  <si>
    <t>Lubricants</t>
  </si>
  <si>
    <t>similar oils</t>
  </si>
  <si>
    <t>inedible</t>
  </si>
  <si>
    <t>products</t>
  </si>
  <si>
    <t>Stocks</t>
  </si>
  <si>
    <t>Jan. 1</t>
  </si>
  <si>
    <t>Per capita</t>
  </si>
  <si>
    <t>Imports 1/</t>
  </si>
  <si>
    <t>Stocks Jan. 1</t>
  </si>
  <si>
    <t>Cottonseed</t>
  </si>
  <si>
    <t>rapeseed</t>
  </si>
  <si>
    <t>Corn oil</t>
  </si>
  <si>
    <t xml:space="preserve">  year </t>
  </si>
  <si>
    <t xml:space="preserve">Calendar </t>
  </si>
  <si>
    <t>disappear-</t>
  </si>
  <si>
    <t>Item</t>
  </si>
  <si>
    <t xml:space="preserve">  Soybeans</t>
  </si>
  <si>
    <t xml:space="preserve">  Peanuts</t>
  </si>
  <si>
    <t xml:space="preserve">  Sunflowerseed</t>
  </si>
  <si>
    <t xml:space="preserve">  Rapeseed</t>
  </si>
  <si>
    <t xml:space="preserve">  Copra</t>
  </si>
  <si>
    <t>Direct</t>
  </si>
  <si>
    <t>ance</t>
  </si>
  <si>
    <t>domestic</t>
  </si>
  <si>
    <t>Price  1/</t>
  </si>
  <si>
    <t>Corn</t>
  </si>
  <si>
    <t>Animal fats 1/</t>
  </si>
  <si>
    <t xml:space="preserve">                   D</t>
  </si>
  <si>
    <t xml:space="preserve">                    D</t>
  </si>
  <si>
    <t xml:space="preserve">          ---</t>
  </si>
  <si>
    <t>Palm</t>
  </si>
  <si>
    <t>Lard</t>
  </si>
  <si>
    <t>Edible tallow</t>
  </si>
  <si>
    <t xml:space="preserve">              D</t>
  </si>
  <si>
    <t>Peanut</t>
  </si>
  <si>
    <t>Edible</t>
  </si>
  <si>
    <t>Olive</t>
  </si>
  <si>
    <t xml:space="preserve">  Supply</t>
  </si>
  <si>
    <t>Vegetable</t>
  </si>
  <si>
    <t>fat</t>
  </si>
  <si>
    <t>supply</t>
  </si>
  <si>
    <t>Export and</t>
  </si>
  <si>
    <t xml:space="preserve">  year      </t>
  </si>
  <si>
    <t xml:space="preserve">  1/  Creamery, Grade A wholesale, bulk, carlots, Chicago.  </t>
  </si>
  <si>
    <t>shipments</t>
  </si>
  <si>
    <t>2000/01</t>
  </si>
  <si>
    <t xml:space="preserve">  Olive</t>
  </si>
  <si>
    <t xml:space="preserve">  Palm Kernel</t>
  </si>
  <si>
    <t xml:space="preserve">  Fish</t>
  </si>
  <si>
    <t xml:space="preserve">2000/01  </t>
  </si>
  <si>
    <t xml:space="preserve">    Linseed meal, 34 percent protein, Minneapolis</t>
  </si>
  <si>
    <t xml:space="preserve">    Soybean meal, High protein, Decatur</t>
  </si>
  <si>
    <t>1/ Data based on local marketing years except for Argentina and Brazil, which are adjusted to an October-September year.  2/ Major exporters include Brazil, Argentina,</t>
  </si>
  <si>
    <t>2001/02</t>
  </si>
  <si>
    <t>Government Support</t>
  </si>
  <si>
    <t>Loan rate 4/</t>
  </si>
  <si>
    <t>2000</t>
  </si>
  <si>
    <t>Pounds/acre</t>
  </si>
  <si>
    <t>August</t>
  </si>
  <si>
    <t>food use</t>
  </si>
  <si>
    <t>(direct food use)</t>
  </si>
  <si>
    <t>Soybean hulls</t>
  </si>
  <si>
    <t xml:space="preserve">  1/ Crude, tanks, f.o.b. central Illinois.  2/ 44 percent (solvent), Decatur, based on Sept.- Aug. year.  Beginning 2001/02, 48 percent solvent.</t>
  </si>
  <si>
    <t xml:space="preserve">  2/ 44 percent (solvent), Decatur, based on Sept.- Aug. year.  Beginning 2001/02, 48 percent solvent.</t>
  </si>
  <si>
    <t>meal + hulls</t>
  </si>
  <si>
    <t>Price 3/</t>
  </si>
  <si>
    <t>2002/03</t>
  </si>
  <si>
    <t xml:space="preserve"> Total </t>
  </si>
  <si>
    <t>---------1,000 short tons---------</t>
  </si>
  <si>
    <t xml:space="preserve"> ---------- 1,000 short tons ----------</t>
  </si>
  <si>
    <t xml:space="preserve">    Canola oil, Midwest</t>
  </si>
  <si>
    <t xml:space="preserve">    Canola meal, 36 percent protein, Pacific NW</t>
  </si>
  <si>
    <t xml:space="preserve">    Tallow, edible, number 1, delivered, Chicago</t>
  </si>
  <si>
    <t>Pacific NW</t>
  </si>
  <si>
    <t xml:space="preserve">    Lard, loose, delivered, Chicago</t>
  </si>
  <si>
    <t xml:space="preserve">  Corn </t>
  </si>
  <si>
    <t>2003/04</t>
  </si>
  <si>
    <t xml:space="preserve">2003/04  </t>
  </si>
  <si>
    <t xml:space="preserve">  Sesame</t>
  </si>
  <si>
    <t>2004/05</t>
  </si>
  <si>
    <t>1/ Total supply includes imports.  2/ Forecast.</t>
  </si>
  <si>
    <t>1/ Includes millfeed (hull meal).  2/  Forecast.</t>
  </si>
  <si>
    <t xml:space="preserve">  1/   Forecast.</t>
  </si>
  <si>
    <t xml:space="preserve">  1/  Forecast.</t>
  </si>
  <si>
    <t xml:space="preserve">  N.A. = Not available.  1/ Total supply includes imports.  2/  Forecast.  </t>
  </si>
  <si>
    <t>Total  1/</t>
  </si>
  <si>
    <t>Consumption</t>
  </si>
  <si>
    <t xml:space="preserve">  1/ Preliminary.  2/ Forecast.</t>
  </si>
  <si>
    <t>Oil-type</t>
  </si>
  <si>
    <t>Non oil-type</t>
  </si>
  <si>
    <t>All types</t>
  </si>
  <si>
    <t>Lbs/acre</t>
  </si>
  <si>
    <t>$1,000</t>
  </si>
  <si>
    <t xml:space="preserve">1/ Forecast. </t>
  </si>
  <si>
    <t>1/  Forecast.</t>
  </si>
  <si>
    <t xml:space="preserve">    Total</t>
  </si>
  <si>
    <t>2001 2/</t>
  </si>
  <si>
    <t>2002 2/</t>
  </si>
  <si>
    <t>2000 2/</t>
  </si>
  <si>
    <t>2001 1/</t>
  </si>
  <si>
    <t>2002 1/</t>
  </si>
  <si>
    <t>2000 3/</t>
  </si>
  <si>
    <t>2001 3/</t>
  </si>
  <si>
    <t>2002 3/</t>
  </si>
  <si>
    <t>1/ Estimated.</t>
  </si>
  <si>
    <t>2005/06</t>
  </si>
  <si>
    <t>2004</t>
  </si>
  <si>
    <t xml:space="preserve"> 1/ Estimated. </t>
  </si>
  <si>
    <t xml:space="preserve">    Inedible fats and oils</t>
  </si>
  <si>
    <t xml:space="preserve">    Margarine</t>
  </si>
  <si>
    <t xml:space="preserve">   Total stocks</t>
  </si>
  <si>
    <t xml:space="preserve">   Total imports</t>
  </si>
  <si>
    <t xml:space="preserve">   Total production</t>
  </si>
  <si>
    <t xml:space="preserve">   Total exports</t>
  </si>
  <si>
    <t xml:space="preserve">   Total disappearance</t>
  </si>
  <si>
    <t xml:space="preserve">which have been revised from previous publications with a lower yield per hog conversion rate. </t>
  </si>
  <si>
    <t xml:space="preserve">  Peanut 2/</t>
  </si>
  <si>
    <t>------------------------------------------------------Million pounds------------------------------------------------------</t>
  </si>
  <si>
    <t xml:space="preserve"> 1/ Loose, average wholesale, tanks, Chicago. 2/ Census Bureau ended publication of lard production in July 1989.  ERS estimates after 1989, </t>
  </si>
  <si>
    <t xml:space="preserve">     World less United States</t>
  </si>
  <si>
    <t>2006/07</t>
  </si>
  <si>
    <t xml:space="preserve">2005/06 </t>
  </si>
  <si>
    <t>D</t>
  </si>
  <si>
    <t xml:space="preserve">    Canola</t>
  </si>
  <si>
    <t xml:space="preserve">Methyl </t>
  </si>
  <si>
    <t>esters</t>
  </si>
  <si>
    <t>NA</t>
  </si>
  <si>
    <t>2007/08</t>
  </si>
  <si>
    <t xml:space="preserve">    Soybeans, Louisiana Gulf, No.1 yellow</t>
  </si>
  <si>
    <t xml:space="preserve">    Soybeans, Central Illinois, No. 1 yellow</t>
  </si>
  <si>
    <t xml:space="preserve">    Canola, Velva ND</t>
  </si>
  <si>
    <t xml:space="preserve">    Cottonseed, Memphis TN</t>
  </si>
  <si>
    <t xml:space="preserve">  Cash prices at terminal markets</t>
  </si>
  <si>
    <t xml:space="preserve">    Sunflowerseed, Enderlin ND, Nu-Sun</t>
  </si>
  <si>
    <t>2008/09</t>
  </si>
  <si>
    <r>
      <t>Methyl ester</t>
    </r>
    <r>
      <rPr>
        <vertAlign val="superscript"/>
        <sz val="8"/>
        <rFont val="Helvetica"/>
        <family val="2"/>
      </rPr>
      <t>1</t>
    </r>
  </si>
  <si>
    <t xml:space="preserve">2007/08 </t>
  </si>
  <si>
    <t xml:space="preserve">    Flaxseed, Minneapolis</t>
  </si>
  <si>
    <t>Bureau of Labor Statistics Producer Price Indexes:</t>
  </si>
  <si>
    <t xml:space="preserve">    Sunflower meal, 34 percent protein, North Dakota-Minnesota</t>
  </si>
  <si>
    <t>2009/10</t>
  </si>
  <si>
    <t>2000 1/</t>
  </si>
  <si>
    <t>Biodiesel: FOB Iowa, B100 (Soy methyl ester)</t>
  </si>
  <si>
    <t xml:space="preserve">  $/gallon</t>
  </si>
  <si>
    <t>2010/11</t>
  </si>
  <si>
    <t xml:space="preserve">2009/10 </t>
  </si>
  <si>
    <t>2010 4/</t>
  </si>
  <si>
    <t xml:space="preserve">    Yellow grease, rail, Minneapolis</t>
  </si>
  <si>
    <t xml:space="preserve">    Palm kernel oil, refined, c.i.f., bulk, U.S. ports</t>
  </si>
  <si>
    <t xml:space="preserve">2010/11 </t>
  </si>
  <si>
    <t>2011/12</t>
  </si>
  <si>
    <r>
      <t xml:space="preserve">Sources:  USDA, Economic Research Service estimates and USDA, Agricultural Marketing Service, </t>
    </r>
    <r>
      <rPr>
        <i/>
        <sz val="8"/>
        <rFont val="Helvetica"/>
        <family val="2"/>
      </rPr>
      <t>National Monthly Feedstuff Prices</t>
    </r>
  </si>
  <si>
    <r>
      <t xml:space="preserve">Sources:  USDA, Economic Research Service estimates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 xml:space="preserve"> and Reuters.</t>
    </r>
  </si>
  <si>
    <r>
      <t xml:space="preserve"> </t>
    </r>
    <r>
      <rPr>
        <i/>
        <sz val="8"/>
        <rFont val="Helvetica"/>
        <family val="2"/>
      </rPr>
      <t>Peanut Stocks and Processors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</si>
  <si>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 Economic Research Service estimates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 xml:space="preserve"> and </t>
    </r>
  </si>
  <si>
    <r>
      <t xml:space="preserve">USDA, Agricultural Marketing Service, </t>
    </r>
    <r>
      <rPr>
        <i/>
        <sz val="8"/>
        <rFont val="Helvetica"/>
        <family val="2"/>
      </rPr>
      <t>Tallow, Protein, and Hide Report</t>
    </r>
    <r>
      <rPr>
        <sz val="8"/>
        <rFont val="Helvetica"/>
        <family val="2"/>
      </rPr>
      <t xml:space="preserve"> and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</si>
  <si>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t xml:space="preserve">1/  Area planted for all peanuts.  2/  Area harvested peanuts  for nuts. 3/  Crop value is peanuts for nuts. Prior to 2002, includes both quota </t>
  </si>
  <si>
    <t>and nonquota peanuts.  4/  Loan rate established by the 2002 Farm Act. 5/ Forecast.  N.A.= Not applicable.</t>
  </si>
  <si>
    <t>1/ Estimates for farm use and local sales are not available, so these are now included in residual  use.  2/ Forecast</t>
  </si>
  <si>
    <t>1/  Includes planting seed and residual.  2/ Forecast.</t>
  </si>
  <si>
    <t>Notes:   N.A. = Not available.</t>
  </si>
  <si>
    <t xml:space="preserve">    Peanut butter</t>
  </si>
  <si>
    <t>1991=100</t>
  </si>
  <si>
    <t>2012/13</t>
  </si>
  <si>
    <t>Seed, feed,</t>
  </si>
  <si>
    <t>and residual</t>
  </si>
  <si>
    <t>Sep.-Nov.</t>
  </si>
  <si>
    <t>Dec.-Feb.</t>
  </si>
  <si>
    <t>---</t>
  </si>
  <si>
    <t>Mar.-May</t>
  </si>
  <si>
    <t>June-Aug.</t>
  </si>
  <si>
    <t xml:space="preserve">Dec.-Feb. </t>
  </si>
  <si>
    <t xml:space="preserve">Sep.-Nov. </t>
  </si>
  <si>
    <t xml:space="preserve">    Total </t>
  </si>
  <si>
    <t xml:space="preserve">2011/12 </t>
  </si>
  <si>
    <t xml:space="preserve">    Shortening and cooking oils</t>
  </si>
  <si>
    <t>Million bushels</t>
  </si>
  <si>
    <t>$/bushel</t>
  </si>
  <si>
    <t>Cents/pound</t>
  </si>
  <si>
    <t>Million lbs.</t>
  </si>
  <si>
    <t>Lbs./acre</t>
  </si>
  <si>
    <t>$/cwt.</t>
  </si>
  <si>
    <t>October  1</t>
  </si>
  <si>
    <t>$/pound</t>
  </si>
  <si>
    <t>Table 34--Fats and oils:  Domestic consumption in food products, U.S., 1980-2010</t>
  </si>
  <si>
    <t>Table 35--Fats and oils:  Use for selected industrial products, U.S., 1980-2010</t>
  </si>
  <si>
    <t>Table 36--Salad and cooking oils:  Supply and disappearance, U.S., 1980-2010</t>
  </si>
  <si>
    <t>Table 37--Salad and cooking oils:  Fats and oils used in manufacturing, U.S., 1980-2010</t>
  </si>
  <si>
    <t>Table 38--Baking and frying fats:  Supply and disappearance, U.S., 1980-2010</t>
  </si>
  <si>
    <t>Table 39--Baking and frying fats:  Fats and oils used in manufacturing, U.S., 1980-2010</t>
  </si>
  <si>
    <t>Table 40--Margarine (actual weight):  Supply and disappearance, U.S., 1980-2010</t>
  </si>
  <si>
    <t>Table 41--Margarine:  Fats and oils used in manufacturing, U.S., 1980-2010</t>
  </si>
  <si>
    <t>Loan rate</t>
  </si>
  <si>
    <t>N.A.= Not authorized.</t>
  </si>
  <si>
    <t xml:space="preserve">    Distillers corn oil, inedible, FOB Eastern Corn Belt.</t>
  </si>
  <si>
    <t>Production 2/</t>
  </si>
  <si>
    <t>East Corn Belt</t>
  </si>
  <si>
    <t>Inedible distillers</t>
  </si>
  <si>
    <t>2013/14</t>
  </si>
  <si>
    <t xml:space="preserve">2012/13 </t>
  </si>
  <si>
    <t xml:space="preserve">    Corn oil, edible, crude, tank cars, wet/dry mill Chicago.</t>
  </si>
  <si>
    <t>Methyl ester</t>
  </si>
  <si>
    <t>1/ A marketing loan program replaced the nonrecourse loan of previous years beginning with the 1991 crop.  Effective marketing loan value is $4.92</t>
  </si>
  <si>
    <t xml:space="preserve"> ($5.02 less 2-percent origination fee)  for crop years 1991-1993.  2/ Forecast.</t>
  </si>
  <si>
    <t>Last updated: March 16, 2012</t>
  </si>
  <si>
    <t xml:space="preserve">Updates of this data, and data covering more years and countries, can be found at </t>
  </si>
  <si>
    <t>http://www.ers.usda.gov/data-products/oil-crops-yearbook.aspx</t>
  </si>
  <si>
    <t>U.S. Soybeans and Soybean Products Supply and Disappearance--annual</t>
  </si>
  <si>
    <t>U.S. Soybeans and Soybean Products Supply and Disappearance--crop year quarter and month</t>
  </si>
  <si>
    <t>U.S. Edible Oils and Fats Supply and Disappearance--annual</t>
  </si>
  <si>
    <t>U.S. Fats and oils Domestic consumption--annual</t>
  </si>
  <si>
    <t>Domestic Prices--monthly</t>
  </si>
  <si>
    <t>U.S. Corn oil Supply and Disappearance and Price--annual</t>
  </si>
  <si>
    <t>Exports and Imports--annual</t>
  </si>
  <si>
    <t>World Production, Supply, and Disappearance--annual</t>
  </si>
  <si>
    <t>U.S. Flaxseed and Flaxseed Products--annual</t>
  </si>
  <si>
    <t>U.S. Canola Seed and Canola Products--annual</t>
  </si>
  <si>
    <t>U.S. Sunflowerseed and Sunflowerseed Products--annual</t>
  </si>
  <si>
    <t>U.S. Cottonseed and Cottonseed Products--annual</t>
  </si>
  <si>
    <t>Peanut Acreage, Production, Yield, by State and region--annual</t>
  </si>
  <si>
    <t>U.S. Peanut Acreage, Production, Yield, and Farm Price--annual</t>
  </si>
  <si>
    <t>U.S. Soybeans and Soybean Products Price spreads--monthly</t>
  </si>
  <si>
    <t>U.S. Soybean Stocks--quarterly</t>
  </si>
  <si>
    <t>N.A.=Not applicable.</t>
  </si>
  <si>
    <t>Nonquota</t>
  </si>
  <si>
    <t>1/  Total supply includes imports.  2/ Forecast.  NA= Not available.</t>
  </si>
  <si>
    <r>
      <t xml:space="preserve">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</si>
  <si>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 xml:space="preserve">            D</t>
  </si>
  <si>
    <t>34-percent</t>
  </si>
  <si>
    <t>2014/15</t>
  </si>
  <si>
    <t xml:space="preserve">2013/14  </t>
  </si>
  <si>
    <t xml:space="preserve">2013/14 </t>
  </si>
  <si>
    <t>2015/16</t>
  </si>
  <si>
    <t xml:space="preserve">2014/15 </t>
  </si>
  <si>
    <t xml:space="preserve">      N.A</t>
  </si>
  <si>
    <t>2016/17</t>
  </si>
  <si>
    <t xml:space="preserve">July </t>
  </si>
  <si>
    <t xml:space="preserve"> 1/ Includes millfeed (hull meal) and soy flour. Note: Monthly production data not available for 2011/12-2014-15.</t>
  </si>
  <si>
    <t>1 Prior to January 2006, methyl ester consumption based on quarterly data from the CCC Bioenergy Program. Note: Monthly production data not available for 2011/12-2014-15.</t>
  </si>
  <si>
    <t xml:space="preserve">  3/ Central Illinois, bulk.  Note: Monthly production data not available for 2011/12-2014-15.</t>
  </si>
  <si>
    <t>Total 2/</t>
  </si>
  <si>
    <t>1/ Includes Mississippi. 2/ Includes Arkansas.</t>
  </si>
  <si>
    <t xml:space="preserve">2015/16 </t>
  </si>
  <si>
    <t>2016/17  1/</t>
  </si>
  <si>
    <t>Global Agricultural Trade System.</t>
  </si>
  <si>
    <t xml:space="preserve">    Sunflowerseed--All types</t>
  </si>
  <si>
    <t xml:space="preserve">    Sunflowerseed--Oil-type</t>
  </si>
  <si>
    <t xml:space="preserve">    Sunflowerseed--Nonoil type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</si>
  <si>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</si>
  <si>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 xml:space="preserve"> and USDA,</t>
    </r>
  </si>
  <si>
    <t xml:space="preserve"> Farm Service Agency, Nonrecourse Marketing Assistance Loans and Loan Deficiency Payments Fact Sheet. </t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</si>
  <si>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 xml:space="preserve"> and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</si>
  <si>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 xml:space="preserve"> Fats &amp; Oils: Oilseed Crushings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Agricultural Prices</t>
    </r>
    <r>
      <rPr>
        <sz val="8"/>
        <rFont val="Helvetica"/>
        <family val="2"/>
      </rPr>
      <t xml:space="preserve">,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</si>
  <si>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 xml:space="preserve">Sources: USDA, Economic Research Service using data from USDA, National Agricultural Statistics Service, Fats &amp; Oils: Oilseed Crushings, USDA, Agricultural </t>
  </si>
  <si>
    <r>
      <t xml:space="preserve">Marketing Service, National Monthly Feedstuff Prices,  </t>
    </r>
    <r>
      <rPr>
        <sz val="8"/>
        <rFont val="Helvetica"/>
        <family val="2"/>
      </rPr>
      <t>and USDA, Foreign Agricultural Service,</t>
    </r>
    <r>
      <rPr>
        <i/>
        <sz val="8"/>
        <rFont val="Helvetica"/>
        <family val="2"/>
      </rPr>
      <t xml:space="preserve"> Global Agricultural Trade Internet System</t>
    </r>
    <r>
      <rPr>
        <sz val="8"/>
        <rFont val="Helvetica"/>
        <family val="2"/>
      </rPr>
      <t>.</t>
    </r>
  </si>
  <si>
    <r>
      <t xml:space="preserve">Information Administration, </t>
    </r>
    <r>
      <rPr>
        <i/>
        <sz val="8"/>
        <rFont val="Helvetica"/>
        <family val="2"/>
      </rPr>
      <t>Monthly Biodiesel Production Report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</si>
  <si>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, </t>
    </r>
  </si>
  <si>
    <r>
      <rPr>
        <sz val="8"/>
        <rFont val="Helvetica"/>
        <family val="2"/>
      </rPr>
      <t>USDA, Agricultural Marketing Service,</t>
    </r>
    <r>
      <rPr>
        <i/>
        <sz val="8"/>
        <rFont val="Helvetica"/>
        <family val="2"/>
      </rPr>
      <t xml:space="preserve"> National Monthly Feedstuff Prices, and </t>
    </r>
    <r>
      <rPr>
        <sz val="8"/>
        <rFont val="Helvetica"/>
        <family val="2"/>
      </rPr>
      <t>USDA, Foreign Agricultural Service,</t>
    </r>
    <r>
      <rPr>
        <i/>
        <sz val="8"/>
        <rFont val="Helvetica"/>
        <family val="2"/>
      </rPr>
      <t xml:space="preserve"> Global Agricultural Trade System,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 xml:space="preserve">Energy </t>
    </r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</si>
  <si>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</t>
    </r>
  </si>
  <si>
    <t>Foreign Agricultural Service, Global Agricultural Trade System.</t>
  </si>
  <si>
    <t>USDA, Foreign Agricultural Service, Global Agricultural Trade System.</t>
  </si>
  <si>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>.</t>
    </r>
  </si>
  <si>
    <r>
      <t xml:space="preserve">Sources: 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USDA, Agricultural Marketing Service, </t>
    </r>
    <r>
      <rPr>
        <i/>
        <sz val="8"/>
        <rFont val="Helvetica"/>
        <family val="2"/>
      </rPr>
      <t/>
    </r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</si>
  <si>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 xml:space="preserve">Crop Production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Crop Values </t>
    </r>
  </si>
  <si>
    <r>
      <t xml:space="preserve">and  USDA, Farm Service Agency, </t>
    </r>
    <r>
      <rPr>
        <i/>
        <sz val="8"/>
        <rFont val="Helvetica"/>
        <family val="2"/>
      </rPr>
      <t>Nonrecourse Marketing Assistance Loans and Loan Deficiency Payments Fact Sheet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</si>
  <si>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</si>
  <si>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Peanut Stocks and Processing</t>
    </r>
    <r>
      <rPr>
        <sz val="8"/>
        <rFont val="Helvetica"/>
        <family val="2"/>
      </rPr>
      <t xml:space="preserve"> and Agricultural Prices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</si>
  <si>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>.</t>
    </r>
  </si>
  <si>
    <r>
      <t>Sources: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</si>
  <si>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r>
      <t>Sources: 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Agricultural Prices and</t>
    </r>
    <r>
      <rPr>
        <i/>
        <sz val="8"/>
        <rFont val="Helvetica"/>
        <family val="2"/>
      </rPr>
      <t/>
    </r>
  </si>
  <si>
    <r>
      <t xml:space="preserve"> </t>
    </r>
    <r>
      <rPr>
        <i/>
        <sz val="8"/>
        <rFont val="Helvetica"/>
        <family val="2"/>
      </rPr>
      <t>Oilseed Crushings, Production, Consumption and Stocks</t>
    </r>
    <r>
      <rPr>
        <sz val="8"/>
        <rFont val="Helvetica"/>
        <family val="2"/>
      </rPr>
      <t xml:space="preserve"> and USDA, Foreign Agricultural Service, Global Agricultural Trade System.</t>
    </r>
  </si>
  <si>
    <r>
      <t xml:space="preserve">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</si>
  <si>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USDA, Economic Research Service using data from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USDA, National Agricultural Statistics Service,</t>
    </r>
    <r>
      <rPr>
        <i/>
        <sz val="8"/>
        <rFont val="Helvetica"/>
        <family val="2"/>
      </rPr>
      <t xml:space="preserve">  Oilseed Crushings, Production, Consumption and Stocks </t>
    </r>
  </si>
  <si>
    <r>
      <t>Sources: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</si>
  <si>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</si>
  <si>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Agricultural Prices and </t>
    </r>
    <r>
      <rPr>
        <sz val="8"/>
        <rFont val="Helvetica"/>
        <family val="2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/>
    </r>
  </si>
  <si>
    <r>
      <t xml:space="preserve">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 xml:space="preserve"> and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</si>
  <si>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</si>
  <si>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r>
      <t xml:space="preserve">Source: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</si>
  <si>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r>
      <t xml:space="preserve">Source: USDA, Economic Research Service using data from USDA, World Agricultural Outlook Board,  </t>
    </r>
    <r>
      <rPr>
        <i/>
        <sz val="8"/>
        <rFont val="Helvetica"/>
        <family val="2"/>
      </rPr>
      <t>World  Agricultural Supply and Demand Estimates</t>
    </r>
    <r>
      <rPr>
        <sz val="8"/>
        <rFont val="Helvetica"/>
        <family val="2"/>
      </rPr>
      <t>.</t>
    </r>
  </si>
  <si>
    <t>Source: USDA, Economic Research Service using data from USDA, Foreign Agricultural Service,</t>
  </si>
  <si>
    <t xml:space="preserve">  Oilseeds: World Markets and Trade.</t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</si>
  <si>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Foreign Agricultural Service, </t>
    </r>
  </si>
  <si>
    <r>
      <t xml:space="preserve">Sources:  USDA, Economic Research Service using data from USDA, National Agricultural Statistics Service,  </t>
    </r>
    <r>
      <rPr>
        <i/>
        <sz val="8"/>
        <rFont val="Helvetica"/>
        <family val="2"/>
      </rPr>
      <t xml:space="preserve">Oilseed Crushings, Production, Consumption </t>
    </r>
  </si>
  <si>
    <r>
      <t xml:space="preserve">and </t>
    </r>
    <r>
      <rPr>
        <i/>
        <sz val="8"/>
        <rFont val="Helvetica"/>
        <family val="2"/>
      </rPr>
      <t>Stocks</t>
    </r>
    <r>
      <rPr>
        <sz val="8"/>
        <rFont val="Helvetica"/>
        <family val="2"/>
      </rPr>
      <t xml:space="preserve"> and USDA, Foreign Agricultural Service, Global Agricultural Trade System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</si>
  <si>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 xml:space="preserve">,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</si>
  <si>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Agricultural Prices</t>
    </r>
    <r>
      <rPr>
        <sz val="8"/>
        <rFont val="Helvetica"/>
        <family val="2"/>
      </rPr>
      <t xml:space="preserve">, USDA, Foreign Agricultural Service, Global Agricultural Trade System, and Farm Service Agency,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</si>
  <si>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Nonrecourse Marketing Assistance Loans and Loan Deficiency Payments Fact Sheet</t>
    </r>
    <r>
      <rPr>
        <sz val="8"/>
        <rFont val="Helvetica"/>
        <family val="2"/>
      </rPr>
      <t>, and National Sunflower Association.</t>
    </r>
  </si>
  <si>
    <t>Sources: USDA, Economic Research Service using data from USDA, Economic Research Service estimates and USDA, Agricultural Marketing Service,</t>
  </si>
  <si>
    <r>
      <t xml:space="preserve">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</si>
  <si>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USDA, Economic Research Service using data from USDA, Economic Research Service estimates and U.S. Census Bureau, Fats and Oils: </t>
    </r>
    <r>
      <rPr>
        <i/>
        <sz val="8"/>
        <rFont val="Helvetica"/>
        <family val="2"/>
      </rPr>
      <t>Consumption, Production,</t>
    </r>
  </si>
  <si>
    <r>
      <t xml:space="preserve"> </t>
    </r>
    <r>
      <rPr>
        <i/>
        <sz val="8"/>
        <rFont val="Helvetica"/>
        <family val="2"/>
      </rPr>
      <t>and Stocks</t>
    </r>
    <r>
      <rPr>
        <sz val="8"/>
        <rFont val="Helvetica"/>
        <family val="2"/>
      </rPr>
      <t xml:space="preserve"> 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</si>
  <si>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 </t>
    </r>
    <r>
      <rPr>
        <i/>
        <sz val="8"/>
        <rFont val="Helvetica"/>
        <family val="2"/>
      </rPr>
      <t xml:space="preserve">Crop Production, Grain Stocks,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Crop Values</t>
    </r>
    <r>
      <rPr>
        <sz val="8"/>
        <rFont val="Helvetica"/>
        <family val="2"/>
      </rPr>
      <t xml:space="preserve"> and USDA, Foreign Agricultural Service,</t>
    </r>
  </si>
  <si>
    <r>
      <t xml:space="preserve"> Global Agricultural Trade System, and Farm Service Agency, </t>
    </r>
    <r>
      <rPr>
        <i/>
        <sz val="8"/>
        <rFont val="Helvetica"/>
        <family val="2"/>
      </rPr>
      <t>Nonrecourse Marketing Assistance Loans and Loan Deficiency Payments Fact Sheet.</t>
    </r>
  </si>
  <si>
    <t xml:space="preserve">Sources: USDA, Economic Research Service using data from USDA, National Agricultural Statistics Service,  Oilseed Crushings, Production, Consumption and Stocks </t>
  </si>
  <si>
    <r>
      <t xml:space="preserve">and USDA, Economic Research Service estimates and USDA, Foreign Agricultural Service, </t>
    </r>
    <r>
      <rPr>
        <i/>
        <sz val="8"/>
        <rFont val="Helvetica"/>
        <family val="2"/>
      </rPr>
      <t xml:space="preserve">Global Agricultural Trade System </t>
    </r>
    <r>
      <rPr>
        <sz val="8"/>
        <rFont val="Helvetica"/>
        <family val="2"/>
      </rPr>
      <t xml:space="preserve">and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</si>
  <si>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Crop Production, Grain Stocks,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Agricultural Prices,</t>
    </r>
    <r>
      <rPr>
        <sz val="8"/>
        <rFont val="Helvetica"/>
        <family val="2"/>
      </rPr>
      <t xml:space="preserve"> </t>
    </r>
  </si>
  <si>
    <r>
      <t>Sources: USDA, Economic Research Service using data from USDA, National Agricultural Statistics Service, Grain</t>
    </r>
    <r>
      <rPr>
        <i/>
        <sz val="8"/>
        <rFont val="Helvetica"/>
        <family val="2"/>
      </rPr>
      <t xml:space="preserve"> Crushings </t>
    </r>
    <r>
      <rPr>
        <sz val="8"/>
        <rFont val="Helvetica"/>
        <family val="2"/>
      </rPr>
      <t xml:space="preserve">, and USDA, Economic Research Service estimates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</si>
  <si>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and USDA,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</si>
  <si>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</t>
    </r>
    <r>
      <rPr>
        <i/>
        <sz val="8"/>
        <rFont val="Helvetica"/>
        <family val="2"/>
      </rPr>
      <t/>
    </r>
  </si>
  <si>
    <r>
      <t>and USDA, Foreign Agricultural Service,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</si>
  <si>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and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</si>
  <si>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, and </t>
    </r>
  </si>
  <si>
    <r>
      <t xml:space="preserve">USDA, Agricultural Marketing Service, Tallow, Protein, and Hide Report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</si>
  <si>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>Season-average</t>
  </si>
  <si>
    <t xml:space="preserve">  1/ Forecast.  2/ Includes inedible distillers corn oil.  N.A. = Not available.</t>
  </si>
  <si>
    <r>
      <t xml:space="preserve">Sources:  USDA, Economic Research Service using data from </t>
    </r>
    <r>
      <rPr>
        <sz val="8"/>
        <rFont val="Helvetica"/>
        <family val="2"/>
      </rPr>
      <t>USDA</t>
    </r>
    <r>
      <rPr>
        <sz val="8"/>
        <rFont val="Helvetica"/>
        <family val="2"/>
      </rPr>
      <t xml:space="preserve">, National Agricultural Statistics Service, </t>
    </r>
    <r>
      <rPr>
        <i/>
        <sz val="8"/>
        <rFont val="Helvetica"/>
        <family val="2"/>
      </rPr>
      <t>Dairy Products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Cold Storage</t>
    </r>
    <r>
      <rPr>
        <sz val="8"/>
        <rFont val="Helvetica"/>
        <family val="2"/>
      </rPr>
      <t xml:space="preserve">,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</si>
  <si>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Dairy Products Prices</t>
    </r>
    <r>
      <rPr>
        <sz val="8"/>
        <rFont val="Helvetica"/>
        <family val="2"/>
      </rPr>
      <t xml:space="preserve"> and USDA, Foreign Agricultural Service, Global Agricultural Trade System</t>
    </r>
    <r>
      <rPr>
        <sz val="8"/>
        <rFont val="Helvetica"/>
        <family val="2"/>
      </rPr>
      <t>.</t>
    </r>
  </si>
  <si>
    <t>Food use</t>
  </si>
  <si>
    <t>per capita</t>
  </si>
  <si>
    <t>(shelled basis)</t>
  </si>
  <si>
    <r>
      <rPr>
        <i/>
        <sz val="8"/>
        <rFont val="Helvetica"/>
        <family val="2"/>
      </rPr>
      <t>and Stocks</t>
    </r>
    <r>
      <rPr>
        <sz val="8"/>
        <rFont val="Helvetica"/>
        <family val="2"/>
      </rPr>
      <t xml:space="preserve"> and USDA, Economic Research Service estimates 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</si>
  <si>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Oilseed Crushings, Production, Consumption </t>
    </r>
  </si>
  <si>
    <t xml:space="preserve"> Paraguay, and Uruguary for soybeans plus India for soybean meal and EU for soybean oil.  3/ EU, China, Japan, Mexico, Southeast Asia.  4/ World imports and exports </t>
  </si>
  <si>
    <t xml:space="preserve">will not balance because of differences in local marketing years and time lags between reported exports and imports. Therefore, world supply may not equal world use. </t>
  </si>
  <si>
    <t xml:space="preserve"> 5/ Estimated.  6/ Projected.</t>
  </si>
  <si>
    <t>2017/18</t>
  </si>
  <si>
    <t>2017 2/</t>
  </si>
  <si>
    <t>2017  2/</t>
  </si>
  <si>
    <t>2017  1/</t>
  </si>
  <si>
    <t>2017 5/</t>
  </si>
  <si>
    <t>2017/18  2/</t>
  </si>
  <si>
    <t>2017 1/</t>
  </si>
  <si>
    <t>2017/18  1/</t>
  </si>
  <si>
    <t>2017/18 2/</t>
  </si>
  <si>
    <t>2017/18 1/</t>
  </si>
  <si>
    <t xml:space="preserve">2016/17 </t>
  </si>
  <si>
    <t>2016/17  5/</t>
  </si>
  <si>
    <t>2017/18  6/</t>
  </si>
  <si>
    <t xml:space="preserve">2015/16  </t>
  </si>
  <si>
    <t>Created March 30, 2018</t>
  </si>
  <si>
    <t xml:space="preserve">Contacts: Mark Ash at mash@ers.usda.gov    </t>
  </si>
  <si>
    <t xml:space="preserve">and Mariana Matias at mariana.matias@ers.usda.gov   </t>
  </si>
  <si>
    <t>Table 31--Edible fats and oils: U.S. Supply and disappearance, 2004/05-2017/18</t>
  </si>
  <si>
    <t>Table 33--Prices:  Farm, wholesale, and index numbers of wholesale prices, by month, 2012-17</t>
  </si>
  <si>
    <t>Table 33--Prices:  Farm, wholesale, and index numbers of wholesale prices, by month, 2012-2017--Continued</t>
  </si>
  <si>
    <t>Last updated: March 30, 2018</t>
  </si>
  <si>
    <t xml:space="preserve"> 2017 1/</t>
  </si>
  <si>
    <t>Table 44--Edible tallow:  Supply, disappearance, and price, U.S., 1980-2017</t>
  </si>
  <si>
    <t>Table 43--Butter (actual weight):  Supply, disappearance, and price, U.S., 1980-2017</t>
  </si>
  <si>
    <t>Table 46--World oilseed supply and distribution, 2012/13-2017/18</t>
  </si>
  <si>
    <t>Table 47--World vegetable oils supply and distribution, 2012/13-2017/18</t>
  </si>
  <si>
    <t>Table 48--World protein meal supply and distribution, 2012/13-2017/18</t>
  </si>
  <si>
    <t>Table 1--Soybean stocks:  On-farm, off-farm, and total U.S., by quarter, 1999/00-2017/18</t>
  </si>
  <si>
    <t>Table 2--Soybeans:  Acreage planted, harvested, yield, production, value, and loan rate, U.S., 1960-2017</t>
  </si>
  <si>
    <t>Table 3--Soybeans:  Supply, disappearance, and price, U.S., 1980/81-2017/18</t>
  </si>
  <si>
    <t>Table 4--Soybean meal:  Supply, disappearance, and price, U.S., 1980/81-2017/18</t>
  </si>
  <si>
    <t>Table 5--Soybean oil:  Supply, disappearance, and price, U.S., 1980/81-2017/18</t>
  </si>
  <si>
    <t>Table 6--Soybeans: U.S. supply and disappearance, by crop year quarter, 2000/01-2017/18</t>
  </si>
  <si>
    <t>Table 7--Soybean meal:  Supply and disappearance, by month, U.S., 2007/08-2016/17</t>
  </si>
  <si>
    <t>Table 8--Soybean oil:  Supply and disappearance, by month, U.S., 2007/08-2016/17</t>
  </si>
  <si>
    <t>Table 9--Soybeans: Monthly value of products per bushel of soybeans processed, and spot price spread, U.S., 1990/91-2016/17</t>
  </si>
  <si>
    <t>Table 10--Peanuts:  Acreage planted, harvested, yield, production,  and  value, U.S., 1980-2017</t>
  </si>
  <si>
    <t>Table 11--Peanuts (farmers' stock basis):  Supply, disappearance, and price, U.S., 1980/81-2017/18</t>
  </si>
  <si>
    <t>Table 12--Peanuts:  Planted acreage, by State and region, 1980-2017</t>
  </si>
  <si>
    <t>Table 13--Peanuts:  Harvested acreage, by State and region, 1980-2017</t>
  </si>
  <si>
    <t>Table 14--Peanuts:  U.S. production, by State and region, 1980-2017</t>
  </si>
  <si>
    <t>Table 15--Peanuts:  Yield per harvested acre, by State and region, 1980-2017</t>
  </si>
  <si>
    <t>Table 16--Cottonseed:  Acreage planted, harvested, yield, production, and value, U.S., 1980-2017</t>
  </si>
  <si>
    <t>Table 17--Cottonseed:  Supply, disappearance, and price, U.S., 1980/81-2017/18</t>
  </si>
  <si>
    <t>Table 18--Cottonseed meal:  Supply, disappearance, and price, U.S., 1980/81-2017/18</t>
  </si>
  <si>
    <t>Table 19--Cottonseed oil:  Supply, disappearance, and price, U.S., 1980/81-2017/18</t>
  </si>
  <si>
    <t>Table 20--Sunflowerseed: Acreage planted, harvested, yield, production, and value, U.S., 1980-2017</t>
  </si>
  <si>
    <t>Table 21--Sunflowerseed:  Supply, disappearance, and price, U.S., 1980/81-2017/18</t>
  </si>
  <si>
    <t>Table 22--Sunflowerseed meal:  Supply, disappearance, and price, U.S., 1980/81-2017/18</t>
  </si>
  <si>
    <t>Table 23--Sunflowerseed oil:  Supply, disappearance, and price, U.S., 1980/81-2017/18</t>
  </si>
  <si>
    <t>Table 24--Canola seed:  Acreage planted, harvested, yield, supply, disappearance, and value, U.S., 1991/92-2017/18</t>
  </si>
  <si>
    <t>Table 25--Canola oil:  Supply and disappearance, U.S., 1991/92-2017/18</t>
  </si>
  <si>
    <t>Table 26--Canola meal:  Supply, disappearance and price, U.S., 1991/92-2017/18</t>
  </si>
  <si>
    <t>Table 27--Flaxseed:  Acreage planted, harvested, yield, production, and value, U.S., 1980-2017</t>
  </si>
  <si>
    <t>Table 28--Flaxseed: Supply, disappearance, and price, U.S., 1980/81-2017/18</t>
  </si>
  <si>
    <t>Table 29--Linseed meal:  Supply disappearance and price, U.S., 1980/81-2017/18</t>
  </si>
  <si>
    <t>Table 30--Linseed oil:  Supply, disappearance, and price, U.S., 1980/81-2017/18</t>
  </si>
  <si>
    <t>Table 32--Corn oil:  Supply, disappearance, and price, U.S., 1980/81-2017/18</t>
  </si>
  <si>
    <t>Table 42--Lard:  Supply, disappearance, and price, U.S., 1980-2017</t>
  </si>
  <si>
    <t>Table 45--Supply and use: Soybeans, soybean meal, and soybean oil, U.S., major foreign exporters, importers, and world, 2014/15-2017/18 1/</t>
  </si>
  <si>
    <t>Table 26--Canola meal:  Supply and disappearance, U.S., 1991/92-2017/18</t>
  </si>
  <si>
    <t>Table 31--Edible fats and oils: U.S. Supply and disappearance, 2003/04-2017/18</t>
  </si>
  <si>
    <t>Table 33--Prices:  Farm, wholesale, and index numbers of wholesale prices, by month, 2012-2017</t>
  </si>
  <si>
    <t>----------------------Cents/lb.----------------------</t>
  </si>
  <si>
    <t>-----------1,000 acres------------</t>
  </si>
  <si>
    <t>---------------------------------------------------------- Million pounds----------------------------------------------------------</t>
  </si>
  <si>
    <t>------1,000 acres--------</t>
  </si>
  <si>
    <t>-------------------------------------------------------------Million pounds---------------------------------------------------------------</t>
  </si>
  <si>
    <t>-------------------------------------------------------------------Million pounds-------------------------------------------------------------</t>
  </si>
  <si>
    <t>-------------Dollars-------------</t>
  </si>
  <si>
    <t>--------Dollars--------</t>
  </si>
  <si>
    <t>Dollars</t>
  </si>
  <si>
    <t>--------Percent---------</t>
  </si>
  <si>
    <t>9.00-9.60</t>
  </si>
  <si>
    <t>325-355</t>
  </si>
  <si>
    <t>30.00-33.00</t>
  </si>
  <si>
    <t>21.0-22.0</t>
  </si>
  <si>
    <t>17.0-18.0</t>
  </si>
  <si>
    <t>130-150</t>
  </si>
  <si>
    <t>250-280</t>
  </si>
  <si>
    <t>32.5-35.5</t>
  </si>
  <si>
    <t>160-190</t>
  </si>
  <si>
    <t>53.0-56.0</t>
  </si>
  <si>
    <t>36.5-39.5</t>
  </si>
  <si>
    <t>270-300</t>
  </si>
  <si>
    <t>220-250</t>
  </si>
  <si>
    <t>32.0-35.0</t>
  </si>
  <si>
    <t>24.0-27.0</t>
  </si>
  <si>
    <t>2001</t>
  </si>
  <si>
    <t>2002</t>
  </si>
  <si>
    <t>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</si>
  <si>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</si>
  <si>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</si>
  <si>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</si>
  <si>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</si>
  <si>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</si>
  <si>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</si>
  <si>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</si>
  <si>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</si>
  <si>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</si>
  <si>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</si>
  <si>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</si>
  <si>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</si>
  <si>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r>
      <t>USDA, Foreign Agricultural Service, Global Agricultural Trade System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and Farm Service Agency,</t>
    </r>
    <r>
      <rPr>
        <i/>
        <sz val="8"/>
        <rFont val="Helvetica"/>
        <family val="2"/>
      </rPr>
      <t xml:space="preserve"> Nonrecourse Marketing Assistance Loans and Loan Deficiency Payments </t>
    </r>
  </si>
  <si>
    <r>
      <rPr>
        <i/>
        <sz val="8"/>
        <rFont val="Helvetica"/>
        <family val="2"/>
      </rPr>
      <t>Fact Sheet</t>
    </r>
    <r>
      <rPr>
        <sz val="8"/>
        <rFont val="Helvetica"/>
        <family val="2"/>
      </rPr>
      <t>.</t>
    </r>
  </si>
  <si>
    <t>--------------------------------------------------Million pounds, rendered basis------------------------------------------------</t>
  </si>
  <si>
    <t>----------------------------------------------------------------Million pounds-----------------------------------------------------------</t>
  </si>
  <si>
    <t xml:space="preserve">  1/  Direct use is an ERS calculation.  2/ Factory use as a proxy for domestic consumption in other edible products. 3/ ERS estimates.</t>
  </si>
  <si>
    <t xml:space="preserve">1/ Total includes factory use in linoleum.  </t>
  </si>
  <si>
    <t xml:space="preserve">  1/ Import data in the table are revised to include olive oil and refined canola oil. 2/ ERS estimates. </t>
  </si>
  <si>
    <t xml:space="preserve">D = Withheld to avoid disclosing figures for individual companies.  1/ Includes quantities of other fats and oils.  </t>
  </si>
  <si>
    <t xml:space="preserve">1/ ERS estimates. </t>
  </si>
  <si>
    <t xml:space="preserve">  D = Data withheld by Census to avoid disclosure.  1/ Includes small quantities of other fats and oils.  </t>
  </si>
  <si>
    <t xml:space="preserve">  1/  ERS estimates.</t>
  </si>
  <si>
    <t xml:space="preserve">D =Data withheld by Census to avoid disclosure.  1/ Includes lard and edible tallow.  2/ Includes small quantities of other fats and oils. </t>
  </si>
  <si>
    <t xml:space="preserve">  N.A. = Not available.   1/ Loose, average wholesale, Chicago.  </t>
  </si>
  <si>
    <t xml:space="preserve">  1/  PBSY (Prime, bleachable, summer, yellow), basis Greenwood, MS, beginning 1992.  2/ Forecast.</t>
  </si>
  <si>
    <t>All yearbook tables</t>
  </si>
  <si>
    <t xml:space="preserve">  1/  ERS and World Agricultural Outlook Board forecast.   2/ August-July year beginning 1982.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</si>
</sst>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43" formatCode="_(* #,##0.00_);_(* \(#,##0.00\);_(* &quot;-&quot;??_);_(@_)"/>
    <numFmt numFmtId="164" formatCode="#,##0___________)"/>
    <numFmt numFmtId="165" formatCode="#,##0___________________)"/>
    <numFmt numFmtId="166" formatCode="#,##0_______)"/>
    <numFmt numFmtId="167" formatCode="#,##0_________)"/>
    <numFmt numFmtId="168" formatCode="#,##0.0_________)"/>
    <numFmt numFmtId="169" formatCode="#,##0.0___________)"/>
    <numFmt numFmtId="170" formatCode="#,##0_)"/>
    <numFmt numFmtId="171" formatCode="#,##0___)"/>
    <numFmt numFmtId="172" formatCode="#,##0_________________)"/>
    <numFmt numFmtId="173" formatCode="#,##0_______________)"/>
    <numFmt numFmtId="174" formatCode="#,##0_____)"/>
    <numFmt numFmtId="175" formatCode="#,##0.0___)"/>
    <numFmt numFmtId="176" formatCode="#,##0.0_)"/>
    <numFmt numFmtId="177" formatCode="#,##0.00___________)"/>
    <numFmt numFmtId="178" formatCode="#,##0.00_______)"/>
    <numFmt numFmtId="179" formatCode="#,##0.0_______________)"/>
    <numFmt numFmtId="180" formatCode="#,##0.00___)"/>
    <numFmt numFmtId="181" formatCode="#,##0.00_____)"/>
    <numFmt numFmtId="182" formatCode="#,##0.0_______)"/>
    <numFmt numFmtId="183" formatCode="#,##0.00_)"/>
    <numFmt numFmtId="184" formatCode="#,##0.00_________)"/>
    <numFmt numFmtId="185" formatCode="#,##0.00_____________)"/>
    <numFmt numFmtId="186" formatCode="_(* #,##0_);_(* \(#,##0\);_(* &quot;-&quot;??_);_(@_)"/>
    <numFmt numFmtId="187" formatCode="0.0"/>
    <numFmt numFmtId="188" formatCode="#,##0.0_);\(#,##0.0\)"/>
    <numFmt numFmtId="189" formatCode="0.00_)"/>
    <numFmt numFmtId="190" formatCode="#,##0.0_____)"/>
    <numFmt numFmtId="191" formatCode="#,##0.0"/>
  </numFmts>
  <fonts count="25">
    <font>
      <sz val="8"/>
      <name val="Helvetica"/>
    </font>
    <font>
      <sz val="8"/>
      <name val="Helvetica"/>
      <family val="2"/>
    </font>
    <font>
      <sz val="7"/>
      <name val="Helvetica"/>
      <family val="2"/>
    </font>
    <font>
      <i/>
      <sz val="7"/>
      <name val="Helvetica"/>
      <family val="2"/>
    </font>
    <font>
      <sz val="8"/>
      <name val="Helvetica-Narrow"/>
      <family val="2"/>
    </font>
    <font>
      <sz val="8"/>
      <name val="Helvetica"/>
      <family val="2"/>
    </font>
    <font>
      <i/>
      <sz val="8"/>
      <name val="Helvetica"/>
      <family val="2"/>
    </font>
    <font>
      <u/>
      <sz val="8"/>
      <color indexed="12"/>
      <name val="Helvetica"/>
      <family val="2"/>
    </font>
    <font>
      <vertAlign val="superscript"/>
      <sz val="8"/>
      <name val="Helvetic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"/>
      <family val="2"/>
    </font>
    <font>
      <i/>
      <sz val="8"/>
      <color indexed="8"/>
      <name val="Arial"/>
      <family val="2"/>
    </font>
    <font>
      <i/>
      <sz val="8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  <family val="2"/>
    </font>
    <font>
      <b/>
      <sz val="14"/>
      <name val="Helvetica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6" fillId="0" borderId="0"/>
  </cellStyleXfs>
  <cellXfs count="375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7" fontId="0" fillId="0" borderId="0" xfId="0" applyNumberFormat="1"/>
    <xf numFmtId="167" fontId="0" fillId="0" borderId="1" xfId="0" applyNumberFormat="1" applyBorder="1"/>
    <xf numFmtId="169" fontId="0" fillId="0" borderId="1" xfId="0" applyNumberFormat="1" applyBorder="1"/>
    <xf numFmtId="170" fontId="0" fillId="0" borderId="0" xfId="0" applyNumberFormat="1"/>
    <xf numFmtId="170" fontId="0" fillId="0" borderId="1" xfId="0" applyNumberFormat="1" applyBorder="1"/>
    <xf numFmtId="171" fontId="0" fillId="0" borderId="0" xfId="0" applyNumberFormat="1"/>
    <xf numFmtId="171" fontId="0" fillId="0" borderId="1" xfId="0" applyNumberFormat="1" applyBorder="1"/>
    <xf numFmtId="172" fontId="0" fillId="0" borderId="0" xfId="0" applyNumberFormat="1"/>
    <xf numFmtId="172" fontId="0" fillId="0" borderId="1" xfId="0" applyNumberFormat="1" applyBorder="1"/>
    <xf numFmtId="173" fontId="0" fillId="0" borderId="0" xfId="0" applyNumberFormat="1"/>
    <xf numFmtId="173" fontId="0" fillId="0" borderId="1" xfId="0" applyNumberFormat="1" applyBorder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74" fontId="0" fillId="0" borderId="0" xfId="0" applyNumberFormat="1"/>
    <xf numFmtId="174" fontId="0" fillId="0" borderId="1" xfId="0" applyNumberFormat="1" applyBorder="1"/>
    <xf numFmtId="175" fontId="0" fillId="0" borderId="0" xfId="0" applyNumberFormat="1"/>
    <xf numFmtId="176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78" fontId="0" fillId="0" borderId="0" xfId="0" applyNumberFormat="1"/>
    <xf numFmtId="179" fontId="0" fillId="0" borderId="0" xfId="0" applyNumberFormat="1"/>
    <xf numFmtId="181" fontId="0" fillId="0" borderId="0" xfId="0" applyNumberFormat="1"/>
    <xf numFmtId="181" fontId="0" fillId="0" borderId="1" xfId="0" applyNumberFormat="1" applyBorder="1"/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0" fillId="0" borderId="0" xfId="0" applyBorder="1"/>
    <xf numFmtId="182" fontId="0" fillId="0" borderId="0" xfId="0" applyNumberFormat="1"/>
    <xf numFmtId="180" fontId="0" fillId="0" borderId="0" xfId="0" applyNumberFormat="1"/>
    <xf numFmtId="180" fontId="0" fillId="0" borderId="1" xfId="0" applyNumberFormat="1" applyBorder="1"/>
    <xf numFmtId="180" fontId="0" fillId="0" borderId="0" xfId="0" applyNumberFormat="1" applyBorder="1"/>
    <xf numFmtId="177" fontId="0" fillId="0" borderId="0" xfId="0" applyNumberFormat="1"/>
    <xf numFmtId="177" fontId="0" fillId="0" borderId="1" xfId="0" applyNumberFormat="1" applyBorder="1"/>
    <xf numFmtId="182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2" fillId="0" borderId="0" xfId="0" quotePrefix="1" applyFont="1" applyAlignment="1">
      <alignment horizontal="left"/>
    </xf>
    <xf numFmtId="180" fontId="1" fillId="0" borderId="0" xfId="0" applyNumberFormat="1" applyFont="1"/>
    <xf numFmtId="177" fontId="0" fillId="0" borderId="0" xfId="0" applyNumberFormat="1" applyBorder="1"/>
    <xf numFmtId="185" fontId="0" fillId="0" borderId="0" xfId="0" applyNumberFormat="1"/>
    <xf numFmtId="167" fontId="0" fillId="0" borderId="0" xfId="0" applyNumberFormat="1" applyBorder="1"/>
    <xf numFmtId="189" fontId="0" fillId="0" borderId="0" xfId="0" applyNumberFormat="1" applyProtection="1"/>
    <xf numFmtId="189" fontId="0" fillId="0" borderId="1" xfId="0" applyNumberFormat="1" applyBorder="1" applyProtection="1"/>
    <xf numFmtId="166" fontId="0" fillId="0" borderId="1" xfId="0" applyNumberFormat="1" applyBorder="1" applyAlignment="1">
      <alignment horizontal="center"/>
    </xf>
    <xf numFmtId="174" fontId="0" fillId="0" borderId="0" xfId="0" applyNumberFormat="1" applyBorder="1"/>
    <xf numFmtId="2" fontId="0" fillId="0" borderId="0" xfId="0" applyNumberFormat="1" applyAlignment="1">
      <alignment horizontal="center"/>
    </xf>
    <xf numFmtId="185" fontId="0" fillId="0" borderId="1" xfId="0" applyNumberFormat="1" applyBorder="1"/>
    <xf numFmtId="183" fontId="0" fillId="0" borderId="0" xfId="0" applyNumberFormat="1"/>
    <xf numFmtId="0" fontId="3" fillId="0" borderId="0" xfId="0" applyFont="1"/>
    <xf numFmtId="168" fontId="0" fillId="0" borderId="0" xfId="0" applyNumberFormat="1"/>
    <xf numFmtId="168" fontId="0" fillId="0" borderId="1" xfId="0" applyNumberFormat="1" applyBorder="1"/>
    <xf numFmtId="166" fontId="2" fillId="0" borderId="0" xfId="0" applyNumberFormat="1" applyFont="1"/>
    <xf numFmtId="182" fontId="0" fillId="0" borderId="1" xfId="0" applyNumberFormat="1" applyBorder="1" applyAlignment="1"/>
    <xf numFmtId="187" fontId="0" fillId="0" borderId="0" xfId="0" applyNumberFormat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9" fontId="0" fillId="0" borderId="0" xfId="0" applyNumberFormat="1" applyBorder="1"/>
    <xf numFmtId="185" fontId="0" fillId="0" borderId="0" xfId="0" applyNumberFormat="1" applyBorder="1"/>
    <xf numFmtId="0" fontId="0" fillId="0" borderId="0" xfId="0" quotePrefix="1" applyBorder="1" applyAlignment="1">
      <alignment horizontal="left"/>
    </xf>
    <xf numFmtId="173" fontId="0" fillId="0" borderId="0" xfId="0" applyNumberFormat="1" applyBorder="1"/>
    <xf numFmtId="172" fontId="0" fillId="0" borderId="0" xfId="0" applyNumberFormat="1" applyBorder="1"/>
    <xf numFmtId="171" fontId="0" fillId="0" borderId="0" xfId="0" applyNumberFormat="1" applyBorder="1"/>
    <xf numFmtId="175" fontId="0" fillId="0" borderId="0" xfId="0" applyNumberFormat="1" applyBorder="1"/>
    <xf numFmtId="176" fontId="0" fillId="0" borderId="0" xfId="0" applyNumberFormat="1" applyBorder="1"/>
    <xf numFmtId="3" fontId="0" fillId="0" borderId="0" xfId="0" applyNumberFormat="1" applyBorder="1"/>
    <xf numFmtId="164" fontId="0" fillId="0" borderId="0" xfId="0" applyNumberFormat="1" applyBorder="1"/>
    <xf numFmtId="179" fontId="0" fillId="0" borderId="0" xfId="0" applyNumberFormat="1" applyBorder="1"/>
    <xf numFmtId="181" fontId="0" fillId="0" borderId="0" xfId="0" applyNumberFormat="1" applyBorder="1"/>
    <xf numFmtId="166" fontId="0" fillId="0" borderId="0" xfId="0" applyNumberFormat="1" applyBorder="1"/>
    <xf numFmtId="178" fontId="0" fillId="0" borderId="0" xfId="0" applyNumberFormat="1" applyBorder="1"/>
    <xf numFmtId="182" fontId="0" fillId="0" borderId="0" xfId="0" applyNumberFormat="1" applyBorder="1"/>
    <xf numFmtId="182" fontId="0" fillId="0" borderId="0" xfId="0" applyNumberFormat="1" applyBorder="1" applyAlignment="1"/>
    <xf numFmtId="2" fontId="0" fillId="0" borderId="0" xfId="0" applyNumberFormat="1"/>
    <xf numFmtId="3" fontId="0" fillId="0" borderId="1" xfId="0" applyNumberFormat="1" applyBorder="1" applyAlignment="1">
      <alignment horizontal="center"/>
    </xf>
    <xf numFmtId="175" fontId="0" fillId="0" borderId="0" xfId="0" applyNumberFormat="1" applyFill="1" applyBorder="1"/>
    <xf numFmtId="0" fontId="0" fillId="0" borderId="1" xfId="0" quotePrefix="1" applyBorder="1" applyAlignment="1">
      <alignment horizontal="center"/>
    </xf>
    <xf numFmtId="191" fontId="0" fillId="0" borderId="1" xfId="0" quotePrefix="1" applyNumberFormat="1" applyBorder="1" applyAlignment="1">
      <alignment horizontal="center"/>
    </xf>
    <xf numFmtId="191" fontId="0" fillId="0" borderId="0" xfId="0" quotePrefix="1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87" fontId="4" fillId="0" borderId="0" xfId="0" applyNumberFormat="1" applyFont="1" applyBorder="1" applyAlignment="1">
      <alignment horizontal="right"/>
    </xf>
    <xf numFmtId="187" fontId="4" fillId="0" borderId="1" xfId="0" applyNumberFormat="1" applyFont="1" applyBorder="1" applyAlignment="1">
      <alignment horizontal="center"/>
    </xf>
    <xf numFmtId="187" fontId="4" fillId="0" borderId="0" xfId="0" applyNumberFormat="1" applyFont="1" applyAlignment="1">
      <alignment horizontal="center"/>
    </xf>
    <xf numFmtId="189" fontId="0" fillId="0" borderId="0" xfId="0" applyNumberFormat="1" applyBorder="1" applyProtection="1"/>
    <xf numFmtId="175" fontId="0" fillId="0" borderId="0" xfId="0" applyNumberFormat="1" applyBorder="1" applyAlignment="1">
      <alignment horizontal="center"/>
    </xf>
    <xf numFmtId="167" fontId="0" fillId="0" borderId="0" xfId="0" applyNumberFormat="1" applyFill="1" applyBorder="1"/>
    <xf numFmtId="166" fontId="5" fillId="0" borderId="0" xfId="0" applyNumberFormat="1" applyFont="1"/>
    <xf numFmtId="174" fontId="5" fillId="0" borderId="0" xfId="0" applyNumberFormat="1" applyFont="1"/>
    <xf numFmtId="166" fontId="5" fillId="0" borderId="0" xfId="0" applyNumberFormat="1" applyFont="1" applyBorder="1"/>
    <xf numFmtId="174" fontId="5" fillId="0" borderId="0" xfId="0" applyNumberFormat="1" applyFont="1" applyBorder="1"/>
    <xf numFmtId="166" fontId="5" fillId="0" borderId="1" xfId="0" applyNumberFormat="1" applyFont="1" applyBorder="1"/>
    <xf numFmtId="174" fontId="5" fillId="0" borderId="1" xfId="0" applyNumberFormat="1" applyFont="1" applyBorder="1"/>
    <xf numFmtId="164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 applyBorder="1"/>
    <xf numFmtId="167" fontId="5" fillId="0" borderId="0" xfId="0" applyNumberFormat="1" applyFont="1" applyBorder="1"/>
    <xf numFmtId="164" fontId="5" fillId="0" borderId="1" xfId="0" applyNumberFormat="1" applyFont="1" applyBorder="1"/>
    <xf numFmtId="167" fontId="5" fillId="0" borderId="1" xfId="0" applyNumberFormat="1" applyFont="1" applyBorder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166" fontId="0" fillId="0" borderId="0" xfId="0" applyNumberFormat="1" applyBorder="1" applyAlignment="1">
      <alignment horizontal="center"/>
    </xf>
    <xf numFmtId="3" fontId="5" fillId="0" borderId="1" xfId="0" applyNumberFormat="1" applyFont="1" applyBorder="1"/>
    <xf numFmtId="171" fontId="5" fillId="0" borderId="0" xfId="0" applyNumberFormat="1" applyFont="1" applyBorder="1"/>
    <xf numFmtId="171" fontId="5" fillId="0" borderId="0" xfId="0" applyNumberFormat="1" applyFont="1"/>
    <xf numFmtId="0" fontId="5" fillId="0" borderId="0" xfId="0" applyFont="1" applyBorder="1"/>
    <xf numFmtId="175" fontId="5" fillId="0" borderId="0" xfId="0" applyNumberFormat="1" applyFont="1" applyBorder="1"/>
    <xf numFmtId="171" fontId="5" fillId="0" borderId="1" xfId="0" applyNumberFormat="1" applyFont="1" applyBorder="1"/>
    <xf numFmtId="0" fontId="5" fillId="0" borderId="1" xfId="0" applyFont="1" applyBorder="1"/>
    <xf numFmtId="0" fontId="5" fillId="0" borderId="0" xfId="0" applyFont="1" applyBorder="1" applyAlignment="1">
      <alignment horizontal="left"/>
    </xf>
    <xf numFmtId="176" fontId="5" fillId="0" borderId="0" xfId="0" applyNumberFormat="1" applyFont="1"/>
    <xf numFmtId="175" fontId="5" fillId="0" borderId="0" xfId="0" applyNumberFormat="1" applyFont="1" applyFill="1" applyBorder="1"/>
    <xf numFmtId="0" fontId="5" fillId="0" borderId="1" xfId="0" applyFont="1" applyBorder="1" applyAlignment="1">
      <alignment horizontal="left"/>
    </xf>
    <xf numFmtId="175" fontId="5" fillId="0" borderId="1" xfId="0" applyNumberFormat="1" applyFont="1" applyBorder="1"/>
    <xf numFmtId="176" fontId="5" fillId="0" borderId="1" xfId="0" applyNumberFormat="1" applyFont="1" applyBorder="1"/>
    <xf numFmtId="176" fontId="5" fillId="0" borderId="0" xfId="0" applyNumberFormat="1" applyFont="1" applyBorder="1"/>
    <xf numFmtId="0" fontId="0" fillId="0" borderId="0" xfId="0" applyFill="1" applyBorder="1" applyAlignment="1">
      <alignment horizontal="center"/>
    </xf>
    <xf numFmtId="3" fontId="5" fillId="0" borderId="0" xfId="0" applyNumberFormat="1" applyFont="1" applyBorder="1"/>
    <xf numFmtId="0" fontId="0" fillId="0" borderId="0" xfId="0" quotePrefix="1"/>
    <xf numFmtId="179" fontId="0" fillId="0" borderId="1" xfId="0" applyNumberFormat="1" applyBorder="1"/>
    <xf numFmtId="186" fontId="5" fillId="0" borderId="0" xfId="1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quotePrefix="1" applyNumberFormat="1" applyAlignment="1">
      <alignment horizontal="center"/>
    </xf>
    <xf numFmtId="180" fontId="1" fillId="0" borderId="0" xfId="0" applyNumberFormat="1" applyFont="1" applyBorder="1"/>
    <xf numFmtId="0" fontId="5" fillId="0" borderId="0" xfId="0" quotePrefix="1" applyFont="1" applyBorder="1" applyAlignment="1">
      <alignment horizontal="left"/>
    </xf>
    <xf numFmtId="187" fontId="0" fillId="0" borderId="1" xfId="0" applyNumberFormat="1" applyBorder="1"/>
    <xf numFmtId="178" fontId="5" fillId="0" borderId="0" xfId="0" applyNumberFormat="1" applyFont="1"/>
    <xf numFmtId="172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88" fontId="0" fillId="0" borderId="0" xfId="0" applyNumberFormat="1"/>
    <xf numFmtId="0" fontId="6" fillId="0" borderId="0" xfId="0" applyFont="1"/>
    <xf numFmtId="0" fontId="5" fillId="0" borderId="0" xfId="0" quotePrefix="1" applyFont="1"/>
    <xf numFmtId="0" fontId="5" fillId="0" borderId="1" xfId="0" quotePrefix="1" applyFont="1" applyBorder="1" applyAlignment="1">
      <alignment horizontal="left"/>
    </xf>
    <xf numFmtId="189" fontId="0" fillId="0" borderId="0" xfId="0" applyNumberFormat="1"/>
    <xf numFmtId="0" fontId="5" fillId="0" borderId="1" xfId="4" applyBorder="1"/>
    <xf numFmtId="0" fontId="5" fillId="0" borderId="0" xfId="4"/>
    <xf numFmtId="183" fontId="5" fillId="0" borderId="0" xfId="4" applyNumberFormat="1"/>
    <xf numFmtId="187" fontId="5" fillId="0" borderId="0" xfId="4" applyNumberFormat="1"/>
    <xf numFmtId="164" fontId="0" fillId="0" borderId="0" xfId="0" applyNumberFormat="1" applyBorder="1" applyAlignment="1">
      <alignment horizontal="center"/>
    </xf>
    <xf numFmtId="189" fontId="0" fillId="0" borderId="1" xfId="0" applyNumberFormat="1" applyBorder="1"/>
    <xf numFmtId="0" fontId="5" fillId="0" borderId="0" xfId="0" quotePrefix="1" applyFont="1" applyAlignment="1">
      <alignment horizontal="left"/>
    </xf>
    <xf numFmtId="0" fontId="13" fillId="0" borderId="0" xfId="0" applyFont="1"/>
    <xf numFmtId="0" fontId="5" fillId="0" borderId="0" xfId="0" applyFont="1" applyAlignment="1">
      <alignment horizontal="left"/>
    </xf>
    <xf numFmtId="17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/>
    <xf numFmtId="16" fontId="0" fillId="0" borderId="1" xfId="0" quotePrefix="1" applyNumberFormat="1" applyBorder="1"/>
    <xf numFmtId="0" fontId="5" fillId="0" borderId="0" xfId="0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Font="1"/>
    <xf numFmtId="187" fontId="4" fillId="0" borderId="0" xfId="0" applyNumberFormat="1" applyFont="1" applyFill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5" fillId="0" borderId="0" xfId="4" applyFont="1" applyAlignment="1" applyProtection="1">
      <alignment horizontal="right" vertical="top" wrapText="1" readingOrder="1"/>
      <protection locked="0"/>
    </xf>
    <xf numFmtId="0" fontId="5" fillId="0" borderId="0" xfId="4" applyAlignment="1">
      <alignment readingOrder="1"/>
    </xf>
    <xf numFmtId="0" fontId="14" fillId="0" borderId="0" xfId="4" quotePrefix="1" applyFont="1" applyAlignment="1" applyProtection="1">
      <alignment horizontal="right" vertical="top" wrapText="1" readingOrder="1"/>
      <protection locked="0"/>
    </xf>
    <xf numFmtId="0" fontId="5" fillId="0" borderId="0" xfId="0" applyFont="1" applyAlignment="1">
      <alignment horizontal="right"/>
    </xf>
    <xf numFmtId="0" fontId="16" fillId="0" borderId="0" xfId="5" applyFont="1" applyBorder="1" applyAlignment="1">
      <alignment vertical="top" wrapText="1"/>
    </xf>
    <xf numFmtId="0" fontId="16" fillId="0" borderId="0" xfId="5" applyFont="1"/>
    <xf numFmtId="0" fontId="18" fillId="0" borderId="0" xfId="3" applyFont="1" applyAlignment="1" applyProtection="1"/>
    <xf numFmtId="0" fontId="19" fillId="0" borderId="0" xfId="5" applyFont="1"/>
    <xf numFmtId="0" fontId="16" fillId="0" borderId="0" xfId="5" applyFont="1" applyBorder="1" applyAlignment="1">
      <alignment wrapText="1"/>
    </xf>
    <xf numFmtId="0" fontId="7" fillId="0" borderId="0" xfId="2" applyAlignment="1" applyProtection="1"/>
    <xf numFmtId="0" fontId="16" fillId="0" borderId="0" xfId="5" quotePrefix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89" fontId="0" fillId="0" borderId="0" xfId="0" applyNumberFormat="1" applyAlignment="1" applyProtection="1">
      <alignment horizontal="left" indent="4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1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left" indent="3"/>
    </xf>
    <xf numFmtId="0" fontId="0" fillId="0" borderId="1" xfId="0" applyBorder="1" applyAlignment="1">
      <alignment horizontal="left" indent="2"/>
    </xf>
    <xf numFmtId="175" fontId="0" fillId="0" borderId="0" xfId="0" applyNumberFormat="1" applyAlignment="1">
      <alignment horizontal="left" indent="3"/>
    </xf>
    <xf numFmtId="175" fontId="0" fillId="0" borderId="0" xfId="0" applyNumberFormat="1" applyBorder="1" applyAlignment="1">
      <alignment horizontal="left" indent="3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  <xf numFmtId="167" fontId="0" fillId="0" borderId="0" xfId="0" applyNumberFormat="1" applyBorder="1" applyAlignment="1">
      <alignment horizontal="right" indent="4"/>
    </xf>
    <xf numFmtId="167" fontId="0" fillId="0" borderId="1" xfId="0" applyNumberFormat="1" applyBorder="1" applyAlignment="1">
      <alignment horizontal="right" indent="4"/>
    </xf>
    <xf numFmtId="167" fontId="0" fillId="0" borderId="0" xfId="0" applyNumberFormat="1" applyAlignment="1">
      <alignment horizontal="right" indent="4"/>
    </xf>
    <xf numFmtId="164" fontId="0" fillId="0" borderId="0" xfId="0" applyNumberFormat="1" applyBorder="1" applyAlignment="1">
      <alignment horizontal="right" indent="4"/>
    </xf>
    <xf numFmtId="187" fontId="4" fillId="0" borderId="0" xfId="0" applyNumberFormat="1" applyFont="1" applyAlignment="1">
      <alignment horizontal="right" indent="2"/>
    </xf>
    <xf numFmtId="187" fontId="4" fillId="0" borderId="1" xfId="0" applyNumberFormat="1" applyFont="1" applyBorder="1" applyAlignment="1">
      <alignment horizontal="right" indent="2"/>
    </xf>
    <xf numFmtId="190" fontId="0" fillId="0" borderId="0" xfId="0" applyNumberFormat="1" applyAlignment="1">
      <alignment horizontal="left" indent="3"/>
    </xf>
    <xf numFmtId="190" fontId="0" fillId="0" borderId="1" xfId="0" applyNumberFormat="1" applyBorder="1" applyAlignment="1">
      <alignment horizontal="left" indent="3"/>
    </xf>
    <xf numFmtId="181" fontId="0" fillId="0" borderId="0" xfId="0" applyNumberFormat="1" applyAlignment="1">
      <alignment horizontal="right" indent="1"/>
    </xf>
    <xf numFmtId="0" fontId="5" fillId="0" borderId="2" xfId="0" applyFont="1" applyBorder="1" applyAlignment="1">
      <alignment horizontal="right" indent="1"/>
    </xf>
    <xf numFmtId="180" fontId="1" fillId="0" borderId="1" xfId="0" applyNumberFormat="1" applyFont="1" applyBorder="1"/>
    <xf numFmtId="184" fontId="5" fillId="0" borderId="0" xfId="0" applyNumberFormat="1" applyFont="1"/>
    <xf numFmtId="0" fontId="0" fillId="0" borderId="2" xfId="0" applyBorder="1" applyAlignment="1">
      <alignment horizontal="left" indent="2"/>
    </xf>
    <xf numFmtId="165" fontId="0" fillId="0" borderId="0" xfId="0" applyNumberFormat="1" applyAlignment="1"/>
    <xf numFmtId="180" fontId="0" fillId="0" borderId="0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23" fillId="0" borderId="0" xfId="5" applyFont="1"/>
    <xf numFmtId="0" fontId="0" fillId="0" borderId="0" xfId="0" applyFill="1"/>
    <xf numFmtId="2" fontId="0" fillId="0" borderId="0" xfId="0" applyNumberFormat="1" applyFill="1"/>
    <xf numFmtId="187" fontId="0" fillId="0" borderId="0" xfId="0" applyNumberFormat="1" applyFill="1"/>
    <xf numFmtId="0" fontId="5" fillId="0" borderId="0" xfId="0" applyFont="1" applyFill="1"/>
    <xf numFmtId="0" fontId="0" fillId="0" borderId="0" xfId="0" applyFont="1" applyFill="1"/>
    <xf numFmtId="0" fontId="0" fillId="0" borderId="0" xfId="0" applyFill="1" applyBorder="1"/>
    <xf numFmtId="183" fontId="0" fillId="0" borderId="0" xfId="0" applyNumberFormat="1" applyFill="1"/>
    <xf numFmtId="187" fontId="0" fillId="0" borderId="1" xfId="0" applyNumberFormat="1" applyFill="1" applyBorder="1"/>
    <xf numFmtId="166" fontId="0" fillId="0" borderId="1" xfId="0" applyNumberFormat="1" applyFill="1" applyBorder="1"/>
    <xf numFmtId="166" fontId="0" fillId="0" borderId="0" xfId="0" applyNumberFormat="1" applyFill="1" applyBorder="1"/>
    <xf numFmtId="166" fontId="0" fillId="0" borderId="0" xfId="0" applyNumberFormat="1" applyFill="1"/>
    <xf numFmtId="181" fontId="0" fillId="0" borderId="1" xfId="0" applyNumberFormat="1" applyFill="1" applyBorder="1"/>
    <xf numFmtId="174" fontId="0" fillId="0" borderId="1" xfId="0" applyNumberFormat="1" applyFill="1" applyBorder="1"/>
    <xf numFmtId="174" fontId="0" fillId="0" borderId="0" xfId="0" applyNumberFormat="1" applyFill="1" applyBorder="1"/>
    <xf numFmtId="178" fontId="0" fillId="0" borderId="0" xfId="0" applyNumberFormat="1" applyFill="1" applyBorder="1"/>
    <xf numFmtId="178" fontId="0" fillId="0" borderId="0" xfId="0" applyNumberFormat="1" applyFill="1"/>
    <xf numFmtId="174" fontId="0" fillId="0" borderId="0" xfId="0" applyNumberFormat="1" applyFill="1"/>
    <xf numFmtId="171" fontId="5" fillId="0" borderId="0" xfId="0" applyNumberFormat="1" applyFont="1" applyFill="1" applyBorder="1"/>
    <xf numFmtId="175" fontId="0" fillId="0" borderId="0" xfId="0" applyNumberFormat="1" applyFill="1" applyAlignment="1">
      <alignment horizontal="left" indent="3"/>
    </xf>
    <xf numFmtId="176" fontId="5" fillId="0" borderId="0" xfId="0" applyNumberFormat="1" applyFont="1" applyFill="1" applyBorder="1"/>
    <xf numFmtId="3" fontId="5" fillId="0" borderId="0" xfId="0" applyNumberFormat="1" applyFont="1" applyFill="1" applyBorder="1"/>
    <xf numFmtId="173" fontId="0" fillId="0" borderId="0" xfId="0" applyNumberFormat="1" applyFont="1" applyFill="1" applyBorder="1"/>
    <xf numFmtId="173" fontId="0" fillId="0" borderId="0" xfId="0" applyNumberFormat="1" applyFill="1" applyBorder="1"/>
    <xf numFmtId="181" fontId="0" fillId="0" borderId="0" xfId="0" applyNumberFormat="1" applyFill="1"/>
    <xf numFmtId="174" fontId="5" fillId="0" borderId="0" xfId="0" applyNumberFormat="1" applyFont="1" applyFill="1"/>
    <xf numFmtId="186" fontId="5" fillId="0" borderId="0" xfId="1" applyNumberFormat="1" applyFont="1" applyFill="1" applyBorder="1" applyAlignment="1">
      <alignment horizontal="center"/>
    </xf>
    <xf numFmtId="166" fontId="5" fillId="0" borderId="0" xfId="0" applyNumberFormat="1" applyFont="1" applyFill="1" applyBorder="1"/>
    <xf numFmtId="174" fontId="5" fillId="0" borderId="0" xfId="0" applyNumberFormat="1" applyFont="1" applyFill="1" applyBorder="1"/>
    <xf numFmtId="167" fontId="5" fillId="0" borderId="0" xfId="0" applyNumberFormat="1" applyFont="1" applyFill="1" applyBorder="1"/>
    <xf numFmtId="164" fontId="5" fillId="0" borderId="0" xfId="0" applyNumberFormat="1" applyFont="1" applyFill="1" applyBorder="1"/>
    <xf numFmtId="184" fontId="5" fillId="0" borderId="0" xfId="0" applyNumberFormat="1" applyFont="1" applyFill="1"/>
    <xf numFmtId="2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71" fontId="0" fillId="0" borderId="0" xfId="0" applyNumberFormat="1" applyFill="1" applyBorder="1"/>
    <xf numFmtId="181" fontId="0" fillId="0" borderId="0" xfId="0" applyNumberFormat="1" applyFill="1" applyBorder="1"/>
    <xf numFmtId="170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ill="1"/>
    <xf numFmtId="180" fontId="0" fillId="0" borderId="0" xfId="0" applyNumberFormat="1" applyFill="1" applyBorder="1"/>
    <xf numFmtId="189" fontId="0" fillId="0" borderId="0" xfId="0" applyNumberFormat="1" applyBorder="1"/>
    <xf numFmtId="0" fontId="7" fillId="0" borderId="0" xfId="2" applyAlignment="1" applyProtection="1">
      <alignment horizontal="left"/>
    </xf>
    <xf numFmtId="0" fontId="7" fillId="0" borderId="0" xfId="2" quotePrefix="1" applyAlignment="1" applyProtection="1">
      <alignment horizontal="left"/>
    </xf>
    <xf numFmtId="0" fontId="0" fillId="0" borderId="0" xfId="0" applyFill="1" applyBorder="1" applyAlignment="1">
      <alignment horizontal="left"/>
    </xf>
    <xf numFmtId="171" fontId="0" fillId="0" borderId="0" xfId="0" applyNumberFormat="1" applyAlignment="1">
      <alignment horizontal="right" indent="1"/>
    </xf>
    <xf numFmtId="171" fontId="0" fillId="0" borderId="1" xfId="0" applyNumberFormat="1" applyBorder="1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183" fontId="0" fillId="0" borderId="0" xfId="0" applyNumberFormat="1" applyAlignment="1">
      <alignment horizontal="right" indent="3"/>
    </xf>
    <xf numFmtId="175" fontId="0" fillId="0" borderId="1" xfId="0" applyNumberFormat="1" applyFill="1" applyBorder="1" applyAlignment="1">
      <alignment horizontal="left" indent="3"/>
    </xf>
    <xf numFmtId="0" fontId="0" fillId="0" borderId="0" xfId="0" applyFill="1" applyAlignment="1">
      <alignment horizontal="center"/>
    </xf>
    <xf numFmtId="0" fontId="22" fillId="0" borderId="0" xfId="5" applyFont="1"/>
    <xf numFmtId="165" fontId="0" fillId="0" borderId="0" xfId="0" applyNumberFormat="1" applyFill="1"/>
    <xf numFmtId="167" fontId="0" fillId="0" borderId="1" xfId="0" applyNumberFormat="1" applyFill="1" applyBorder="1"/>
    <xf numFmtId="182" fontId="0" fillId="0" borderId="0" xfId="0" applyNumberFormat="1" applyFill="1" applyBorder="1"/>
    <xf numFmtId="182" fontId="0" fillId="0" borderId="0" xfId="0" applyNumberFormat="1" applyFill="1"/>
    <xf numFmtId="182" fontId="0" fillId="0" borderId="0" xfId="0" applyNumberFormat="1" applyFill="1" applyBorder="1" applyAlignment="1"/>
    <xf numFmtId="171" fontId="0" fillId="0" borderId="0" xfId="0" applyNumberFormat="1" applyFill="1"/>
    <xf numFmtId="171" fontId="0" fillId="0" borderId="0" xfId="0" applyNumberFormat="1" applyFill="1" applyAlignment="1">
      <alignment horizontal="right" indent="1"/>
    </xf>
    <xf numFmtId="0" fontId="24" fillId="0" borderId="0" xfId="5" applyFont="1"/>
    <xf numFmtId="189" fontId="0" fillId="0" borderId="0" xfId="0" applyNumberFormat="1" applyFill="1"/>
    <xf numFmtId="189" fontId="0" fillId="0" borderId="1" xfId="0" applyNumberFormat="1" applyFill="1" applyBorder="1"/>
    <xf numFmtId="180" fontId="0" fillId="0" borderId="1" xfId="0" applyNumberFormat="1" applyFill="1" applyBorder="1"/>
    <xf numFmtId="180" fontId="0" fillId="0" borderId="0" xfId="0" applyNumberFormat="1" applyFill="1"/>
    <xf numFmtId="189" fontId="0" fillId="0" borderId="0" xfId="0" applyNumberFormat="1" applyFill="1" applyProtection="1"/>
    <xf numFmtId="189" fontId="0" fillId="0" borderId="1" xfId="0" applyNumberFormat="1" applyFill="1" applyBorder="1" applyProtection="1"/>
    <xf numFmtId="171" fontId="5" fillId="0" borderId="1" xfId="0" applyNumberFormat="1" applyFont="1" applyFill="1" applyBorder="1"/>
    <xf numFmtId="171" fontId="5" fillId="0" borderId="0" xfId="0" applyNumberFormat="1" applyFont="1" applyFill="1"/>
    <xf numFmtId="175" fontId="5" fillId="0" borderId="1" xfId="0" applyNumberFormat="1" applyFont="1" applyFill="1" applyBorder="1"/>
    <xf numFmtId="176" fontId="5" fillId="0" borderId="1" xfId="0" applyNumberFormat="1" applyFont="1" applyFill="1" applyBorder="1"/>
    <xf numFmtId="3" fontId="5" fillId="0" borderId="1" xfId="0" applyNumberFormat="1" applyFont="1" applyFill="1" applyBorder="1"/>
    <xf numFmtId="173" fontId="0" fillId="0" borderId="1" xfId="0" applyNumberFormat="1" applyFill="1" applyBorder="1"/>
    <xf numFmtId="173" fontId="0" fillId="0" borderId="1" xfId="0" applyNumberFormat="1" applyFont="1" applyFill="1" applyBorder="1"/>
    <xf numFmtId="174" fontId="5" fillId="0" borderId="1" xfId="0" applyNumberFormat="1" applyFont="1" applyFill="1" applyBorder="1"/>
    <xf numFmtId="174" fontId="0" fillId="0" borderId="0" xfId="0" applyNumberFormat="1" applyFont="1" applyFill="1"/>
    <xf numFmtId="170" fontId="5" fillId="0" borderId="0" xfId="0" applyNumberFormat="1" applyFont="1"/>
    <xf numFmtId="37" fontId="5" fillId="0" borderId="0" xfId="0" applyNumberFormat="1" applyFont="1"/>
    <xf numFmtId="170" fontId="0" fillId="0" borderId="1" xfId="0" applyNumberFormat="1" applyFill="1" applyBorder="1"/>
    <xf numFmtId="186" fontId="5" fillId="0" borderId="1" xfId="1" applyNumberFormat="1" applyFont="1" applyFill="1" applyBorder="1" applyAlignment="1">
      <alignment horizontal="center"/>
    </xf>
    <xf numFmtId="166" fontId="5" fillId="0" borderId="1" xfId="0" applyNumberFormat="1" applyFont="1" applyFill="1" applyBorder="1"/>
    <xf numFmtId="167" fontId="5" fillId="0" borderId="1" xfId="0" applyNumberFormat="1" applyFont="1" applyFill="1" applyBorder="1"/>
    <xf numFmtId="164" fontId="5" fillId="0" borderId="1" xfId="0" applyNumberFormat="1" applyFont="1" applyFill="1" applyBorder="1"/>
    <xf numFmtId="171" fontId="0" fillId="0" borderId="1" xfId="0" applyNumberFormat="1" applyFill="1" applyBorder="1"/>
    <xf numFmtId="164" fontId="0" fillId="0" borderId="1" xfId="0" applyNumberFormat="1" applyFill="1" applyBorder="1"/>
    <xf numFmtId="181" fontId="0" fillId="0" borderId="1" xfId="0" applyNumberFormat="1" applyFill="1" applyBorder="1" applyAlignment="1">
      <alignment horizontal="right" indent="1"/>
    </xf>
    <xf numFmtId="167" fontId="0" fillId="0" borderId="0" xfId="0" applyNumberFormat="1" applyFont="1" applyFill="1" applyBorder="1"/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/>
    <xf numFmtId="0" fontId="5" fillId="0" borderId="3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3" xfId="0" quotePrefix="1" applyFont="1" applyBorder="1" applyAlignment="1">
      <alignment horizontal="right"/>
    </xf>
    <xf numFmtId="0" fontId="0" fillId="0" borderId="3" xfId="0" applyBorder="1" applyAlignment="1">
      <alignment horizontal="left" indent="3"/>
    </xf>
    <xf numFmtId="0" fontId="0" fillId="0" borderId="3" xfId="0" applyBorder="1" applyAlignment="1">
      <alignment horizontal="left" indent="5"/>
    </xf>
    <xf numFmtId="0" fontId="0" fillId="0" borderId="3" xfId="0" applyBorder="1" applyAlignment="1">
      <alignment horizontal="left" indent="6"/>
    </xf>
    <xf numFmtId="0" fontId="0" fillId="0" borderId="2" xfId="0" applyBorder="1" applyAlignment="1">
      <alignment horizontal="left" indent="5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left" indent="4"/>
    </xf>
    <xf numFmtId="0" fontId="0" fillId="0" borderId="2" xfId="0" applyBorder="1" applyAlignment="1">
      <alignment horizontal="left" indent="6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indent="3"/>
    </xf>
    <xf numFmtId="0" fontId="0" fillId="0" borderId="2" xfId="0" applyBorder="1" applyAlignment="1">
      <alignment horizontal="left" indent="7"/>
    </xf>
    <xf numFmtId="0" fontId="0" fillId="0" borderId="0" xfId="0" applyAlignment="1">
      <alignment horizontal="left" indent="5"/>
    </xf>
    <xf numFmtId="0" fontId="0" fillId="0" borderId="1" xfId="0" applyBorder="1" applyAlignment="1">
      <alignment horizontal="left" indent="3"/>
    </xf>
    <xf numFmtId="0" fontId="0" fillId="0" borderId="3" xfId="0" applyBorder="1" applyAlignment="1">
      <alignment horizontal="left" indent="4"/>
    </xf>
    <xf numFmtId="0" fontId="0" fillId="0" borderId="3" xfId="0" applyBorder="1" applyAlignment="1">
      <alignment horizontal="left" indent="7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indent="6"/>
    </xf>
    <xf numFmtId="0" fontId="0" fillId="0" borderId="3" xfId="0" quotePrefix="1" applyBorder="1" applyAlignment="1">
      <alignment horizontal="left" indent="1"/>
    </xf>
    <xf numFmtId="0" fontId="0" fillId="0" borderId="3" xfId="0" quotePrefix="1" applyBorder="1" applyAlignment="1">
      <alignment horizontal="left" indent="5"/>
    </xf>
    <xf numFmtId="0" fontId="0" fillId="0" borderId="2" xfId="0" applyBorder="1" applyAlignment="1">
      <alignment horizontal="left" indent="9"/>
    </xf>
    <xf numFmtId="0" fontId="5" fillId="0" borderId="3" xfId="0" applyFont="1" applyBorder="1" applyAlignment="1">
      <alignment horizontal="left" indent="1"/>
    </xf>
    <xf numFmtId="0" fontId="0" fillId="0" borderId="2" xfId="0" applyNumberFormat="1" applyBorder="1" applyAlignment="1">
      <alignment horizontal="left" indent="6"/>
    </xf>
    <xf numFmtId="0" fontId="5" fillId="0" borderId="3" xfId="0" applyFont="1" applyBorder="1" applyAlignment="1">
      <alignment horizontal="left"/>
    </xf>
    <xf numFmtId="178" fontId="0" fillId="0" borderId="1" xfId="0" quotePrefix="1" applyNumberFormat="1" applyFill="1" applyBorder="1" applyAlignment="1">
      <alignment horizontal="center"/>
    </xf>
    <xf numFmtId="181" fontId="0" fillId="0" borderId="1" xfId="0" quotePrefix="1" applyNumberFormat="1" applyFill="1" applyBorder="1" applyAlignment="1">
      <alignment horizontal="center"/>
    </xf>
    <xf numFmtId="175" fontId="0" fillId="0" borderId="1" xfId="0" quotePrefix="1" applyNumberFormat="1" applyFill="1" applyBorder="1" applyAlignment="1">
      <alignment horizontal="center"/>
    </xf>
    <xf numFmtId="181" fontId="5" fillId="0" borderId="1" xfId="0" quotePrefix="1" applyNumberFormat="1" applyFont="1" applyBorder="1" applyAlignment="1">
      <alignment horizontal="center"/>
    </xf>
    <xf numFmtId="184" fontId="5" fillId="0" borderId="1" xfId="0" quotePrefix="1" applyNumberFormat="1" applyFont="1" applyFill="1" applyBorder="1" applyAlignment="1">
      <alignment horizontal="left" indent="1"/>
    </xf>
    <xf numFmtId="2" fontId="5" fillId="0" borderId="1" xfId="0" quotePrefix="1" applyNumberFormat="1" applyFont="1" applyFill="1" applyBorder="1" applyAlignment="1">
      <alignment horizontal="left" indent="1"/>
    </xf>
    <xf numFmtId="2" fontId="0" fillId="0" borderId="1" xfId="0" quotePrefix="1" applyNumberFormat="1" applyFill="1" applyBorder="1" applyAlignment="1">
      <alignment horizontal="center"/>
    </xf>
    <xf numFmtId="2" fontId="0" fillId="0" borderId="1" xfId="0" quotePrefix="1" applyNumberFormat="1" applyFill="1" applyBorder="1" applyAlignment="1">
      <alignment horizontal="left" indent="1"/>
    </xf>
    <xf numFmtId="181" fontId="0" fillId="0" borderId="1" xfId="0" quotePrefix="1" applyNumberFormat="1" applyFill="1" applyBorder="1" applyAlignment="1">
      <alignment horizontal="left" indent="1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1" xfId="0" quotePrefix="1" applyNumberFormat="1" applyFill="1" applyBorder="1" applyAlignment="1">
      <alignment horizontal="left" indent="1"/>
    </xf>
    <xf numFmtId="0" fontId="0" fillId="0" borderId="0" xfId="0" applyAlignment="1">
      <alignment horizontal="right" indent="6"/>
    </xf>
    <xf numFmtId="0" fontId="0" fillId="0" borderId="0" xfId="0" applyAlignment="1">
      <alignment horizontal="left" indent="6"/>
    </xf>
    <xf numFmtId="0" fontId="0" fillId="0" borderId="0" xfId="0" applyBorder="1" applyAlignment="1">
      <alignment horizontal="left" indent="7"/>
    </xf>
    <xf numFmtId="0" fontId="0" fillId="0" borderId="0" xfId="0" applyBorder="1" applyAlignment="1">
      <alignment horizontal="left" indent="6"/>
    </xf>
    <xf numFmtId="0" fontId="0" fillId="0" borderId="0" xfId="0" applyBorder="1" applyAlignment="1">
      <alignment horizontal="right" indent="4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 indent="6"/>
    </xf>
    <xf numFmtId="0" fontId="0" fillId="0" borderId="0" xfId="0" quotePrefix="1" applyBorder="1" applyAlignment="1">
      <alignment horizontal="right"/>
    </xf>
    <xf numFmtId="0" fontId="0" fillId="0" borderId="1" xfId="0" applyFill="1" applyBorder="1"/>
    <xf numFmtId="11" fontId="0" fillId="0" borderId="0" xfId="0" applyNumberFormat="1"/>
  </cellXfs>
  <cellStyles count="6">
    <cellStyle name="Comma" xfId="1" builtinId="3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'tab6'!$P$4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'tab6'!$P$5:$P$23</c:f>
              <c:numCache>
                <c:formatCode>General</c:formatCode>
                <c:ptCount val="19"/>
                <c:pt idx="2">
                  <c:v>2757810</c:v>
                </c:pt>
                <c:pt idx="3">
                  <c:v>2890682</c:v>
                </c:pt>
                <c:pt idx="4">
                  <c:v>2756147</c:v>
                </c:pt>
                <c:pt idx="5">
                  <c:v>2453845</c:v>
                </c:pt>
                <c:pt idx="6">
                  <c:v>3123790</c:v>
                </c:pt>
                <c:pt idx="7">
                  <c:v>3068342</c:v>
                </c:pt>
                <c:pt idx="8">
                  <c:v>3196726</c:v>
                </c:pt>
                <c:pt idx="9">
                  <c:v>2677117</c:v>
                </c:pt>
                <c:pt idx="10">
                  <c:v>2967007</c:v>
                </c:pt>
                <c:pt idx="11">
                  <c:v>3360931</c:v>
                </c:pt>
                <c:pt idx="12">
                  <c:v>3331306</c:v>
                </c:pt>
                <c:pt idx="13">
                  <c:v>3097179</c:v>
                </c:pt>
                <c:pt idx="14">
                  <c:v>3042044</c:v>
                </c:pt>
                <c:pt idx="15">
                  <c:v>3357984</c:v>
                </c:pt>
                <c:pt idx="16">
                  <c:v>3927090</c:v>
                </c:pt>
                <c:pt idx="17">
                  <c:v>3926339</c:v>
                </c:pt>
                <c:pt idx="18">
                  <c:v>4296086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D-F943-A86B-64449A397D33}"/>
            </c:ext>
          </c:extLst>
        </c:ser>
        <c:ser>
          <c:idx val="1"/>
          <c:order val="1"/>
          <c:tx>
            <c:strRef>
              <c:f>'tab6'!$Q$4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'tab6'!$Q$5:$Q$23</c:f>
              <c:numCache>
                <c:formatCode>General</c:formatCode>
                <c:ptCount val="19"/>
                <c:pt idx="2">
                  <c:v>995871.18845340004</c:v>
                </c:pt>
                <c:pt idx="3">
                  <c:v>1063651.4467383001</c:v>
                </c:pt>
                <c:pt idx="4">
                  <c:v>1044372.1008357001</c:v>
                </c:pt>
                <c:pt idx="5">
                  <c:v>886550.56059570005</c:v>
                </c:pt>
                <c:pt idx="6">
                  <c:v>1097156.2998144</c:v>
                </c:pt>
                <c:pt idx="7">
                  <c:v>939878.75005290005</c:v>
                </c:pt>
                <c:pt idx="8">
                  <c:v>1116495.8686412999</c:v>
                </c:pt>
                <c:pt idx="9">
                  <c:v>1158829.057029</c:v>
                </c:pt>
                <c:pt idx="10">
                  <c:v>1279293.5714286</c:v>
                </c:pt>
                <c:pt idx="11">
                  <c:v>1499048.1245103001</c:v>
                </c:pt>
                <c:pt idx="12">
                  <c:v>1504977.6390978</c:v>
                </c:pt>
                <c:pt idx="13">
                  <c:v>1365250.9814978098</c:v>
                </c:pt>
                <c:pt idx="14">
                  <c:v>1327526</c:v>
                </c:pt>
                <c:pt idx="15">
                  <c:v>1638558.9397691786</c:v>
                </c:pt>
                <c:pt idx="16">
                  <c:v>1842422.6925928909</c:v>
                </c:pt>
                <c:pt idx="17">
                  <c:v>1942256.289243398</c:v>
                </c:pt>
                <c:pt idx="18">
                  <c:v>2173652.5417372668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D-F943-A86B-64449A39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22591"/>
        <c:axId val="1898024239"/>
      </c:lineChart>
      <c:catAx>
        <c:axId val="189802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4239"/>
        <c:crosses val="autoZero"/>
        <c:auto val="1"/>
        <c:lblAlgn val="ctr"/>
        <c:lblOffset val="100"/>
        <c:noMultiLvlLbl val="0"/>
      </c:catAx>
      <c:valAx>
        <c:axId val="18980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'tab6'!$P$4:$P$6</c:f>
              <c:strCache>
                <c:ptCount val="3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'tab6'!$O$7:$O$23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'tab6'!$P$7:$P$23</c:f>
              <c:numCache>
                <c:formatCode>General</c:formatCode>
                <c:ptCount val="17"/>
                <c:pt idx="0">
                  <c:v>2757810</c:v>
                </c:pt>
                <c:pt idx="1">
                  <c:v>2890682</c:v>
                </c:pt>
                <c:pt idx="2">
                  <c:v>2756147</c:v>
                </c:pt>
                <c:pt idx="3">
                  <c:v>2453845</c:v>
                </c:pt>
                <c:pt idx="4">
                  <c:v>3123790</c:v>
                </c:pt>
                <c:pt idx="5">
                  <c:v>3068342</c:v>
                </c:pt>
                <c:pt idx="6">
                  <c:v>3196726</c:v>
                </c:pt>
                <c:pt idx="7">
                  <c:v>2677117</c:v>
                </c:pt>
                <c:pt idx="8">
                  <c:v>2967007</c:v>
                </c:pt>
                <c:pt idx="9">
                  <c:v>3360931</c:v>
                </c:pt>
                <c:pt idx="10">
                  <c:v>3331306</c:v>
                </c:pt>
                <c:pt idx="11">
                  <c:v>3097179</c:v>
                </c:pt>
                <c:pt idx="12">
                  <c:v>3042044</c:v>
                </c:pt>
                <c:pt idx="13">
                  <c:v>3357984</c:v>
                </c:pt>
                <c:pt idx="14">
                  <c:v>3927090</c:v>
                </c:pt>
                <c:pt idx="15">
                  <c:v>3926339</c:v>
                </c:pt>
                <c:pt idx="16">
                  <c:v>4296086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4-FE4B-A6B8-2A6D00A4C7F1}"/>
            </c:ext>
          </c:extLst>
        </c:ser>
        <c:ser>
          <c:idx val="1"/>
          <c:order val="1"/>
          <c:tx>
            <c:strRef>
              <c:f>'tab6'!$Q$4:$Q$6</c:f>
              <c:strCache>
                <c:ptCount val="3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'tab6'!$O$7:$O$23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'tab6'!$Q$7:$Q$23</c:f>
              <c:numCache>
                <c:formatCode>General</c:formatCode>
                <c:ptCount val="17"/>
                <c:pt idx="0">
                  <c:v>995871.18845340004</c:v>
                </c:pt>
                <c:pt idx="1">
                  <c:v>1063651.4467383001</c:v>
                </c:pt>
                <c:pt idx="2">
                  <c:v>1044372.1008357001</c:v>
                </c:pt>
                <c:pt idx="3">
                  <c:v>886550.56059570005</c:v>
                </c:pt>
                <c:pt idx="4">
                  <c:v>1097156.2998144</c:v>
                </c:pt>
                <c:pt idx="5">
                  <c:v>939878.75005290005</c:v>
                </c:pt>
                <c:pt idx="6">
                  <c:v>1116495.8686412999</c:v>
                </c:pt>
                <c:pt idx="7">
                  <c:v>1158829.057029</c:v>
                </c:pt>
                <c:pt idx="8">
                  <c:v>1279293.5714286</c:v>
                </c:pt>
                <c:pt idx="9">
                  <c:v>1499048.1245103001</c:v>
                </c:pt>
                <c:pt idx="10">
                  <c:v>1504977.6390978</c:v>
                </c:pt>
                <c:pt idx="11">
                  <c:v>1365250.9814978098</c:v>
                </c:pt>
                <c:pt idx="12">
                  <c:v>1327526</c:v>
                </c:pt>
                <c:pt idx="13">
                  <c:v>1638558.9397691786</c:v>
                </c:pt>
                <c:pt idx="14">
                  <c:v>1842422.6925928909</c:v>
                </c:pt>
                <c:pt idx="15">
                  <c:v>1942256.289243398</c:v>
                </c:pt>
                <c:pt idx="16">
                  <c:v>2173652.5417372668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4-FE4B-A6B8-2A6D00A4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842351"/>
        <c:axId val="1837843999"/>
      </c:lineChart>
      <c:catAx>
        <c:axId val="18378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3999"/>
        <c:crosses val="autoZero"/>
        <c:auto val="1"/>
        <c:lblAlgn val="ctr"/>
        <c:lblOffset val="100"/>
        <c:noMultiLvlLbl val="0"/>
      </c:catAx>
      <c:valAx>
        <c:axId val="1837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5" name="Picture 1" descr="PrintLogo">
          <a:extLst>
            <a:ext uri="{FF2B5EF4-FFF2-40B4-BE49-F238E27FC236}">
              <a16:creationId xmlns:a16="http://schemas.microsoft.com/office/drawing/2014/main" id="{00000000-0008-0000-0000-0000F1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6" name="Picture 2" descr="PrintLogo">
          <a:extLst>
            <a:ext uri="{FF2B5EF4-FFF2-40B4-BE49-F238E27FC236}">
              <a16:creationId xmlns:a16="http://schemas.microsoft.com/office/drawing/2014/main" id="{00000000-0008-0000-0000-0000F2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7" name="Picture 3" descr="PrintLogo">
          <a:extLst>
            <a:ext uri="{FF2B5EF4-FFF2-40B4-BE49-F238E27FC236}">
              <a16:creationId xmlns:a16="http://schemas.microsoft.com/office/drawing/2014/main" id="{00000000-0008-0000-0000-0000F3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8" name="Picture 4" descr="PrintLogo">
          <a:extLst>
            <a:ext uri="{FF2B5EF4-FFF2-40B4-BE49-F238E27FC236}">
              <a16:creationId xmlns:a16="http://schemas.microsoft.com/office/drawing/2014/main" id="{00000000-0008-0000-0000-0000F4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9" name="Picture 5" descr="PrintLogo">
          <a:extLst>
            <a:ext uri="{FF2B5EF4-FFF2-40B4-BE49-F238E27FC236}">
              <a16:creationId xmlns:a16="http://schemas.microsoft.com/office/drawing/2014/main" id="{00000000-0008-0000-0000-0000F5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0" name="Picture 6" descr="PrintLogo">
          <a:extLst>
            <a:ext uri="{FF2B5EF4-FFF2-40B4-BE49-F238E27FC236}">
              <a16:creationId xmlns:a16="http://schemas.microsoft.com/office/drawing/2014/main" id="{00000000-0008-0000-0000-0000F6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1" name="Picture 7" descr="PrintLogo">
          <a:extLst>
            <a:ext uri="{FF2B5EF4-FFF2-40B4-BE49-F238E27FC236}">
              <a16:creationId xmlns:a16="http://schemas.microsoft.com/office/drawing/2014/main" id="{00000000-0008-0000-0000-0000F7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2" name="Picture 8" descr="PrintLogo">
          <a:extLst>
            <a:ext uri="{FF2B5EF4-FFF2-40B4-BE49-F238E27FC236}">
              <a16:creationId xmlns:a16="http://schemas.microsoft.com/office/drawing/2014/main" id="{00000000-0008-0000-0000-0000F8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3" name="Picture 9" descr="PrintLogo">
          <a:extLst>
            <a:ext uri="{FF2B5EF4-FFF2-40B4-BE49-F238E27FC236}">
              <a16:creationId xmlns:a16="http://schemas.microsoft.com/office/drawing/2014/main" id="{00000000-0008-0000-0000-0000F9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4" name="Picture 10" descr="PrintLogo">
          <a:extLst>
            <a:ext uri="{FF2B5EF4-FFF2-40B4-BE49-F238E27FC236}">
              <a16:creationId xmlns:a16="http://schemas.microsoft.com/office/drawing/2014/main" id="{00000000-0008-0000-0000-0000FA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5" name="Picture 11" descr="PrintLogo">
          <a:extLst>
            <a:ext uri="{FF2B5EF4-FFF2-40B4-BE49-F238E27FC236}">
              <a16:creationId xmlns:a16="http://schemas.microsoft.com/office/drawing/2014/main" id="{00000000-0008-0000-0000-0000FB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6" name="Picture 12" descr="PrintLogo">
          <a:extLst>
            <a:ext uri="{FF2B5EF4-FFF2-40B4-BE49-F238E27FC236}">
              <a16:creationId xmlns:a16="http://schemas.microsoft.com/office/drawing/2014/main" id="{00000000-0008-0000-0000-0000FC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7" name="Picture 13" descr="PrintLogo">
          <a:extLst>
            <a:ext uri="{FF2B5EF4-FFF2-40B4-BE49-F238E27FC236}">
              <a16:creationId xmlns:a16="http://schemas.microsoft.com/office/drawing/2014/main" id="{00000000-0008-0000-0000-0000FD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8" name="Picture 14" descr="PrintLogo">
          <a:extLst>
            <a:ext uri="{FF2B5EF4-FFF2-40B4-BE49-F238E27FC236}">
              <a16:creationId xmlns:a16="http://schemas.microsoft.com/office/drawing/2014/main" id="{00000000-0008-0000-0000-0000FE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9" name="Picture 15" descr="PrintLogo">
          <a:extLst>
            <a:ext uri="{FF2B5EF4-FFF2-40B4-BE49-F238E27FC236}">
              <a16:creationId xmlns:a16="http://schemas.microsoft.com/office/drawing/2014/main" id="{00000000-0008-0000-0000-0000FF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0" name="Picture 16" descr="PrintLogo">
          <a:extLst>
            <a:ext uri="{FF2B5EF4-FFF2-40B4-BE49-F238E27FC236}">
              <a16:creationId xmlns:a16="http://schemas.microsoft.com/office/drawing/2014/main" id="{00000000-0008-0000-0000-00000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1" name="Picture 17" descr="PrintLogo">
          <a:extLst>
            <a:ext uri="{FF2B5EF4-FFF2-40B4-BE49-F238E27FC236}">
              <a16:creationId xmlns:a16="http://schemas.microsoft.com/office/drawing/2014/main" id="{00000000-0008-0000-0000-00000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2" name="Picture 18" descr="PrintLogo">
          <a:extLst>
            <a:ext uri="{FF2B5EF4-FFF2-40B4-BE49-F238E27FC236}">
              <a16:creationId xmlns:a16="http://schemas.microsoft.com/office/drawing/2014/main" id="{00000000-0008-0000-0000-00000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3" name="Picture 19" descr="PrintLogo">
          <a:extLst>
            <a:ext uri="{FF2B5EF4-FFF2-40B4-BE49-F238E27FC236}">
              <a16:creationId xmlns:a16="http://schemas.microsoft.com/office/drawing/2014/main" id="{00000000-0008-0000-0000-00000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4" name="Picture 20" descr="PrintLogo">
          <a:extLst>
            <a:ext uri="{FF2B5EF4-FFF2-40B4-BE49-F238E27FC236}">
              <a16:creationId xmlns:a16="http://schemas.microsoft.com/office/drawing/2014/main" id="{00000000-0008-0000-0000-00000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5" name="Picture 21" descr="PrintLogo">
          <a:extLst>
            <a:ext uri="{FF2B5EF4-FFF2-40B4-BE49-F238E27FC236}">
              <a16:creationId xmlns:a16="http://schemas.microsoft.com/office/drawing/2014/main" id="{00000000-0008-0000-0000-00000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6" name="Picture 22" descr="PrintLogo">
          <a:extLst>
            <a:ext uri="{FF2B5EF4-FFF2-40B4-BE49-F238E27FC236}">
              <a16:creationId xmlns:a16="http://schemas.microsoft.com/office/drawing/2014/main" id="{00000000-0008-0000-0000-00000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7" name="Picture 23" descr="PrintLogo">
          <a:extLst>
            <a:ext uri="{FF2B5EF4-FFF2-40B4-BE49-F238E27FC236}">
              <a16:creationId xmlns:a16="http://schemas.microsoft.com/office/drawing/2014/main" id="{00000000-0008-0000-0000-00000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8" name="Picture 24" descr="PrintLogo">
          <a:extLst>
            <a:ext uri="{FF2B5EF4-FFF2-40B4-BE49-F238E27FC236}">
              <a16:creationId xmlns:a16="http://schemas.microsoft.com/office/drawing/2014/main" id="{00000000-0008-0000-0000-00000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9" name="Picture 25" descr="PrintLogo">
          <a:extLst>
            <a:ext uri="{FF2B5EF4-FFF2-40B4-BE49-F238E27FC236}">
              <a16:creationId xmlns:a16="http://schemas.microsoft.com/office/drawing/2014/main" id="{00000000-0008-0000-0000-00000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0" name="Picture 26" descr="PrintLogo">
          <a:extLst>
            <a:ext uri="{FF2B5EF4-FFF2-40B4-BE49-F238E27FC236}">
              <a16:creationId xmlns:a16="http://schemas.microsoft.com/office/drawing/2014/main" id="{00000000-0008-0000-0000-00000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1" name="Picture 27" descr="PrintLogo">
          <a:extLst>
            <a:ext uri="{FF2B5EF4-FFF2-40B4-BE49-F238E27FC236}">
              <a16:creationId xmlns:a16="http://schemas.microsoft.com/office/drawing/2014/main" id="{00000000-0008-0000-0000-00000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2" name="Picture 28" descr="PrintLogo">
          <a:extLst>
            <a:ext uri="{FF2B5EF4-FFF2-40B4-BE49-F238E27FC236}">
              <a16:creationId xmlns:a16="http://schemas.microsoft.com/office/drawing/2014/main" id="{00000000-0008-0000-0000-00000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3" name="Picture 29" descr="PrintLogo">
          <a:extLst>
            <a:ext uri="{FF2B5EF4-FFF2-40B4-BE49-F238E27FC236}">
              <a16:creationId xmlns:a16="http://schemas.microsoft.com/office/drawing/2014/main" id="{00000000-0008-0000-0000-00000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4" name="Picture 30" descr="PrintLogo">
          <a:extLst>
            <a:ext uri="{FF2B5EF4-FFF2-40B4-BE49-F238E27FC236}">
              <a16:creationId xmlns:a16="http://schemas.microsoft.com/office/drawing/2014/main" id="{00000000-0008-0000-0000-00000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5" name="Picture 31" descr="PrintLogo">
          <a:extLst>
            <a:ext uri="{FF2B5EF4-FFF2-40B4-BE49-F238E27FC236}">
              <a16:creationId xmlns:a16="http://schemas.microsoft.com/office/drawing/2014/main" id="{00000000-0008-0000-0000-00000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6" name="Picture 32" descr="PrintLogo">
          <a:extLst>
            <a:ext uri="{FF2B5EF4-FFF2-40B4-BE49-F238E27FC236}">
              <a16:creationId xmlns:a16="http://schemas.microsoft.com/office/drawing/2014/main" id="{00000000-0008-0000-0000-00001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7" name="Picture 33" descr="PrintLogo">
          <a:extLst>
            <a:ext uri="{FF2B5EF4-FFF2-40B4-BE49-F238E27FC236}">
              <a16:creationId xmlns:a16="http://schemas.microsoft.com/office/drawing/2014/main" id="{00000000-0008-0000-0000-00001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8" name="Picture 34" descr="PrintLogo">
          <a:extLst>
            <a:ext uri="{FF2B5EF4-FFF2-40B4-BE49-F238E27FC236}">
              <a16:creationId xmlns:a16="http://schemas.microsoft.com/office/drawing/2014/main" id="{00000000-0008-0000-0000-00001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9" name="Picture 35" descr="PrintLogo">
          <a:extLst>
            <a:ext uri="{FF2B5EF4-FFF2-40B4-BE49-F238E27FC236}">
              <a16:creationId xmlns:a16="http://schemas.microsoft.com/office/drawing/2014/main" id="{00000000-0008-0000-0000-00001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0" name="Picture 36" descr="PrintLogo">
          <a:extLst>
            <a:ext uri="{FF2B5EF4-FFF2-40B4-BE49-F238E27FC236}">
              <a16:creationId xmlns:a16="http://schemas.microsoft.com/office/drawing/2014/main" id="{00000000-0008-0000-0000-00001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1" name="Picture 37" descr="PrintLogo">
          <a:extLst>
            <a:ext uri="{FF2B5EF4-FFF2-40B4-BE49-F238E27FC236}">
              <a16:creationId xmlns:a16="http://schemas.microsoft.com/office/drawing/2014/main" id="{00000000-0008-0000-0000-00001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2" name="Picture 38" descr="PrintLogo">
          <a:extLst>
            <a:ext uri="{FF2B5EF4-FFF2-40B4-BE49-F238E27FC236}">
              <a16:creationId xmlns:a16="http://schemas.microsoft.com/office/drawing/2014/main" id="{00000000-0008-0000-0000-00001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3" name="Picture 39" descr="PrintLogo">
          <a:extLst>
            <a:ext uri="{FF2B5EF4-FFF2-40B4-BE49-F238E27FC236}">
              <a16:creationId xmlns:a16="http://schemas.microsoft.com/office/drawing/2014/main" id="{00000000-0008-0000-0000-00001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4" name="Picture 40" descr="PrintLogo">
          <a:extLst>
            <a:ext uri="{FF2B5EF4-FFF2-40B4-BE49-F238E27FC236}">
              <a16:creationId xmlns:a16="http://schemas.microsoft.com/office/drawing/2014/main" id="{00000000-0008-0000-0000-00001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5" name="Picture 41" descr="PrintLogo">
          <a:extLst>
            <a:ext uri="{FF2B5EF4-FFF2-40B4-BE49-F238E27FC236}">
              <a16:creationId xmlns:a16="http://schemas.microsoft.com/office/drawing/2014/main" id="{00000000-0008-0000-0000-00001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6" name="Picture 42" descr="PrintLogo">
          <a:extLst>
            <a:ext uri="{FF2B5EF4-FFF2-40B4-BE49-F238E27FC236}">
              <a16:creationId xmlns:a16="http://schemas.microsoft.com/office/drawing/2014/main" id="{00000000-0008-0000-0000-00001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7" name="Picture 2098" descr="PrintLogo">
          <a:extLst>
            <a:ext uri="{FF2B5EF4-FFF2-40B4-BE49-F238E27FC236}">
              <a16:creationId xmlns:a16="http://schemas.microsoft.com/office/drawing/2014/main" id="{00000000-0008-0000-0000-00001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8" name="Picture 2099" descr="PrintLogo">
          <a:extLst>
            <a:ext uri="{FF2B5EF4-FFF2-40B4-BE49-F238E27FC236}">
              <a16:creationId xmlns:a16="http://schemas.microsoft.com/office/drawing/2014/main" id="{00000000-0008-0000-0000-00001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9" name="Picture 2100" descr="PrintLogo">
          <a:extLst>
            <a:ext uri="{FF2B5EF4-FFF2-40B4-BE49-F238E27FC236}">
              <a16:creationId xmlns:a16="http://schemas.microsoft.com/office/drawing/2014/main" id="{00000000-0008-0000-0000-00001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0" name="Picture 2101" descr="PrintLogo">
          <a:extLst>
            <a:ext uri="{FF2B5EF4-FFF2-40B4-BE49-F238E27FC236}">
              <a16:creationId xmlns:a16="http://schemas.microsoft.com/office/drawing/2014/main" id="{00000000-0008-0000-0000-00001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1" name="Picture 2102" descr="PrintLogo">
          <a:extLst>
            <a:ext uri="{FF2B5EF4-FFF2-40B4-BE49-F238E27FC236}">
              <a16:creationId xmlns:a16="http://schemas.microsoft.com/office/drawing/2014/main" id="{00000000-0008-0000-0000-00001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2" name="Picture 2103" descr="PrintLogo">
          <a:extLst>
            <a:ext uri="{FF2B5EF4-FFF2-40B4-BE49-F238E27FC236}">
              <a16:creationId xmlns:a16="http://schemas.microsoft.com/office/drawing/2014/main" id="{00000000-0008-0000-0000-00002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3" name="Picture 2104" descr="PrintLogo">
          <a:extLst>
            <a:ext uri="{FF2B5EF4-FFF2-40B4-BE49-F238E27FC236}">
              <a16:creationId xmlns:a16="http://schemas.microsoft.com/office/drawing/2014/main" id="{00000000-0008-0000-0000-00002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4" name="Picture 2105" descr="PrintLogo">
          <a:extLst>
            <a:ext uri="{FF2B5EF4-FFF2-40B4-BE49-F238E27FC236}">
              <a16:creationId xmlns:a16="http://schemas.microsoft.com/office/drawing/2014/main" id="{00000000-0008-0000-0000-00002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145</xdr:row>
      <xdr:rowOff>12706</xdr:rowOff>
    </xdr:from>
    <xdr:to>
      <xdr:col>34</xdr:col>
      <xdr:colOff>317500</xdr:colOff>
      <xdr:row>164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4B80A-1496-CA47-B5A2-6F0BB5EC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215900</xdr:colOff>
      <xdr:row>10</xdr:row>
      <xdr:rowOff>50812</xdr:rowOff>
    </xdr:from>
    <xdr:to>
      <xdr:col>28</xdr:col>
      <xdr:colOff>215900</xdr:colOff>
      <xdr:row>28</xdr:row>
      <xdr:rowOff>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70A91-0526-574C-BEFE-D67462929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rs.usda.gov/data-products/oil-crops-yearbook.asp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F89"/>
  <sheetViews>
    <sheetView topLeftCell="A11" workbookViewId="0">
      <selection activeCell="A18" sqref="A18"/>
    </sheetView>
  </sheetViews>
  <sheetFormatPr baseColWidth="10" defaultColWidth="11.25" defaultRowHeight="13"/>
  <cols>
    <col min="1" max="1" width="117.25" style="181" bestFit="1" customWidth="1"/>
    <col min="2" max="16384" width="11.25" style="178"/>
  </cols>
  <sheetData>
    <row r="1" spans="1:6" ht="44.25" customHeight="1">
      <c r="A1" s="177"/>
    </row>
    <row r="2" spans="1:6" ht="18">
      <c r="A2" s="185" t="s">
        <v>776</v>
      </c>
    </row>
    <row r="3" spans="1:6" s="180" customFormat="1">
      <c r="A3" s="179"/>
      <c r="B3" s="178"/>
    </row>
    <row r="4" spans="1:6">
      <c r="A4" s="184" t="s">
        <v>673</v>
      </c>
      <c r="C4" s="183"/>
    </row>
    <row r="5" spans="1:6">
      <c r="A5" s="10" t="s">
        <v>548</v>
      </c>
      <c r="C5" s="183"/>
    </row>
    <row r="6" spans="1:6">
      <c r="A6" s="182" t="s">
        <v>549</v>
      </c>
      <c r="C6" s="183"/>
    </row>
    <row r="7" spans="1:6" s="180" customFormat="1">
      <c r="A7" s="179"/>
      <c r="B7" s="178"/>
    </row>
    <row r="8" spans="1:6" ht="12.75" customHeight="1">
      <c r="A8" s="184" t="s">
        <v>565</v>
      </c>
    </row>
    <row r="9" spans="1:6" ht="14">
      <c r="A9" s="258" t="s">
        <v>686</v>
      </c>
      <c r="B9" s="217"/>
      <c r="F9" s="276"/>
    </row>
    <row r="10" spans="1:6">
      <c r="B10" s="217"/>
    </row>
    <row r="11" spans="1:6">
      <c r="A11" s="184" t="s">
        <v>550</v>
      </c>
      <c r="B11" s="217"/>
    </row>
    <row r="12" spans="1:6" ht="14">
      <c r="A12" s="259" t="s">
        <v>687</v>
      </c>
      <c r="B12" s="217"/>
      <c r="F12" s="276"/>
    </row>
    <row r="13" spans="1:6" ht="14">
      <c r="A13" s="259" t="s">
        <v>688</v>
      </c>
      <c r="B13" s="217"/>
      <c r="F13" s="276"/>
    </row>
    <row r="14" spans="1:6" ht="14">
      <c r="A14" s="259" t="s">
        <v>689</v>
      </c>
      <c r="B14" s="217"/>
      <c r="F14" s="276"/>
    </row>
    <row r="15" spans="1:6" ht="14">
      <c r="A15" s="259" t="s">
        <v>690</v>
      </c>
      <c r="B15" s="217"/>
      <c r="F15" s="276"/>
    </row>
    <row r="16" spans="1:6">
      <c r="A16" s="183"/>
      <c r="B16" s="217"/>
    </row>
    <row r="17" spans="1:6">
      <c r="A17" s="184" t="s">
        <v>551</v>
      </c>
      <c r="B17" s="217"/>
    </row>
    <row r="18" spans="1:6" ht="14">
      <c r="A18" s="259" t="s">
        <v>691</v>
      </c>
      <c r="B18" s="217"/>
      <c r="F18" s="276"/>
    </row>
    <row r="19" spans="1:6" ht="14">
      <c r="A19" s="259" t="s">
        <v>692</v>
      </c>
      <c r="B19" s="217"/>
      <c r="F19" s="276"/>
    </row>
    <row r="20" spans="1:6" ht="14">
      <c r="A20" s="258" t="s">
        <v>693</v>
      </c>
      <c r="B20" s="217"/>
      <c r="F20" s="276"/>
    </row>
    <row r="21" spans="1:6">
      <c r="A21" s="183"/>
      <c r="B21" s="217"/>
    </row>
    <row r="22" spans="1:6">
      <c r="A22" s="184" t="s">
        <v>564</v>
      </c>
      <c r="B22" s="217"/>
    </row>
    <row r="23" spans="1:6" ht="14">
      <c r="A23" s="258" t="s">
        <v>694</v>
      </c>
      <c r="B23" s="217"/>
      <c r="F23" s="276"/>
    </row>
    <row r="24" spans="1:6">
      <c r="A24" s="178"/>
      <c r="B24" s="217"/>
    </row>
    <row r="25" spans="1:6">
      <c r="A25" s="184" t="s">
        <v>563</v>
      </c>
      <c r="B25" s="217"/>
    </row>
    <row r="26" spans="1:6" ht="14">
      <c r="A26" s="258" t="s">
        <v>695</v>
      </c>
      <c r="B26" s="217"/>
      <c r="F26" s="276"/>
    </row>
    <row r="27" spans="1:6" ht="14">
      <c r="A27" s="258" t="s">
        <v>696</v>
      </c>
      <c r="B27" s="217"/>
      <c r="F27" s="276"/>
    </row>
    <row r="28" spans="1:6">
      <c r="A28" s="178"/>
      <c r="B28" s="217"/>
    </row>
    <row r="29" spans="1:6">
      <c r="A29" s="184" t="s">
        <v>562</v>
      </c>
      <c r="B29" s="217"/>
    </row>
    <row r="30" spans="1:6" ht="14">
      <c r="A30" s="258" t="s">
        <v>697</v>
      </c>
      <c r="B30" s="217"/>
      <c r="F30" s="276"/>
    </row>
    <row r="31" spans="1:6" ht="14">
      <c r="A31" s="258" t="s">
        <v>698</v>
      </c>
      <c r="B31" s="217"/>
      <c r="F31" s="276"/>
    </row>
    <row r="32" spans="1:6" ht="14">
      <c r="A32" s="258" t="s">
        <v>699</v>
      </c>
      <c r="B32" s="217"/>
      <c r="F32" s="276"/>
    </row>
    <row r="33" spans="1:6" ht="14">
      <c r="A33" s="258" t="s">
        <v>700</v>
      </c>
      <c r="B33" s="217"/>
      <c r="F33" s="276"/>
    </row>
    <row r="34" spans="1:6">
      <c r="A34" s="178"/>
      <c r="B34" s="217"/>
    </row>
    <row r="35" spans="1:6">
      <c r="A35" s="184" t="s">
        <v>561</v>
      </c>
      <c r="B35" s="217"/>
    </row>
    <row r="36" spans="1:6" ht="14">
      <c r="A36" s="258" t="s">
        <v>701</v>
      </c>
      <c r="B36" s="217"/>
      <c r="F36" s="276"/>
    </row>
    <row r="37" spans="1:6" ht="14">
      <c r="A37" s="258" t="s">
        <v>702</v>
      </c>
      <c r="B37" s="217"/>
      <c r="F37" s="276"/>
    </row>
    <row r="38" spans="1:6" ht="14">
      <c r="A38" s="258" t="s">
        <v>703</v>
      </c>
      <c r="B38" s="217"/>
      <c r="F38" s="276"/>
    </row>
    <row r="39" spans="1:6" ht="14">
      <c r="A39" s="258" t="s">
        <v>704</v>
      </c>
      <c r="B39" s="217"/>
      <c r="F39" s="276"/>
    </row>
    <row r="40" spans="1:6">
      <c r="A40" s="10"/>
      <c r="B40" s="217"/>
    </row>
    <row r="41" spans="1:6">
      <c r="A41" s="184" t="s">
        <v>560</v>
      </c>
      <c r="B41" s="217"/>
    </row>
    <row r="42" spans="1:6" ht="14">
      <c r="A42" s="259" t="s">
        <v>705</v>
      </c>
      <c r="B42" s="217"/>
      <c r="F42" s="276"/>
    </row>
    <row r="43" spans="1:6" ht="14">
      <c r="A43" s="258" t="s">
        <v>706</v>
      </c>
      <c r="B43" s="217"/>
      <c r="F43" s="276"/>
    </row>
    <row r="44" spans="1:6" ht="14">
      <c r="A44" s="258" t="s">
        <v>707</v>
      </c>
      <c r="B44" s="217"/>
      <c r="F44" s="276"/>
    </row>
    <row r="45" spans="1:6" ht="14">
      <c r="A45" s="258" t="s">
        <v>708</v>
      </c>
      <c r="B45" s="217"/>
      <c r="F45" s="276"/>
    </row>
    <row r="46" spans="1:6">
      <c r="A46" s="10"/>
      <c r="B46" s="217"/>
    </row>
    <row r="47" spans="1:6">
      <c r="A47" s="184" t="s">
        <v>559</v>
      </c>
      <c r="B47" s="217"/>
    </row>
    <row r="48" spans="1:6" ht="14">
      <c r="A48" s="258" t="s">
        <v>709</v>
      </c>
      <c r="B48" s="217"/>
      <c r="F48" s="276"/>
    </row>
    <row r="49" spans="1:6" ht="14">
      <c r="A49" s="258" t="s">
        <v>710</v>
      </c>
      <c r="B49" s="217"/>
      <c r="F49" s="276"/>
    </row>
    <row r="50" spans="1:6" ht="14">
      <c r="A50" s="258" t="s">
        <v>719</v>
      </c>
      <c r="B50" s="217"/>
      <c r="F50" s="276"/>
    </row>
    <row r="51" spans="1:6">
      <c r="A51" s="10"/>
      <c r="B51" s="217"/>
    </row>
    <row r="52" spans="1:6">
      <c r="A52" s="184" t="s">
        <v>558</v>
      </c>
      <c r="B52" s="217"/>
    </row>
    <row r="53" spans="1:6" ht="14">
      <c r="A53" s="258" t="s">
        <v>712</v>
      </c>
      <c r="B53" s="217"/>
      <c r="F53" s="276"/>
    </row>
    <row r="54" spans="1:6" ht="14">
      <c r="A54" s="259" t="s">
        <v>713</v>
      </c>
      <c r="B54" s="217"/>
      <c r="F54" s="276"/>
    </row>
    <row r="55" spans="1:6" ht="14">
      <c r="A55" s="259" t="s">
        <v>714</v>
      </c>
      <c r="B55" s="217"/>
      <c r="F55" s="276"/>
    </row>
    <row r="56" spans="1:6" ht="14">
      <c r="A56" s="259" t="s">
        <v>715</v>
      </c>
      <c r="B56" s="217"/>
      <c r="F56" s="276"/>
    </row>
    <row r="57" spans="1:6">
      <c r="A57" s="49"/>
      <c r="B57" s="217"/>
    </row>
    <row r="58" spans="1:6">
      <c r="A58" s="184" t="s">
        <v>552</v>
      </c>
      <c r="B58" s="217"/>
    </row>
    <row r="59" spans="1:6" ht="14">
      <c r="A59" s="259" t="s">
        <v>720</v>
      </c>
      <c r="B59" s="217"/>
      <c r="F59" s="276"/>
    </row>
    <row r="60" spans="1:6">
      <c r="B60" s="217"/>
    </row>
    <row r="61" spans="1:6">
      <c r="A61" s="184" t="s">
        <v>555</v>
      </c>
      <c r="B61" s="217"/>
    </row>
    <row r="62" spans="1:6" ht="14">
      <c r="A62" s="259" t="s">
        <v>716</v>
      </c>
      <c r="B62" s="217"/>
      <c r="F62" s="276"/>
    </row>
    <row r="63" spans="1:6">
      <c r="A63" s="10"/>
      <c r="B63" s="217"/>
    </row>
    <row r="64" spans="1:6">
      <c r="A64" s="184" t="s">
        <v>554</v>
      </c>
      <c r="B64" s="217"/>
    </row>
    <row r="65" spans="1:6">
      <c r="A65" s="258" t="s">
        <v>721</v>
      </c>
      <c r="B65" s="217"/>
    </row>
    <row r="66" spans="1:6">
      <c r="A66" s="10"/>
      <c r="B66" s="217"/>
    </row>
    <row r="67" spans="1:6">
      <c r="A67" s="184" t="s">
        <v>553</v>
      </c>
      <c r="B67" s="217"/>
    </row>
    <row r="68" spans="1:6">
      <c r="A68" s="258" t="s">
        <v>527</v>
      </c>
      <c r="B68" s="217"/>
      <c r="F68" s="268"/>
    </row>
    <row r="69" spans="1:6">
      <c r="A69" s="258" t="s">
        <v>528</v>
      </c>
      <c r="B69" s="217"/>
      <c r="F69" s="268"/>
    </row>
    <row r="70" spans="1:6">
      <c r="A70" s="258" t="s">
        <v>529</v>
      </c>
      <c r="B70" s="217"/>
      <c r="F70" s="268"/>
    </row>
    <row r="71" spans="1:6">
      <c r="A71" s="258" t="s">
        <v>530</v>
      </c>
      <c r="B71" s="217"/>
      <c r="F71" s="268"/>
    </row>
    <row r="72" spans="1:6">
      <c r="A72" s="258" t="s">
        <v>531</v>
      </c>
      <c r="B72" s="217"/>
      <c r="F72" s="268"/>
    </row>
    <row r="73" spans="1:6">
      <c r="A73" s="258" t="s">
        <v>532</v>
      </c>
      <c r="B73" s="217"/>
      <c r="F73" s="268"/>
    </row>
    <row r="74" spans="1:6">
      <c r="A74" s="258" t="s">
        <v>533</v>
      </c>
      <c r="B74" s="217"/>
      <c r="F74" s="268"/>
    </row>
    <row r="75" spans="1:6">
      <c r="A75" s="258" t="s">
        <v>534</v>
      </c>
      <c r="B75" s="217"/>
      <c r="F75" s="268"/>
    </row>
    <row r="76" spans="1:6">
      <c r="A76" s="258" t="s">
        <v>717</v>
      </c>
      <c r="B76" s="217"/>
      <c r="F76" s="268"/>
    </row>
    <row r="77" spans="1:6">
      <c r="A77" s="258" t="s">
        <v>682</v>
      </c>
      <c r="B77" s="217"/>
      <c r="F77" s="268"/>
    </row>
    <row r="78" spans="1:6">
      <c r="A78" s="258" t="s">
        <v>681</v>
      </c>
      <c r="B78" s="217"/>
      <c r="F78" s="268"/>
    </row>
    <row r="79" spans="1:6">
      <c r="A79" s="184"/>
      <c r="B79" s="217"/>
      <c r="F79" s="268"/>
    </row>
    <row r="80" spans="1:6">
      <c r="A80" s="184" t="s">
        <v>556</v>
      </c>
      <c r="B80" s="217"/>
    </row>
    <row r="81" spans="1:6" ht="14">
      <c r="A81" s="258" t="s">
        <v>718</v>
      </c>
      <c r="B81" s="217"/>
      <c r="E81" s="182"/>
      <c r="F81" s="276"/>
    </row>
    <row r="82" spans="1:6">
      <c r="A82" s="10"/>
      <c r="B82" s="217"/>
    </row>
    <row r="83" spans="1:6">
      <c r="A83" s="184" t="s">
        <v>557</v>
      </c>
      <c r="B83" s="217"/>
    </row>
    <row r="84" spans="1:6" ht="14">
      <c r="A84" s="258" t="s">
        <v>683</v>
      </c>
      <c r="B84" s="217"/>
      <c r="E84" s="182"/>
      <c r="F84" s="276"/>
    </row>
    <row r="85" spans="1:6" ht="14">
      <c r="A85" s="258" t="s">
        <v>684</v>
      </c>
      <c r="B85" s="217"/>
      <c r="F85" s="276"/>
    </row>
    <row r="86" spans="1:6" ht="14">
      <c r="A86" s="258" t="s">
        <v>685</v>
      </c>
      <c r="B86" s="217"/>
      <c r="F86" s="276"/>
    </row>
    <row r="87" spans="1:6">
      <c r="A87" s="10"/>
      <c r="B87" s="217"/>
    </row>
    <row r="88" spans="1:6">
      <c r="A88" s="49" t="s">
        <v>674</v>
      </c>
      <c r="B88" s="217"/>
    </row>
    <row r="89" spans="1:6">
      <c r="A89" s="49" t="s">
        <v>675</v>
      </c>
    </row>
  </sheetData>
  <hyperlinks>
    <hyperlink ref="A6" r:id="rId1" xr:uid="{00000000-0004-0000-0000-000000000000}"/>
    <hyperlink ref="A9" location="tab01!A1" display="Table 1--Soybean stocks:  On-farm, off-farm, and total U.S., by quarter, 1999/00-2016/17" xr:uid="{00000000-0004-0000-0000-000001000000}"/>
    <hyperlink ref="A12" location="tab02!A1" display="Table 2--Soybeans:  Acreage planted, harvested, yield, production, value, and loan rate, U.S., 1960-2016" xr:uid="{00000000-0004-0000-0000-000002000000}"/>
    <hyperlink ref="A13" location="tab3!A1" display="Table 3--Soybeans:  Supply, disappearance, and price, U.S., 1980/81-2016/17" xr:uid="{00000000-0004-0000-0000-000003000000}"/>
    <hyperlink ref="A14" location="tab4!A1" display="Table 4--Soybean meal:  Supply, disappearance, and price, U.S., 1980/81-2016/17" xr:uid="{00000000-0004-0000-0000-000004000000}"/>
    <hyperlink ref="A15" location="tab5!A1" display="Table 5--Soybean oil:  Supply, disappearance, and price, U.S., 1980/81-2016/17" xr:uid="{00000000-0004-0000-0000-000005000000}"/>
    <hyperlink ref="A18" location="tab6!A1" display="Table 6--Soybeans: U.S. supply and disappearance, by crop year quarter, 2000/01-2015/16" xr:uid="{00000000-0004-0000-0000-000006000000}"/>
    <hyperlink ref="A19" location="tab7!A1" display="Table 7--Soybean meal:  Supply and disappearance, by month, U.S., 2007/08-2015/16" xr:uid="{00000000-0004-0000-0000-000007000000}"/>
    <hyperlink ref="A20" location="tab8!A1" display="Table 8--Soybean oil:  Supply and disappearance, by month, U.S., 2007/08-2015/16" xr:uid="{00000000-0004-0000-0000-000008000000}"/>
    <hyperlink ref="A23" location="'tab 9'!A1" display="Table 9--Soybeans: Monthly value of products per bushel of soybeans processed, and spot price spread, U.S., 1990/91-2015/16" xr:uid="{00000000-0004-0000-0000-000009000000}"/>
    <hyperlink ref="A26" location="'tab 10'!A1" display="Table 10--Peanuts:  Acreage planted, harvested, yield, production,  and  value, U.S., 1980-2016" xr:uid="{00000000-0004-0000-0000-00000A000000}"/>
    <hyperlink ref="A27" location="'tab 11'!A1" display="Table 11--Peanuts (farmers' stock basis):  Supply, disappearance, and price, U.S., 1980/81-2016/17" xr:uid="{00000000-0004-0000-0000-00000B000000}"/>
    <hyperlink ref="A30" location="'tab 12'!A1" display="Table 12--Peanuts:  Planted acreage, by State and region, 1980-2016" xr:uid="{00000000-0004-0000-0000-00000C000000}"/>
    <hyperlink ref="A31" location="'tab 13'!A1" display="Table 13--Peanuts:  Harvested acreage, by State and region, 1980-2016" xr:uid="{00000000-0004-0000-0000-00000D000000}"/>
    <hyperlink ref="A32" location="'tab 14'!A1" display="Table 14--Peanuts:  U.S. production, by State and region, 1980-2016" xr:uid="{00000000-0004-0000-0000-00000E000000}"/>
    <hyperlink ref="A33" location="'tab 15'!A1" display="Table 15--Peanuts:  Yield per harvested acre, by State and region, 1980-2016" xr:uid="{00000000-0004-0000-0000-00000F000000}"/>
    <hyperlink ref="A36" location="'tab 16'!A1" display="Table 16--Cottonseed:  Acreage planted, harvested, yield, production, and value, U.S., 1980-2016" xr:uid="{00000000-0004-0000-0000-000010000000}"/>
    <hyperlink ref="A37" location="'tab 17'!A1" display="Table 17--Cottonseed:  Supply, disappearance, and price, U.S., 1980/81-2016/17" xr:uid="{00000000-0004-0000-0000-000011000000}"/>
    <hyperlink ref="A38" location="'tab 18'!A1" display="Table 18--Cottonseed meal:  Supply, disappearance, and price, U.S., 1980/81-2016/17" xr:uid="{00000000-0004-0000-0000-000012000000}"/>
    <hyperlink ref="A39" location="'tab 19'!A1" display="Table 19--Cottonseed oil:  Supply, disappearance, and price, U.S., 1980/81-2016/17" xr:uid="{00000000-0004-0000-0000-000013000000}"/>
    <hyperlink ref="A42" location="tab20!A1" display="Table 20--Sunflowerseed: Acreage planted, harvested, yield, production, and value, U.S., 1980-2016" xr:uid="{00000000-0004-0000-0000-000014000000}"/>
    <hyperlink ref="A43" location="tab21!A1" display="Table 21--Sunflowerseed:  Supply, disappearance, and price, U.S., 1980/81-2016/17" xr:uid="{00000000-0004-0000-0000-000015000000}"/>
    <hyperlink ref="A44" location="tab22!A1" display="Table 22--Sunflowerseed meal:  Supply, disappearance, and price, U.S., 1980/81-2016/17" xr:uid="{00000000-0004-0000-0000-000016000000}"/>
    <hyperlink ref="A45" location="tab23!A1" display="Table 23--Sunflowerseed oil:  Supply, disappearance, and price, U.S., 1980/81-2016/17" xr:uid="{00000000-0004-0000-0000-000017000000}"/>
    <hyperlink ref="A48" location="tab24!A1" display="Table 24--Canola seed:  Acreage planted, harvested, yield, supply, disappearance, and value, U.S., 1991/92-2016/17" xr:uid="{00000000-0004-0000-0000-000018000000}"/>
    <hyperlink ref="A49" location="tab25!A1" display="Table 25--Canola oil:  Supply and disappearance, U.S., 1991/92-2016/17" xr:uid="{00000000-0004-0000-0000-000019000000}"/>
    <hyperlink ref="A50" location="tab26!A1" display="Table 26--Canola meal:  Supply and disappearance, U.S., 1991/92-2016/17" xr:uid="{00000000-0004-0000-0000-00001A000000}"/>
    <hyperlink ref="A53" location="tab27!A1" display="Table 27--Flaxseed:  Acreage planted, harvested, yield, production, and value, U.S., 1980-2016" xr:uid="{00000000-0004-0000-0000-00001B000000}"/>
    <hyperlink ref="A54" location="tab28!A1" display="Table 28--Flaxseed: Supply, disappearance, and price, U.S., 1980/81-2016/17" xr:uid="{00000000-0004-0000-0000-00001C000000}"/>
    <hyperlink ref="A55" location="tab29!A1" display="Table 29--Linseed meal:  Supply disappearance and price, U.S., 1980/81-2016/17" xr:uid="{00000000-0004-0000-0000-00001D000000}"/>
    <hyperlink ref="A56" location="tab30!A1" display="Table 30--Linseed oil:  Supply, disappearance, and price, U.S., 1980/81-2016/17" xr:uid="{00000000-0004-0000-0000-00001E000000}"/>
    <hyperlink ref="A59" location="tab31!A1" display="Table 31--Edible fats and oils: U.S. Supply and disappearance, 2003/04-2016/17" xr:uid="{00000000-0004-0000-0000-00001F000000}"/>
    <hyperlink ref="A62" location="tab32!A1" display="Table 32--Corn oil:  Supply, disappearance, and price, U.S., 1980/81-2016/17" xr:uid="{00000000-0004-0000-0000-000020000000}"/>
    <hyperlink ref="A65" location="'tab33(1)'!A1" display="Table 33--Prices:  Farm, wholesale, and index numbers of wholesale prices, by month, 2010-2016" xr:uid="{00000000-0004-0000-0000-000021000000}"/>
    <hyperlink ref="A68" location="tab34!A1" display="Table 34--Fats and oils:  Domestic consumption in food products, U.S., 1980-2010" xr:uid="{00000000-0004-0000-0000-000022000000}"/>
    <hyperlink ref="A69" location="tab35!A1" display="Table 35--Fats and oils:  Use for selected industrial products, U.S., 1980-2010" xr:uid="{00000000-0004-0000-0000-000023000000}"/>
    <hyperlink ref="A70" location="tab36!A1" display="Table 36--Salad and cooking oils:  Supply and disappearance, U.S., 1980-2010" xr:uid="{00000000-0004-0000-0000-000024000000}"/>
    <hyperlink ref="A71" location="tab37!A1" display="Table 37--Salad and cooking oils:  Fats and oils used in manufacturing, U.S., 1980-2010" xr:uid="{00000000-0004-0000-0000-000025000000}"/>
    <hyperlink ref="A72" location="tab38!A1" display="Table 38--Baking and frying fats:  Supply and disappearance, U.S., 1980-2010" xr:uid="{00000000-0004-0000-0000-000026000000}"/>
    <hyperlink ref="A73" location="tab39!A1" display="Table 39--Baking and frying fats:  Fats and oils used in manufacturing, U.S., 1980-2010" xr:uid="{00000000-0004-0000-0000-000027000000}"/>
    <hyperlink ref="A74" location="tab40!A1" display="Table 40--Margarine (actual weight):  Supply and disappearance, U.S., 1980-2010" xr:uid="{00000000-0004-0000-0000-000028000000}"/>
    <hyperlink ref="A75" location="tab41!A1" display="Table 41--Margarine:  Fats and oils used in manufacturing, U.S., 1980-2010" xr:uid="{00000000-0004-0000-0000-000029000000}"/>
    <hyperlink ref="A76" location="tab42!A1" display="Table 42--Lard:  Supply, disappearance, and price, U.S., 1980-2015" xr:uid="{00000000-0004-0000-0000-00002A000000}"/>
    <hyperlink ref="A77" location="tab43!A1" display="Table 43--Butter (actual weight):  Supply, disappearance, and price, U.S., 1980-2015" xr:uid="{00000000-0004-0000-0000-00002B000000}"/>
    <hyperlink ref="A78" location="tab44!A1" display="Table 44--Edible tallow:  Supply, disappearance, and price, U.S., 1980-2015" xr:uid="{00000000-0004-0000-0000-00002C000000}"/>
    <hyperlink ref="A81" location="tab45!A1" display="Table 45--Supply and use: Soybeans, soybean meal, and soybean oil, U.S., major foreign exporters, importers, and world, 2013/14-2016/17 1/" xr:uid="{00000000-0004-0000-0000-00002D000000}"/>
    <hyperlink ref="A84" location="tab46!A1" display="Table 46--World oilseed supply and distribution, 2012/13-2016/17" xr:uid="{00000000-0004-0000-0000-00002E000000}"/>
    <hyperlink ref="A85" location="tab47!A1" display="Table 47--World vegetable oils supply and distribution, 2012/13-2016/17" xr:uid="{00000000-0004-0000-0000-00002F000000}"/>
    <hyperlink ref="A86" location="tab48!A1" display="Table 48--World protein meal supply and distribution, 20112/13-2016/17" xr:uid="{00000000-0004-0000-0000-000030000000}"/>
  </hyperlinks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128"/>
  <sheetViews>
    <sheetView zoomScaleNormal="100" zoomScaleSheetLayoutView="100" workbookViewId="0">
      <pane xSplit="1" ySplit="7" topLeftCell="B92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ColWidth="8.75" defaultRowHeight="11"/>
  <cols>
    <col min="1" max="1" width="13" customWidth="1"/>
    <col min="2" max="2" width="8.25" customWidth="1"/>
    <col min="4" max="5" width="8.25" customWidth="1"/>
    <col min="7" max="7" width="8.25" customWidth="1"/>
    <col min="13" max="13" width="9.75" customWidth="1"/>
    <col min="15" max="15" width="15.75" customWidth="1"/>
  </cols>
  <sheetData>
    <row r="1" spans="1:16">
      <c r="A1" s="126" t="s">
        <v>694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>
      <c r="N2" s="3"/>
      <c r="O2" s="197" t="s">
        <v>118</v>
      </c>
      <c r="P2" s="38"/>
    </row>
    <row r="3" spans="1:16">
      <c r="A3" t="s">
        <v>20</v>
      </c>
      <c r="N3" s="7" t="s">
        <v>215</v>
      </c>
      <c r="O3" s="7" t="s">
        <v>219</v>
      </c>
      <c r="P3" s="7"/>
    </row>
    <row r="4" spans="1:16">
      <c r="A4" t="s">
        <v>100</v>
      </c>
      <c r="C4" s="318"/>
      <c r="D4" s="194"/>
      <c r="F4" s="318" t="s">
        <v>212</v>
      </c>
      <c r="G4" s="318"/>
      <c r="H4" s="318"/>
      <c r="I4" s="318"/>
      <c r="J4" s="318"/>
      <c r="K4" s="7" t="s">
        <v>3</v>
      </c>
      <c r="L4" s="190" t="s">
        <v>220</v>
      </c>
      <c r="M4" s="318"/>
      <c r="N4" s="7" t="s">
        <v>216</v>
      </c>
      <c r="O4" s="7" t="s">
        <v>208</v>
      </c>
      <c r="P4" s="7"/>
    </row>
    <row r="5" spans="1:16">
      <c r="A5" t="s">
        <v>176</v>
      </c>
      <c r="B5" s="3"/>
      <c r="C5" s="306" t="s">
        <v>211</v>
      </c>
      <c r="D5" s="306"/>
      <c r="E5" s="3"/>
      <c r="F5" s="306" t="s">
        <v>207</v>
      </c>
      <c r="G5" s="306"/>
      <c r="H5" s="3"/>
      <c r="I5" s="303" t="s">
        <v>404</v>
      </c>
      <c r="J5" s="303"/>
      <c r="K5" s="7" t="s">
        <v>226</v>
      </c>
      <c r="L5" s="7" t="s">
        <v>214</v>
      </c>
      <c r="M5" s="7" t="s">
        <v>214</v>
      </c>
      <c r="N5" s="7" t="s">
        <v>217</v>
      </c>
      <c r="O5" s="7" t="s">
        <v>209</v>
      </c>
      <c r="P5" s="7"/>
    </row>
    <row r="6" spans="1:16">
      <c r="A6" s="1"/>
      <c r="B6" s="9" t="s">
        <v>64</v>
      </c>
      <c r="C6" s="9" t="s">
        <v>222</v>
      </c>
      <c r="D6" s="9" t="s">
        <v>67</v>
      </c>
      <c r="E6" s="9" t="s">
        <v>64</v>
      </c>
      <c r="F6" s="9" t="s">
        <v>225</v>
      </c>
      <c r="G6" s="9" t="s">
        <v>67</v>
      </c>
      <c r="H6" s="9" t="s">
        <v>64</v>
      </c>
      <c r="I6" s="9" t="s">
        <v>408</v>
      </c>
      <c r="J6" s="190" t="s">
        <v>67</v>
      </c>
      <c r="K6" s="1"/>
      <c r="L6" s="9" t="s">
        <v>213</v>
      </c>
      <c r="M6" s="9" t="s">
        <v>407</v>
      </c>
      <c r="N6" s="9" t="s">
        <v>218</v>
      </c>
      <c r="O6" s="38" t="s">
        <v>210</v>
      </c>
      <c r="P6" s="38"/>
    </row>
    <row r="7" spans="1:16" ht="12" customHeight="1">
      <c r="B7" s="7" t="s">
        <v>221</v>
      </c>
      <c r="C7" s="7" t="s">
        <v>223</v>
      </c>
      <c r="D7" s="7" t="s">
        <v>224</v>
      </c>
      <c r="E7" s="7" t="s">
        <v>221</v>
      </c>
      <c r="F7" s="347" t="s">
        <v>729</v>
      </c>
      <c r="G7" s="315"/>
      <c r="H7" s="7" t="s">
        <v>221</v>
      </c>
      <c r="I7" s="7" t="s">
        <v>289</v>
      </c>
      <c r="J7" s="7" t="s">
        <v>224</v>
      </c>
      <c r="K7" s="315" t="s">
        <v>730</v>
      </c>
      <c r="L7" s="347" t="s">
        <v>731</v>
      </c>
      <c r="M7" s="315"/>
      <c r="N7" s="74" t="s">
        <v>728</v>
      </c>
      <c r="O7" s="319"/>
      <c r="P7" s="171"/>
    </row>
    <row r="8" spans="1:16" ht="12" customHeight="1">
      <c r="B8" s="7"/>
      <c r="C8" s="7"/>
      <c r="D8" s="7"/>
      <c r="E8" s="7"/>
      <c r="F8" s="171"/>
      <c r="G8" s="171"/>
      <c r="H8" s="7"/>
      <c r="I8" s="7"/>
      <c r="J8" s="7"/>
      <c r="K8" s="171"/>
      <c r="L8" s="171"/>
      <c r="M8" s="171"/>
      <c r="N8" s="171"/>
      <c r="O8" s="171"/>
    </row>
    <row r="9" spans="1:16">
      <c r="A9" t="s">
        <v>10</v>
      </c>
      <c r="B9" s="43">
        <v>11.226666666666665</v>
      </c>
      <c r="C9" s="43">
        <v>21.31</v>
      </c>
      <c r="D9" s="45">
        <f t="shared" ref="D9:D14" si="0">(B9*C9)/100</f>
        <v>2.392402666666666</v>
      </c>
      <c r="E9" s="43">
        <v>47.472499999999997</v>
      </c>
      <c r="F9" s="43">
        <v>168.49</v>
      </c>
      <c r="G9" s="53">
        <f t="shared" ref="G9:G19" si="1">E9*F9/2000</f>
        <v>3.9993207625</v>
      </c>
      <c r="H9" s="186" t="s">
        <v>511</v>
      </c>
      <c r="I9" s="186" t="s">
        <v>511</v>
      </c>
      <c r="J9" s="186" t="s">
        <v>511</v>
      </c>
      <c r="K9" s="43">
        <f t="shared" ref="K9:K14" si="2">+D9+G9</f>
        <v>6.3917234291666656</v>
      </c>
      <c r="L9" s="43">
        <f t="shared" ref="L9:L15" si="3">+D9/K9</f>
        <v>0.37429696281126179</v>
      </c>
      <c r="M9" s="43">
        <f t="shared" ref="M9:M15" si="4">+G9/K9</f>
        <v>0.62570303718873832</v>
      </c>
      <c r="N9" s="43">
        <v>5.9</v>
      </c>
      <c r="O9" s="46">
        <f t="shared" ref="O9:O18" si="5">+K9-N9</f>
        <v>0.49172342916666523</v>
      </c>
    </row>
    <row r="10" spans="1:16">
      <c r="A10" t="s">
        <v>11</v>
      </c>
      <c r="B10" s="43">
        <v>11.415833333333333</v>
      </c>
      <c r="C10" s="43">
        <v>19.309999999999999</v>
      </c>
      <c r="D10" s="45">
        <f t="shared" si="0"/>
        <v>2.2043974166666667</v>
      </c>
      <c r="E10" s="43">
        <v>47.507170961244562</v>
      </c>
      <c r="F10" s="43">
        <v>177.7</v>
      </c>
      <c r="G10" s="53">
        <f t="shared" si="1"/>
        <v>4.2210121399065796</v>
      </c>
      <c r="H10" s="186" t="s">
        <v>511</v>
      </c>
      <c r="I10" s="186" t="s">
        <v>511</v>
      </c>
      <c r="J10" s="186" t="s">
        <v>511</v>
      </c>
      <c r="K10" s="43">
        <f t="shared" si="2"/>
        <v>6.4254095565732463</v>
      </c>
      <c r="L10" s="43">
        <f t="shared" si="3"/>
        <v>0.34307500514290956</v>
      </c>
      <c r="M10" s="43">
        <f t="shared" si="4"/>
        <v>0.65692499485709044</v>
      </c>
      <c r="N10" s="43">
        <v>5.84</v>
      </c>
      <c r="O10" s="46">
        <f t="shared" si="5"/>
        <v>0.58540955657324645</v>
      </c>
    </row>
    <row r="11" spans="1:16" ht="10.25" customHeight="1">
      <c r="A11" t="s">
        <v>12</v>
      </c>
      <c r="B11" s="45">
        <v>10.845000000000001</v>
      </c>
      <c r="C11" s="45">
        <v>21.01</v>
      </c>
      <c r="D11" s="45">
        <f t="shared" si="0"/>
        <v>2.2785345000000006</v>
      </c>
      <c r="E11" s="53">
        <v>47.538416188866989</v>
      </c>
      <c r="F11" s="53">
        <v>180.8</v>
      </c>
      <c r="G11" s="53">
        <f t="shared" si="1"/>
        <v>4.2974728234735755</v>
      </c>
      <c r="H11" s="186" t="s">
        <v>511</v>
      </c>
      <c r="I11" s="186" t="s">
        <v>511</v>
      </c>
      <c r="J11" s="186" t="s">
        <v>511</v>
      </c>
      <c r="K11" s="43">
        <f t="shared" si="2"/>
        <v>6.5760073234735756</v>
      </c>
      <c r="L11" s="43">
        <f t="shared" si="3"/>
        <v>0.34649208675096699</v>
      </c>
      <c r="M11" s="43">
        <f t="shared" si="4"/>
        <v>0.65350791324903301</v>
      </c>
      <c r="N11" s="53">
        <v>5.95</v>
      </c>
      <c r="O11" s="46">
        <f t="shared" si="5"/>
        <v>0.62600732347357546</v>
      </c>
    </row>
    <row r="12" spans="1:16" ht="10.25" customHeight="1">
      <c r="A12" t="s">
        <v>13</v>
      </c>
      <c r="B12" s="45">
        <f>13861008/1275648</f>
        <v>10.86585641180012</v>
      </c>
      <c r="C12" s="45">
        <v>26.74</v>
      </c>
      <c r="D12" s="45">
        <f t="shared" si="0"/>
        <v>2.9055300045153518</v>
      </c>
      <c r="E12" s="53">
        <f>(30370.2*2000)/1275648</f>
        <v>47.615329620710412</v>
      </c>
      <c r="F12" s="53">
        <v>182.65</v>
      </c>
      <c r="G12" s="53">
        <f t="shared" si="1"/>
        <v>4.3484699776113782</v>
      </c>
      <c r="H12" s="186" t="s">
        <v>511</v>
      </c>
      <c r="I12" s="186" t="s">
        <v>511</v>
      </c>
      <c r="J12" s="186" t="s">
        <v>511</v>
      </c>
      <c r="K12" s="43">
        <f t="shared" si="2"/>
        <v>7.2539999821267305</v>
      </c>
      <c r="L12" s="43">
        <f t="shared" si="3"/>
        <v>0.40054177166726534</v>
      </c>
      <c r="M12" s="43">
        <f t="shared" si="4"/>
        <v>0.59945822833273454</v>
      </c>
      <c r="N12" s="45">
        <v>6.59</v>
      </c>
      <c r="O12" s="46">
        <f t="shared" si="5"/>
        <v>0.66399998212673061</v>
      </c>
    </row>
    <row r="13" spans="1:16">
      <c r="A13" t="s">
        <v>14</v>
      </c>
      <c r="B13" s="45">
        <f>15572418/1405156</f>
        <v>11.082341035443751</v>
      </c>
      <c r="C13" s="45">
        <v>27.5</v>
      </c>
      <c r="D13" s="45">
        <f t="shared" si="0"/>
        <v>3.0476437847470317</v>
      </c>
      <c r="E13" s="53">
        <f>(33250.7*2000)/1405156</f>
        <v>47.326702515592572</v>
      </c>
      <c r="F13" s="53">
        <v>151.77000000000001</v>
      </c>
      <c r="G13" s="53">
        <f t="shared" si="1"/>
        <v>3.5913868203957429</v>
      </c>
      <c r="H13" s="186" t="s">
        <v>511</v>
      </c>
      <c r="I13" s="186" t="s">
        <v>511</v>
      </c>
      <c r="J13" s="186" t="s">
        <v>511</v>
      </c>
      <c r="K13" s="43">
        <f t="shared" si="2"/>
        <v>6.639030605142775</v>
      </c>
      <c r="L13" s="43">
        <f t="shared" si="3"/>
        <v>0.45904951581127573</v>
      </c>
      <c r="M13" s="43">
        <f t="shared" si="4"/>
        <v>0.54095048418872427</v>
      </c>
      <c r="N13" s="45">
        <v>5.73</v>
      </c>
      <c r="O13" s="46">
        <f t="shared" si="5"/>
        <v>0.90903060514277456</v>
      </c>
    </row>
    <row r="14" spans="1:16">
      <c r="A14" t="s">
        <v>15</v>
      </c>
      <c r="B14" s="45">
        <f>(15275787*60)/(41086.224*2000)</f>
        <v>11.153948097055597</v>
      </c>
      <c r="C14" s="45">
        <v>24.9</v>
      </c>
      <c r="D14" s="45">
        <f t="shared" si="0"/>
        <v>2.7773330761668431</v>
      </c>
      <c r="E14" s="53">
        <f>(30333276+2325473)*60/41086224</f>
        <v>47.692991694734467</v>
      </c>
      <c r="F14" s="53">
        <v>217.27</v>
      </c>
      <c r="G14" s="53">
        <f t="shared" si="1"/>
        <v>5.1811281527574788</v>
      </c>
      <c r="H14" s="186" t="s">
        <v>511</v>
      </c>
      <c r="I14" s="186" t="s">
        <v>511</v>
      </c>
      <c r="J14" s="186" t="s">
        <v>511</v>
      </c>
      <c r="K14" s="43">
        <f t="shared" si="2"/>
        <v>7.958461228924322</v>
      </c>
      <c r="L14" s="43">
        <f t="shared" si="3"/>
        <v>0.34897865256575883</v>
      </c>
      <c r="M14" s="43">
        <f t="shared" si="4"/>
        <v>0.65102134743424112</v>
      </c>
      <c r="N14" s="43">
        <v>7.39</v>
      </c>
      <c r="O14" s="46">
        <f t="shared" si="5"/>
        <v>0.56846122892432227</v>
      </c>
    </row>
    <row r="15" spans="1:16">
      <c r="A15" t="s">
        <v>16</v>
      </c>
      <c r="B15" s="45">
        <f>(15664400*60)/(43078.871*2000)</f>
        <v>10.908642429371001</v>
      </c>
      <c r="C15" s="45">
        <v>22.6</v>
      </c>
      <c r="D15" s="45">
        <f t="shared" ref="D15:D22" si="6">(B15*C15)/100</f>
        <v>2.4653531890378466</v>
      </c>
      <c r="E15" s="53">
        <f>(31680021+2326505)*60/43078871</f>
        <v>47.364090855584401</v>
      </c>
      <c r="F15" s="53">
        <v>260.38</v>
      </c>
      <c r="G15" s="53">
        <f t="shared" si="1"/>
        <v>6.1663309884885331</v>
      </c>
      <c r="H15" s="186" t="s">
        <v>511</v>
      </c>
      <c r="I15" s="186" t="s">
        <v>511</v>
      </c>
      <c r="J15" s="186" t="s">
        <v>511</v>
      </c>
      <c r="K15" s="43">
        <f>D15+G15</f>
        <v>8.6316841775263793</v>
      </c>
      <c r="L15" s="43">
        <f t="shared" si="3"/>
        <v>0.28561670449628918</v>
      </c>
      <c r="M15" s="43">
        <f t="shared" si="4"/>
        <v>0.71438329550371094</v>
      </c>
      <c r="N15" s="43">
        <v>7.8</v>
      </c>
      <c r="O15" s="46">
        <f t="shared" si="5"/>
        <v>0.83168417752637946</v>
      </c>
    </row>
    <row r="16" spans="1:16">
      <c r="A16" t="s">
        <v>17</v>
      </c>
      <c r="B16" s="45">
        <f>(17963296*60)/(47909.41*2000)</f>
        <v>11.248288801719745</v>
      </c>
      <c r="C16" s="45">
        <v>25.65</v>
      </c>
      <c r="D16" s="45">
        <f t="shared" si="6"/>
        <v>2.8851860776411145</v>
      </c>
      <c r="E16" s="53">
        <f>(35243382+2613338)*60/47909410</f>
        <v>47.410377209821618</v>
      </c>
      <c r="F16" s="53">
        <v>186.55</v>
      </c>
      <c r="G16" s="53">
        <f t="shared" si="1"/>
        <v>4.422202934246112</v>
      </c>
      <c r="H16" s="186" t="s">
        <v>511</v>
      </c>
      <c r="I16" s="186" t="s">
        <v>511</v>
      </c>
      <c r="J16" s="186" t="s">
        <v>511</v>
      </c>
      <c r="K16" s="43">
        <f>D16+G16</f>
        <v>7.307389011887226</v>
      </c>
      <c r="L16" s="43">
        <f>D16/K16</f>
        <v>0.39483132387610204</v>
      </c>
      <c r="M16" s="43">
        <f>G16/K16</f>
        <v>0.60516867612389802</v>
      </c>
      <c r="N16" s="43">
        <v>6.64</v>
      </c>
      <c r="O16" s="46">
        <f t="shared" si="5"/>
        <v>0.66738901188722632</v>
      </c>
    </row>
    <row r="17" spans="1:17">
      <c r="A17" t="s">
        <v>18</v>
      </c>
      <c r="B17" s="45">
        <f>(17960000*60)/(47693.6*2000)</f>
        <v>11.297113239512219</v>
      </c>
      <c r="C17" s="45">
        <v>20.49</v>
      </c>
      <c r="D17" s="45">
        <f t="shared" si="6"/>
        <v>2.3147785027760537</v>
      </c>
      <c r="E17" s="53">
        <f>(35050200+2509215)*60/47693600</f>
        <v>47.250886911451431</v>
      </c>
      <c r="F17" s="53">
        <v>130.56</v>
      </c>
      <c r="G17" s="53">
        <f t="shared" si="1"/>
        <v>3.0845378975795494</v>
      </c>
      <c r="H17" s="186" t="s">
        <v>511</v>
      </c>
      <c r="I17" s="186" t="s">
        <v>511</v>
      </c>
      <c r="J17" s="186" t="s">
        <v>511</v>
      </c>
      <c r="K17" s="43">
        <f>D17+G17</f>
        <v>5.3993164003556036</v>
      </c>
      <c r="L17" s="43">
        <f>D17/K17</f>
        <v>0.42871695806224663</v>
      </c>
      <c r="M17" s="43">
        <f>G17/K17</f>
        <v>0.57128304193775326</v>
      </c>
      <c r="N17" s="43">
        <v>5</v>
      </c>
      <c r="O17" s="46">
        <f t="shared" si="5"/>
        <v>0.39931640035560356</v>
      </c>
    </row>
    <row r="18" spans="1:17">
      <c r="A18" t="s">
        <v>199</v>
      </c>
      <c r="B18" s="45">
        <f>(17887147*60)/(47319.5*2000)</f>
        <v>11.340238379526411</v>
      </c>
      <c r="C18" s="45">
        <v>15.81</v>
      </c>
      <c r="D18" s="45">
        <f t="shared" si="6"/>
        <v>1.7928916878031256</v>
      </c>
      <c r="E18" s="53">
        <f>(34950200+2719091)*60/47319500</f>
        <v>47.763764621350603</v>
      </c>
      <c r="F18" s="53">
        <v>158.04</v>
      </c>
      <c r="G18" s="53">
        <f t="shared" si="1"/>
        <v>3.7742926803791241</v>
      </c>
      <c r="H18" s="186" t="s">
        <v>511</v>
      </c>
      <c r="I18" s="186" t="s">
        <v>511</v>
      </c>
      <c r="J18" s="186" t="s">
        <v>511</v>
      </c>
      <c r="K18" s="43">
        <f>D18+G18</f>
        <v>5.5671843681822502</v>
      </c>
      <c r="L18" s="43">
        <f>G18/K18</f>
        <v>0.67795359930058763</v>
      </c>
      <c r="M18" s="43">
        <f>D18/K18</f>
        <v>0.32204640069941232</v>
      </c>
      <c r="N18" s="43">
        <v>4.9024999999999999</v>
      </c>
      <c r="O18" s="46">
        <f t="shared" si="5"/>
        <v>0.6646843681822503</v>
      </c>
    </row>
    <row r="19" spans="1:17">
      <c r="A19" t="s">
        <v>388</v>
      </c>
      <c r="B19" s="45">
        <f>(18433200*60)/(49189.1*2000)</f>
        <v>11.242246757919945</v>
      </c>
      <c r="C19" s="45">
        <v>13.99</v>
      </c>
      <c r="D19" s="45">
        <f t="shared" si="6"/>
        <v>1.5727903214330003</v>
      </c>
      <c r="E19" s="141">
        <f>(36703167+2694848)*60/49189100</f>
        <v>48.057006531934924</v>
      </c>
      <c r="F19" s="141">
        <v>165.6</v>
      </c>
      <c r="G19" s="141">
        <f t="shared" si="1"/>
        <v>3.9791201408442118</v>
      </c>
      <c r="H19" s="186" t="s">
        <v>511</v>
      </c>
      <c r="I19" s="186" t="s">
        <v>511</v>
      </c>
      <c r="J19" s="186" t="s">
        <v>511</v>
      </c>
      <c r="K19" s="43">
        <f>D19+G19</f>
        <v>5.5519104622772124</v>
      </c>
      <c r="L19" s="45">
        <f>'tab 9'!D19/K19</f>
        <v>0.28328812795512792</v>
      </c>
      <c r="M19" s="45">
        <f>'tab 9'!G19/K19</f>
        <v>0.71671187204487208</v>
      </c>
      <c r="N19" s="45">
        <v>4.7708333333333339</v>
      </c>
      <c r="O19" s="54">
        <f t="shared" ref="O19:O24" si="7">K19-N19</f>
        <v>0.78107712894387848</v>
      </c>
      <c r="P19" s="57"/>
      <c r="Q19" s="46"/>
    </row>
    <row r="20" spans="1:17">
      <c r="A20" t="s">
        <v>396</v>
      </c>
      <c r="B20" s="45">
        <f>(18936905*60)/(50992.002*2000)</f>
        <v>11.141103069457834</v>
      </c>
      <c r="C20" s="45">
        <v>16.05</v>
      </c>
      <c r="D20" s="45">
        <f t="shared" si="6"/>
        <v>1.7881470426479824</v>
      </c>
      <c r="E20" s="53">
        <f>(37624201)*60/50992002</f>
        <v>44.270708571120622</v>
      </c>
      <c r="F20" s="141">
        <v>166.56</v>
      </c>
      <c r="G20" s="141">
        <f>E20*F20/2000</f>
        <v>3.6868646098029254</v>
      </c>
      <c r="H20" s="57">
        <f>(2833142*60)/50992002</f>
        <v>3.3336310270775407</v>
      </c>
      <c r="I20" s="57">
        <v>61.332500000000003</v>
      </c>
      <c r="J20" s="100">
        <f>H20*I20/2000</f>
        <v>0.10222996248411664</v>
      </c>
      <c r="K20" s="43">
        <f>D20+G20+J20</f>
        <v>5.5772416149350246</v>
      </c>
      <c r="L20" s="43">
        <f>D20/K20</f>
        <v>0.32061495020398439</v>
      </c>
      <c r="M20" s="45">
        <f>(+G20+J20)/K20</f>
        <v>0.67938504979601566</v>
      </c>
      <c r="N20" s="45">
        <v>4.7858333333333336</v>
      </c>
      <c r="O20" s="54">
        <f t="shared" si="7"/>
        <v>0.79140828160169097</v>
      </c>
    </row>
    <row r="21" spans="1:17">
      <c r="A21" t="s">
        <v>409</v>
      </c>
      <c r="B21" s="45">
        <f>(18406694*60)/(48463.925*2000)</f>
        <v>11.394058983047699</v>
      </c>
      <c r="C21" s="45">
        <v>21.8</v>
      </c>
      <c r="D21" s="45">
        <f t="shared" si="6"/>
        <v>2.4839048583043986</v>
      </c>
      <c r="E21" s="53">
        <f>(35460773*60)/48463925</f>
        <v>43.901652208317834</v>
      </c>
      <c r="F21" s="141">
        <v>178.87</v>
      </c>
      <c r="G21" s="141">
        <f>E21*F21/2000</f>
        <v>3.9263442652509055</v>
      </c>
      <c r="H21" s="57">
        <f>(2639934*60)/48463925</f>
        <v>3.2683287620637413</v>
      </c>
      <c r="I21" s="57">
        <v>66.002499999999998</v>
      </c>
      <c r="J21" s="100">
        <f>H21*I21/2000</f>
        <v>0.10785893455905604</v>
      </c>
      <c r="K21" s="43">
        <f>D21+G21+J21</f>
        <v>6.5181080581143602</v>
      </c>
      <c r="L21" s="43">
        <f>D21/K21</f>
        <v>0.38107758204655684</v>
      </c>
      <c r="M21" s="45">
        <f>(+G21+J21)/K21</f>
        <v>0.61892241795344305</v>
      </c>
      <c r="N21" s="45">
        <v>5.8975</v>
      </c>
      <c r="O21" s="54">
        <f t="shared" si="7"/>
        <v>0.62060805811436026</v>
      </c>
    </row>
    <row r="22" spans="1:17">
      <c r="A22" t="s">
        <v>419</v>
      </c>
      <c r="B22" s="45">
        <f>(17134534*60)/(45892.321*2000)</f>
        <v>11.200915726184343</v>
      </c>
      <c r="C22" s="45">
        <v>29.74</v>
      </c>
      <c r="D22" s="45">
        <f t="shared" si="6"/>
        <v>3.3311523369672233</v>
      </c>
      <c r="E22" s="53">
        <f>(33896303*60)/45892321</f>
        <v>44.316306861010581</v>
      </c>
      <c r="F22" s="141">
        <v>259.58999999999997</v>
      </c>
      <c r="G22" s="141">
        <f>E22*F22/2000</f>
        <v>5.7520350490248671</v>
      </c>
      <c r="H22" s="57">
        <f>(2578876*60)/45892321</f>
        <v>3.3716438094294685</v>
      </c>
      <c r="I22" s="57">
        <v>77.334999999999994</v>
      </c>
      <c r="J22" s="100">
        <f>H22*I22/2000</f>
        <v>0.13037303700111397</v>
      </c>
      <c r="K22" s="43">
        <f>D22+G22+J22</f>
        <v>9.2135604229932042</v>
      </c>
      <c r="L22" s="43">
        <f>D22/K22</f>
        <v>0.36154886754246018</v>
      </c>
      <c r="M22" s="45">
        <f>(+G22+J22)/K22</f>
        <v>0.63845113245753982</v>
      </c>
      <c r="N22" s="45">
        <v>8.2191666666666663</v>
      </c>
      <c r="O22" s="54">
        <f t="shared" si="7"/>
        <v>0.99439375632653793</v>
      </c>
    </row>
    <row r="23" spans="1:17">
      <c r="A23" t="s">
        <v>422</v>
      </c>
      <c r="B23" s="45">
        <f>(19223995*60)/(50897.425*2000)</f>
        <v>11.331022148959402</v>
      </c>
      <c r="C23" s="45">
        <v>23.24</v>
      </c>
      <c r="D23" s="45">
        <f>(B23*C23)/100</f>
        <v>2.6333295474181648</v>
      </c>
      <c r="E23" s="53">
        <f>(37548458*60)/50897425</f>
        <v>44.263682887690294</v>
      </c>
      <c r="F23" s="141">
        <v>182.91333333333333</v>
      </c>
      <c r="G23" s="141">
        <f>E23*F23/2000</f>
        <v>4.048208891298529</v>
      </c>
      <c r="H23" s="57">
        <f>(2895378*60)/50897425</f>
        <v>3.4131919247388254</v>
      </c>
      <c r="I23" s="57">
        <v>56.531666666666666</v>
      </c>
      <c r="J23" s="100">
        <f>H23*I23/2000</f>
        <v>9.6476714079346854E-2</v>
      </c>
      <c r="K23" s="43">
        <f>D23+G23+J23</f>
        <v>6.7780151527960406</v>
      </c>
      <c r="L23" s="43">
        <f>D23/K23</f>
        <v>0.38851042496295896</v>
      </c>
      <c r="M23" s="45">
        <f>(+G23+J23)/K23</f>
        <v>0.61148957503704104</v>
      </c>
      <c r="N23" s="45">
        <v>5.9833333333333334</v>
      </c>
      <c r="O23" s="54">
        <f t="shared" si="7"/>
        <v>0.79468181946270722</v>
      </c>
      <c r="P23" s="54"/>
    </row>
    <row r="24" spans="1:17">
      <c r="A24" t="s">
        <v>448</v>
      </c>
      <c r="B24" s="45">
        <f>(20237322*60)/(52165.552*2000)</f>
        <v>11.63832523041259</v>
      </c>
      <c r="C24" s="45">
        <v>23.38</v>
      </c>
      <c r="D24" s="45">
        <f>(B24*C24)/100</f>
        <v>2.7210404388704639</v>
      </c>
      <c r="E24" s="53">
        <f>(38111108*60)/52165552</f>
        <v>43.834798872635339</v>
      </c>
      <c r="F24" s="141">
        <v>174.71</v>
      </c>
      <c r="G24" s="141">
        <f>E24*F24/2000</f>
        <v>3.8291888555190603</v>
      </c>
      <c r="H24" s="57">
        <f>(2935377*60)/52165552</f>
        <v>3.3762246012464319</v>
      </c>
      <c r="I24" s="57">
        <v>68.989999999999995</v>
      </c>
      <c r="J24" s="100">
        <f>H24*I24/2000</f>
        <v>0.11646286761999566</v>
      </c>
      <c r="K24" s="43">
        <f>D24+G24+J24</f>
        <v>6.6666921620095199</v>
      </c>
      <c r="L24" s="43">
        <f>D24/K24</f>
        <v>0.40815450492471356</v>
      </c>
      <c r="M24" s="45">
        <f>(+G24+J24)/K24</f>
        <v>0.59184549507528639</v>
      </c>
      <c r="N24" s="45">
        <v>5.7</v>
      </c>
      <c r="O24" s="54">
        <f t="shared" si="7"/>
        <v>0.96669216200951968</v>
      </c>
    </row>
    <row r="25" spans="1:17">
      <c r="B25" s="45"/>
      <c r="C25" s="45"/>
      <c r="D25" s="45"/>
      <c r="E25" s="53"/>
      <c r="F25" s="141"/>
      <c r="G25" s="141"/>
      <c r="H25" s="57"/>
      <c r="I25" s="57"/>
      <c r="J25" s="100"/>
      <c r="K25" s="43"/>
      <c r="L25" s="43"/>
      <c r="M25" s="45"/>
      <c r="N25" s="45"/>
      <c r="O25" s="54"/>
    </row>
    <row r="26" spans="1:17">
      <c r="A26" t="s">
        <v>463</v>
      </c>
      <c r="B26" s="45"/>
      <c r="C26" s="43"/>
      <c r="D26" s="100"/>
      <c r="E26" s="141"/>
      <c r="F26" s="43"/>
      <c r="G26" s="53"/>
      <c r="H26" s="57"/>
      <c r="I26" s="57"/>
      <c r="J26" s="100"/>
      <c r="K26" s="45"/>
      <c r="L26" s="45"/>
      <c r="M26" s="45"/>
      <c r="N26" s="45"/>
      <c r="O26" s="54"/>
    </row>
    <row r="27" spans="1:17">
      <c r="A27" t="s">
        <v>187</v>
      </c>
      <c r="B27" s="45">
        <f>(1684058*60)/(4270.987*2000)</f>
        <v>11.829054970197756</v>
      </c>
      <c r="C27" s="43">
        <v>23.54</v>
      </c>
      <c r="D27" s="45">
        <f t="shared" ref="D27:D39" si="8">(B27*C27)/100</f>
        <v>2.784559539984552</v>
      </c>
      <c r="E27" s="53">
        <f>(3107826*60)/4270987</f>
        <v>43.659594374789712</v>
      </c>
      <c r="F27" s="43">
        <v>168.87</v>
      </c>
      <c r="G27" s="53">
        <f t="shared" ref="G27:G39" si="9">E27*F27/2000</f>
        <v>3.6863978510353697</v>
      </c>
      <c r="H27" s="57">
        <f>(246680*60)/4270987</f>
        <v>3.4654284829244388</v>
      </c>
      <c r="I27" s="57">
        <v>80.13</v>
      </c>
      <c r="J27" s="57">
        <f t="shared" ref="J27:J39" si="10">H27*I27/2000</f>
        <v>0.13884239216836763</v>
      </c>
      <c r="K27" s="43">
        <f t="shared" ref="K27:K39" si="11">D27+G27+J27</f>
        <v>6.6097997831882891</v>
      </c>
      <c r="L27" s="43">
        <f t="shared" ref="L27:L39" si="12">D27/K27</f>
        <v>0.42127744127241895</v>
      </c>
      <c r="M27" s="45">
        <f t="shared" ref="M27:M39" si="13">(+G27+J27)/K27</f>
        <v>0.57872255872758105</v>
      </c>
      <c r="N27" s="45">
        <v>5.35</v>
      </c>
      <c r="O27" s="54">
        <f t="shared" ref="O27:O39" si="14">K27-N27</f>
        <v>1.2597997831882894</v>
      </c>
    </row>
    <row r="28" spans="1:17">
      <c r="A28" t="s">
        <v>188</v>
      </c>
      <c r="B28" s="45">
        <f>(1829500*60)/(4852.211*2000)</f>
        <v>11.311338274448493</v>
      </c>
      <c r="C28" s="43">
        <v>24.8</v>
      </c>
      <c r="D28" s="45">
        <f t="shared" si="8"/>
        <v>2.8052118920632263</v>
      </c>
      <c r="E28" s="53">
        <f>(3560000*60)/4852211</f>
        <v>44.021168906298591</v>
      </c>
      <c r="F28" s="43">
        <v>177.71</v>
      </c>
      <c r="G28" s="53">
        <f t="shared" si="9"/>
        <v>3.9115009631691615</v>
      </c>
      <c r="H28" s="57">
        <f>(263200*60)/4852211</f>
        <v>3.2545987798139859</v>
      </c>
      <c r="I28" s="57">
        <v>81.13</v>
      </c>
      <c r="J28" s="57">
        <f t="shared" si="10"/>
        <v>0.13202279950315435</v>
      </c>
      <c r="K28" s="43">
        <f t="shared" si="11"/>
        <v>6.8487356547355418</v>
      </c>
      <c r="L28" s="43">
        <f t="shared" si="12"/>
        <v>0.40959558573757615</v>
      </c>
      <c r="M28" s="45">
        <f t="shared" si="13"/>
        <v>0.59040441426242396</v>
      </c>
      <c r="N28" s="45">
        <v>5.8</v>
      </c>
      <c r="O28" s="54">
        <f t="shared" si="14"/>
        <v>1.048735654735542</v>
      </c>
    </row>
    <row r="29" spans="1:17">
      <c r="A29" t="s">
        <v>189</v>
      </c>
      <c r="B29" s="45">
        <f>(1724959*60)/(4652.901*2000)</f>
        <v>11.121829155617108</v>
      </c>
      <c r="C29" s="43">
        <v>27.64</v>
      </c>
      <c r="D29" s="45">
        <f t="shared" si="8"/>
        <v>3.0740735786125692</v>
      </c>
      <c r="E29" s="53">
        <f>(3411691*60)/4652901</f>
        <v>43.994372543065069</v>
      </c>
      <c r="F29" s="43">
        <v>190.67</v>
      </c>
      <c r="G29" s="53">
        <f t="shared" si="9"/>
        <v>4.1942035063931078</v>
      </c>
      <c r="H29" s="57">
        <f>(260253*60)/4652901</f>
        <v>3.3560095089063791</v>
      </c>
      <c r="I29" s="57">
        <v>90.4</v>
      </c>
      <c r="J29" s="57">
        <f t="shared" si="10"/>
        <v>0.15169162980256834</v>
      </c>
      <c r="K29" s="43">
        <f t="shared" si="11"/>
        <v>7.4199687148082454</v>
      </c>
      <c r="L29" s="43">
        <f t="shared" si="12"/>
        <v>0.41429737735653144</v>
      </c>
      <c r="M29" s="45">
        <f t="shared" si="13"/>
        <v>0.58570262264346851</v>
      </c>
      <c r="N29" s="45">
        <v>6.61</v>
      </c>
      <c r="O29" s="54">
        <f t="shared" si="14"/>
        <v>0.80996871480824506</v>
      </c>
    </row>
    <row r="30" spans="1:17">
      <c r="A30" t="s">
        <v>190</v>
      </c>
      <c r="B30" s="45">
        <f>(1771000*60)/(4714.486*2000)</f>
        <v>11.269521216098637</v>
      </c>
      <c r="C30" s="43">
        <v>27.63</v>
      </c>
      <c r="D30" s="45">
        <f t="shared" si="8"/>
        <v>3.1137687120080533</v>
      </c>
      <c r="E30" s="53">
        <f>(3466300*60)/4714486</f>
        <v>44.114671249421463</v>
      </c>
      <c r="F30" s="43">
        <v>180.63</v>
      </c>
      <c r="G30" s="53">
        <f t="shared" si="9"/>
        <v>3.9842165338914994</v>
      </c>
      <c r="H30" s="57">
        <f>(266656*60)/4714486</f>
        <v>3.3936594572557857</v>
      </c>
      <c r="I30" s="57">
        <v>125.75</v>
      </c>
      <c r="J30" s="57">
        <f t="shared" si="10"/>
        <v>0.21337633837495754</v>
      </c>
      <c r="K30" s="43">
        <f t="shared" si="11"/>
        <v>7.3113615842745103</v>
      </c>
      <c r="L30" s="43">
        <f t="shared" si="12"/>
        <v>0.42588082617952283</v>
      </c>
      <c r="M30" s="45">
        <f t="shared" si="13"/>
        <v>0.57411917382047717</v>
      </c>
      <c r="N30" s="45">
        <v>6.57</v>
      </c>
      <c r="O30" s="54">
        <f t="shared" si="14"/>
        <v>0.74136158427451004</v>
      </c>
    </row>
    <row r="31" spans="1:17">
      <c r="A31" t="s">
        <v>191</v>
      </c>
      <c r="B31" s="45">
        <f>(1746272*60)/(4659.544*2000)</f>
        <v>11.243194613035095</v>
      </c>
      <c r="C31" s="43">
        <v>28</v>
      </c>
      <c r="D31" s="45">
        <f t="shared" si="8"/>
        <v>3.1480944916498266</v>
      </c>
      <c r="E31" s="53">
        <f>(3423956*60)/4659544</f>
        <v>44.089584731896515</v>
      </c>
      <c r="F31" s="43">
        <v>190.36</v>
      </c>
      <c r="G31" s="53">
        <f t="shared" si="9"/>
        <v>4.1964466747819102</v>
      </c>
      <c r="H31" s="57">
        <f>(269336*60)/4659544</f>
        <v>3.4681848695923891</v>
      </c>
      <c r="I31" s="57">
        <v>122.13</v>
      </c>
      <c r="J31" s="57">
        <f t="shared" si="10"/>
        <v>0.21178470906165925</v>
      </c>
      <c r="K31" s="43">
        <f t="shared" si="11"/>
        <v>7.5563258754933962</v>
      </c>
      <c r="L31" s="43">
        <f t="shared" si="12"/>
        <v>0.4166170892469972</v>
      </c>
      <c r="M31" s="45">
        <f t="shared" si="13"/>
        <v>0.58338291075300275</v>
      </c>
      <c r="N31" s="45">
        <v>6.83</v>
      </c>
      <c r="O31" s="54">
        <f t="shared" si="14"/>
        <v>0.72632587549339611</v>
      </c>
    </row>
    <row r="32" spans="1:17">
      <c r="A32" t="s">
        <v>192</v>
      </c>
      <c r="B32" s="45">
        <f>(1547206*60)/(4102.777*2000)</f>
        <v>11.313356782491468</v>
      </c>
      <c r="C32" s="43">
        <v>28.94</v>
      </c>
      <c r="D32" s="45">
        <f t="shared" si="8"/>
        <v>3.274085452853031</v>
      </c>
      <c r="E32" s="53">
        <f>(3013821*60)/4102777</f>
        <v>44.074844916016637</v>
      </c>
      <c r="F32" s="43">
        <v>208.81</v>
      </c>
      <c r="G32" s="53">
        <f t="shared" si="9"/>
        <v>4.6016341834567172</v>
      </c>
      <c r="H32" s="57">
        <f>(238787*60)/4102777</f>
        <v>3.4920786579431442</v>
      </c>
      <c r="I32" s="57">
        <v>109.21</v>
      </c>
      <c r="J32" s="57">
        <f t="shared" si="10"/>
        <v>0.19068495511698538</v>
      </c>
      <c r="K32" s="43">
        <f t="shared" si="11"/>
        <v>8.0664045914267337</v>
      </c>
      <c r="L32" s="43">
        <f t="shared" si="12"/>
        <v>0.40589154879893419</v>
      </c>
      <c r="M32" s="45">
        <f t="shared" si="13"/>
        <v>0.59410845120106581</v>
      </c>
      <c r="N32" s="45">
        <v>7.35</v>
      </c>
      <c r="O32" s="54">
        <f t="shared" si="14"/>
        <v>0.71640459142673407</v>
      </c>
    </row>
    <row r="33" spans="1:15">
      <c r="A33" t="s">
        <v>193</v>
      </c>
      <c r="B33" s="45">
        <f>(1764256*60)/(4672.487*2000)</f>
        <v>11.327517872173855</v>
      </c>
      <c r="C33" s="43">
        <v>29.74</v>
      </c>
      <c r="D33" s="45">
        <f t="shared" si="8"/>
        <v>3.3688038151845046</v>
      </c>
      <c r="E33" s="53">
        <f>(3442603*60)/4672487</f>
        <v>44.206903090367078</v>
      </c>
      <c r="F33" s="43">
        <v>205.26</v>
      </c>
      <c r="G33" s="53">
        <f t="shared" si="9"/>
        <v>4.5369544641643733</v>
      </c>
      <c r="H33" s="57">
        <f>(269686*60)/4672487</f>
        <v>3.4630722354069685</v>
      </c>
      <c r="I33" s="57">
        <v>110.07</v>
      </c>
      <c r="J33" s="57">
        <f t="shared" si="10"/>
        <v>0.19059018047562251</v>
      </c>
      <c r="K33" s="43">
        <f t="shared" si="11"/>
        <v>8.096348459824501</v>
      </c>
      <c r="L33" s="43">
        <f t="shared" si="12"/>
        <v>0.41608928171769027</v>
      </c>
      <c r="M33" s="45">
        <f t="shared" si="13"/>
        <v>0.58391071828230967</v>
      </c>
      <c r="N33" s="45">
        <v>7.3</v>
      </c>
      <c r="O33" s="54">
        <f t="shared" si="14"/>
        <v>0.7963484598245012</v>
      </c>
    </row>
    <row r="34" spans="1:15">
      <c r="A34" t="s">
        <v>194</v>
      </c>
      <c r="B34" s="45">
        <f>(1626493*60)/(4348.095*2000)</f>
        <v>11.222107612644159</v>
      </c>
      <c r="C34" s="43">
        <v>31.06</v>
      </c>
      <c r="D34" s="45">
        <f t="shared" si="8"/>
        <v>3.4855866244872753</v>
      </c>
      <c r="E34" s="53">
        <f>(3190355*60)/4348095</f>
        <v>44.024176104707927</v>
      </c>
      <c r="F34" s="43">
        <v>189.37</v>
      </c>
      <c r="G34" s="53">
        <f t="shared" si="9"/>
        <v>4.1684291144742698</v>
      </c>
      <c r="H34" s="57">
        <f>(252497*60)/4348095</f>
        <v>3.4842430995642921</v>
      </c>
      <c r="I34" s="57">
        <v>97.75</v>
      </c>
      <c r="J34" s="57">
        <f t="shared" si="10"/>
        <v>0.17029238149120476</v>
      </c>
      <c r="K34" s="43">
        <f t="shared" si="11"/>
        <v>7.8243081204527503</v>
      </c>
      <c r="L34" s="43">
        <f t="shared" si="12"/>
        <v>0.44548176922838045</v>
      </c>
      <c r="M34" s="45">
        <f t="shared" si="13"/>
        <v>0.55451823077161944</v>
      </c>
      <c r="N34" s="45">
        <v>7.18</v>
      </c>
      <c r="O34" s="54">
        <f t="shared" si="14"/>
        <v>0.64430812045275054</v>
      </c>
    </row>
    <row r="35" spans="1:15">
      <c r="A35" t="s">
        <v>197</v>
      </c>
      <c r="B35" s="45">
        <f>(1728925*60)/(4558.204*2000)</f>
        <v>11.378988303287874</v>
      </c>
      <c r="C35" s="43">
        <v>32.9</v>
      </c>
      <c r="D35" s="45">
        <f t="shared" si="8"/>
        <v>3.7436871517817103</v>
      </c>
      <c r="E35" s="53">
        <f>(3357286*60)/4558204</f>
        <v>44.192221322257623</v>
      </c>
      <c r="F35" s="43">
        <v>198.66</v>
      </c>
      <c r="G35" s="53">
        <f t="shared" si="9"/>
        <v>4.3896133439398497</v>
      </c>
      <c r="H35" s="57">
        <f>(265703*60)/4558204</f>
        <v>3.4974696174194926</v>
      </c>
      <c r="I35" s="57">
        <v>80.45</v>
      </c>
      <c r="J35" s="57">
        <f t="shared" si="10"/>
        <v>0.1406857153606991</v>
      </c>
      <c r="K35" s="43">
        <f t="shared" si="11"/>
        <v>8.27398621108226</v>
      </c>
      <c r="L35" s="43">
        <f t="shared" si="12"/>
        <v>0.45246475595612889</v>
      </c>
      <c r="M35" s="45">
        <f t="shared" si="13"/>
        <v>0.54753524404387099</v>
      </c>
      <c r="N35" s="45">
        <v>7.49</v>
      </c>
      <c r="O35" s="54">
        <f t="shared" si="14"/>
        <v>0.78398621108225974</v>
      </c>
    </row>
    <row r="36" spans="1:15">
      <c r="A36" t="s">
        <v>195</v>
      </c>
      <c r="B36" s="45">
        <f>(1692493*60)/(4460.636*2000)</f>
        <v>11.382858856898434</v>
      </c>
      <c r="C36" s="43">
        <v>34.01</v>
      </c>
      <c r="D36" s="45">
        <f t="shared" si="8"/>
        <v>3.8713102972311573</v>
      </c>
      <c r="E36" s="53">
        <f>(3266582*60)/4460636</f>
        <v>43.938783617403438</v>
      </c>
      <c r="F36" s="43">
        <v>229.7</v>
      </c>
      <c r="G36" s="53">
        <f t="shared" si="9"/>
        <v>5.0463692984587842</v>
      </c>
      <c r="H36" s="57">
        <f>(261641*60)/4460636</f>
        <v>3.519332220786453</v>
      </c>
      <c r="I36" s="57">
        <v>77.5</v>
      </c>
      <c r="J36" s="57">
        <f t="shared" si="10"/>
        <v>0.13637412355547504</v>
      </c>
      <c r="K36" s="43">
        <f t="shared" si="11"/>
        <v>9.0540537192454167</v>
      </c>
      <c r="L36" s="43">
        <f t="shared" si="12"/>
        <v>0.42757757102790861</v>
      </c>
      <c r="M36" s="45">
        <f t="shared" si="13"/>
        <v>0.57242242897209139</v>
      </c>
      <c r="N36" s="45">
        <v>7.92</v>
      </c>
      <c r="O36" s="54">
        <f t="shared" si="14"/>
        <v>1.1340537192454168</v>
      </c>
    </row>
    <row r="37" spans="1:15">
      <c r="A37" t="s">
        <v>196</v>
      </c>
      <c r="B37" s="45">
        <f>(1709725*60)/(4506.259*2000)</f>
        <v>11.382335103241957</v>
      </c>
      <c r="C37" s="43">
        <v>35.74</v>
      </c>
      <c r="D37" s="45">
        <f t="shared" si="8"/>
        <v>4.0680465658986753</v>
      </c>
      <c r="E37" s="53">
        <f>(3302134*60)/4506259</f>
        <v>43.96729970469962</v>
      </c>
      <c r="F37" s="43">
        <v>222.05</v>
      </c>
      <c r="G37" s="53">
        <f t="shared" si="9"/>
        <v>4.8814694497142757</v>
      </c>
      <c r="H37" s="57">
        <f>(265876*60)/4506259</f>
        <v>3.5400894622346386</v>
      </c>
      <c r="I37" s="57">
        <v>90.24</v>
      </c>
      <c r="J37" s="57">
        <f t="shared" si="10"/>
        <v>0.15972883653602687</v>
      </c>
      <c r="K37" s="43">
        <f t="shared" si="11"/>
        <v>9.1092448521489775</v>
      </c>
      <c r="L37" s="43">
        <f t="shared" si="12"/>
        <v>0.44658439112425169</v>
      </c>
      <c r="M37" s="45">
        <f t="shared" si="13"/>
        <v>0.55341560887574826</v>
      </c>
      <c r="N37" s="45">
        <v>8.01</v>
      </c>
      <c r="O37" s="54">
        <f t="shared" si="14"/>
        <v>1.0992448521489777</v>
      </c>
    </row>
    <row r="38" spans="1:15">
      <c r="A38" t="s">
        <v>206</v>
      </c>
      <c r="B38" s="45">
        <f>(1662936*60)/(4387.531*2000)</f>
        <v>11.370422226076579</v>
      </c>
      <c r="C38" s="43">
        <v>34.869999999999997</v>
      </c>
      <c r="D38" s="45">
        <f t="shared" si="8"/>
        <v>3.9648662302329027</v>
      </c>
      <c r="E38" s="53">
        <f>(3215612*60)/4387531</f>
        <v>43.973870498009013</v>
      </c>
      <c r="F38" s="43">
        <v>217.63</v>
      </c>
      <c r="G38" s="53">
        <f t="shared" si="9"/>
        <v>4.7850167182408505</v>
      </c>
      <c r="H38" s="57">
        <f>(258299*60)/4387531</f>
        <v>3.5322690597513726</v>
      </c>
      <c r="I38" s="57">
        <v>95.91</v>
      </c>
      <c r="J38" s="57">
        <f t="shared" si="10"/>
        <v>0.16938996276037707</v>
      </c>
      <c r="K38" s="43">
        <f t="shared" si="11"/>
        <v>8.9192729112341311</v>
      </c>
      <c r="L38" s="43">
        <f t="shared" si="12"/>
        <v>0.44452796429617231</v>
      </c>
      <c r="M38" s="45">
        <f t="shared" si="13"/>
        <v>0.55547203570382764</v>
      </c>
      <c r="N38" s="45">
        <v>8.0399999999999991</v>
      </c>
      <c r="O38" s="54">
        <f t="shared" si="14"/>
        <v>0.87927291123413198</v>
      </c>
    </row>
    <row r="39" spans="1:15">
      <c r="A39" s="41" t="s">
        <v>227</v>
      </c>
      <c r="B39" s="45">
        <f>(20487823*60)/(54184.483*2000)</f>
        <v>11.343370942563022</v>
      </c>
      <c r="C39" s="43">
        <f>AVERAGE(C27:C38)</f>
        <v>29.905833333333337</v>
      </c>
      <c r="D39" s="45">
        <f t="shared" si="8"/>
        <v>3.3923296084646601</v>
      </c>
      <c r="E39" s="53">
        <f>(39758166*60)/54184483</f>
        <v>44.025333968767406</v>
      </c>
      <c r="F39" s="43">
        <f>AVERAGE(F27:F38)</f>
        <v>198.31000000000003</v>
      </c>
      <c r="G39" s="53">
        <f t="shared" si="9"/>
        <v>4.3653319896731331</v>
      </c>
      <c r="H39" s="57">
        <f>(3118614*60)/54184483</f>
        <v>3.4533288801519064</v>
      </c>
      <c r="I39" s="57">
        <f>AVERAGE(I27:I38)</f>
        <v>96.722500000000011</v>
      </c>
      <c r="J39" s="100">
        <f t="shared" si="10"/>
        <v>0.16700730130524641</v>
      </c>
      <c r="K39" s="43">
        <f t="shared" si="11"/>
        <v>7.9246688994430396</v>
      </c>
      <c r="L39" s="43">
        <f t="shared" si="12"/>
        <v>0.42807209380105199</v>
      </c>
      <c r="M39" s="45">
        <f t="shared" si="13"/>
        <v>0.57192790619894807</v>
      </c>
      <c r="N39" s="45">
        <f>AVERAGE(N27:N38)</f>
        <v>7.0374999999999988</v>
      </c>
      <c r="O39" s="54">
        <f t="shared" si="14"/>
        <v>0.88716889944304089</v>
      </c>
    </row>
    <row r="40" spans="1:15">
      <c r="A40" t="s">
        <v>470</v>
      </c>
      <c r="B40" s="45"/>
      <c r="C40" s="43"/>
      <c r="D40" s="45"/>
      <c r="E40" s="141"/>
      <c r="F40" s="43"/>
      <c r="G40" s="53"/>
      <c r="H40" s="57"/>
      <c r="I40" s="57"/>
      <c r="J40" s="100"/>
      <c r="K40" s="45"/>
      <c r="L40" s="45"/>
      <c r="M40" s="45"/>
      <c r="N40" s="45"/>
      <c r="O40" s="54"/>
    </row>
    <row r="41" spans="1:15">
      <c r="A41" t="s">
        <v>187</v>
      </c>
      <c r="B41" s="45">
        <f>(1678000*60)/(4420.104*2000)</f>
        <v>11.388872298027376</v>
      </c>
      <c r="C41" s="43">
        <v>36.89</v>
      </c>
      <c r="D41" s="45">
        <f t="shared" ref="D41:D53" si="15">(B41*C41)/100</f>
        <v>4.2013549907422991</v>
      </c>
      <c r="E41" s="53">
        <f>(3228802*60)/4420104</f>
        <v>43.828860135417628</v>
      </c>
      <c r="F41" s="43">
        <v>254.41</v>
      </c>
      <c r="G41" s="53">
        <f t="shared" ref="G41:G53" si="16">E41*F41/2000</f>
        <v>5.5752501535257988</v>
      </c>
      <c r="H41" s="57">
        <f>(261418*60)/4420104</f>
        <v>3.5485771375515145</v>
      </c>
      <c r="I41" s="57">
        <v>108.16</v>
      </c>
      <c r="J41" s="57">
        <f t="shared" ref="J41:J67" si="17">H41*I41/2000</f>
        <v>0.1919070515987859</v>
      </c>
      <c r="K41" s="43">
        <f t="shared" ref="K41:K53" si="18">D41+G41+J41</f>
        <v>9.9685121958668841</v>
      </c>
      <c r="L41" s="43">
        <f t="shared" ref="L41:L53" si="19">D41/K41</f>
        <v>0.42146259222958599</v>
      </c>
      <c r="M41" s="45">
        <f t="shared" ref="M41:M53" si="20">(+G41+J41)/K41</f>
        <v>0.57853740777041407</v>
      </c>
      <c r="N41" s="45">
        <v>9.07</v>
      </c>
      <c r="O41" s="54">
        <f t="shared" ref="O41:O53" si="21">K41-N41</f>
        <v>0.8985121958668838</v>
      </c>
    </row>
    <row r="42" spans="1:15">
      <c r="A42" t="s">
        <v>188</v>
      </c>
      <c r="B42" s="45">
        <f>(1868608.08*60)/(4912.37913*2000)</f>
        <v>11.411627831746774</v>
      </c>
      <c r="C42" s="43">
        <v>38.1</v>
      </c>
      <c r="D42" s="45">
        <f t="shared" si="15"/>
        <v>4.347830203895521</v>
      </c>
      <c r="E42" s="53">
        <f>(3587555.09*60)/4912379.13</f>
        <v>43.818544884991397</v>
      </c>
      <c r="F42" s="43">
        <v>260.55</v>
      </c>
      <c r="G42" s="53">
        <f t="shared" si="16"/>
        <v>5.7084609348922539</v>
      </c>
      <c r="H42" s="57">
        <f>(281923.17*60)/4912379.13</f>
        <v>3.4434211514126352</v>
      </c>
      <c r="I42" s="57">
        <v>122.07</v>
      </c>
      <c r="J42" s="57">
        <f t="shared" si="17"/>
        <v>0.21016920997647018</v>
      </c>
      <c r="K42" s="43">
        <f t="shared" si="18"/>
        <v>10.266460348764245</v>
      </c>
      <c r="L42" s="43">
        <f t="shared" si="19"/>
        <v>0.42349846550752629</v>
      </c>
      <c r="M42" s="45">
        <f t="shared" si="20"/>
        <v>0.57650153449247377</v>
      </c>
      <c r="N42" s="45">
        <v>9.44</v>
      </c>
      <c r="O42" s="54">
        <f t="shared" si="21"/>
        <v>0.82646034876424501</v>
      </c>
    </row>
    <row r="43" spans="1:15">
      <c r="A43" t="s">
        <v>189</v>
      </c>
      <c r="B43" s="45">
        <f>(1805433.7*60)/(4688.4612*2000)</f>
        <v>11.552406789673336</v>
      </c>
      <c r="C43" s="43">
        <v>42.68</v>
      </c>
      <c r="D43" s="45">
        <f t="shared" si="15"/>
        <v>4.9305672178325795</v>
      </c>
      <c r="E43" s="53">
        <f>(3434182.7*60)/4688461.2</f>
        <v>43.948526650919071</v>
      </c>
      <c r="F43" s="43">
        <v>280.76</v>
      </c>
      <c r="G43" s="53">
        <f t="shared" si="16"/>
        <v>6.1694941712560194</v>
      </c>
      <c r="H43" s="57">
        <f>(275259.8*60)/4688461.2</f>
        <v>3.522603109096861</v>
      </c>
      <c r="I43" s="57">
        <v>126.25</v>
      </c>
      <c r="J43" s="57">
        <f t="shared" si="17"/>
        <v>0.22236432126173936</v>
      </c>
      <c r="K43" s="43">
        <f t="shared" si="18"/>
        <v>11.322425710350338</v>
      </c>
      <c r="L43" s="43">
        <f t="shared" si="19"/>
        <v>0.43546916040485267</v>
      </c>
      <c r="M43" s="45">
        <f t="shared" si="20"/>
        <v>0.56453083959514738</v>
      </c>
      <c r="N43" s="45">
        <v>10.32</v>
      </c>
      <c r="O43" s="54">
        <f t="shared" si="21"/>
        <v>1.0024257103503373</v>
      </c>
    </row>
    <row r="44" spans="1:15">
      <c r="A44" t="s">
        <v>190</v>
      </c>
      <c r="B44" s="45">
        <f>(1879439.8*60)/(4921.75985*2000)</f>
        <v>11.455901083836912</v>
      </c>
      <c r="C44" s="43">
        <v>45.16</v>
      </c>
      <c r="D44" s="45">
        <f t="shared" si="15"/>
        <v>5.1734849294607486</v>
      </c>
      <c r="E44" s="53">
        <f>(3604532.75*60)/4921759.85</f>
        <v>43.941998714138812</v>
      </c>
      <c r="F44" s="43">
        <v>314.77999999999997</v>
      </c>
      <c r="G44" s="53">
        <f t="shared" si="16"/>
        <v>6.916031177618307</v>
      </c>
      <c r="H44" s="57">
        <f>(283007.2*60)/4921759.85</f>
        <v>3.4500732497137179</v>
      </c>
      <c r="I44" s="57">
        <v>135.79</v>
      </c>
      <c r="J44" s="57">
        <f t="shared" si="17"/>
        <v>0.23424272328931287</v>
      </c>
      <c r="K44" s="43">
        <f t="shared" si="18"/>
        <v>12.323758830368369</v>
      </c>
      <c r="L44" s="43">
        <f t="shared" si="19"/>
        <v>0.41979764458812507</v>
      </c>
      <c r="M44" s="45">
        <f t="shared" si="20"/>
        <v>0.58020235541187481</v>
      </c>
      <c r="N44" s="45">
        <v>11.23</v>
      </c>
      <c r="O44" s="54">
        <f t="shared" si="21"/>
        <v>1.093758830368369</v>
      </c>
    </row>
    <row r="45" spans="1:15">
      <c r="A45" t="s">
        <v>191</v>
      </c>
      <c r="B45" s="45">
        <f>(1845226.93*60)/(4814.018*2000)</f>
        <v>11.499086189540629</v>
      </c>
      <c r="C45" s="43">
        <v>49.77</v>
      </c>
      <c r="D45" s="45">
        <f t="shared" si="15"/>
        <v>5.7230951965343717</v>
      </c>
      <c r="E45" s="53">
        <f>(3515103.39*60)/4814018</f>
        <v>43.810846448850008</v>
      </c>
      <c r="F45" s="43">
        <v>331.28</v>
      </c>
      <c r="G45" s="53">
        <f t="shared" si="16"/>
        <v>7.2568286057875149</v>
      </c>
      <c r="H45" s="57">
        <f>(276075.02*60)/4814018</f>
        <v>3.4408889206479913</v>
      </c>
      <c r="I45" s="57">
        <v>136.6</v>
      </c>
      <c r="J45" s="57">
        <f t="shared" si="17"/>
        <v>0.2350127132802578</v>
      </c>
      <c r="K45" s="43">
        <f t="shared" si="18"/>
        <v>13.214936515602144</v>
      </c>
      <c r="L45" s="43">
        <f t="shared" si="19"/>
        <v>0.4330777669478344</v>
      </c>
      <c r="M45" s="45">
        <f t="shared" si="20"/>
        <v>0.56692223305216571</v>
      </c>
      <c r="N45" s="45">
        <v>12.16</v>
      </c>
      <c r="O45" s="54">
        <f t="shared" si="21"/>
        <v>1.0549365156021437</v>
      </c>
    </row>
    <row r="46" spans="1:15">
      <c r="A46" t="s">
        <v>192</v>
      </c>
      <c r="B46" s="45">
        <f>(1687694.5*60)/(4395.339*2000)</f>
        <v>11.519210463629769</v>
      </c>
      <c r="C46" s="43">
        <v>56.68</v>
      </c>
      <c r="D46" s="45">
        <f t="shared" si="15"/>
        <v>6.5290884907853526</v>
      </c>
      <c r="E46" s="53">
        <f>(3223901.3*60)/4395339</f>
        <v>44.008909892957064</v>
      </c>
      <c r="F46" s="43">
        <v>345.87</v>
      </c>
      <c r="G46" s="53">
        <f t="shared" si="16"/>
        <v>7.61068083233853</v>
      </c>
      <c r="H46" s="57">
        <f>(249761.85*60)/4395339</f>
        <v>3.4094551068757153</v>
      </c>
      <c r="I46" s="57">
        <v>139.94999999999999</v>
      </c>
      <c r="J46" s="57">
        <f t="shared" si="17"/>
        <v>0.23857662110362815</v>
      </c>
      <c r="K46" s="43">
        <f t="shared" si="18"/>
        <v>14.37834594422751</v>
      </c>
      <c r="L46" s="43">
        <f t="shared" si="19"/>
        <v>0.45409176522189554</v>
      </c>
      <c r="M46" s="45">
        <f t="shared" si="20"/>
        <v>0.54590823477810446</v>
      </c>
      <c r="N46" s="45">
        <v>13.35</v>
      </c>
      <c r="O46" s="54">
        <f t="shared" si="21"/>
        <v>1.0283459442275102</v>
      </c>
    </row>
    <row r="47" spans="1:15">
      <c r="A47" t="s">
        <v>193</v>
      </c>
      <c r="B47" s="45">
        <f>(1827761.46*60)/(4678.746*2000)</f>
        <v>11.719559856423066</v>
      </c>
      <c r="C47" s="43">
        <v>57.27</v>
      </c>
      <c r="D47" s="45">
        <f t="shared" si="15"/>
        <v>6.71179192977349</v>
      </c>
      <c r="E47" s="53">
        <f>(3428232.47*60)/4678746</f>
        <v>43.963478290977974</v>
      </c>
      <c r="F47" s="43">
        <v>331.57</v>
      </c>
      <c r="G47" s="53">
        <f t="shared" si="16"/>
        <v>7.2884852484697831</v>
      </c>
      <c r="H47" s="57">
        <f>(272873.47*60)/4678746</f>
        <v>3.4993154576033834</v>
      </c>
      <c r="I47" s="57">
        <v>149.93</v>
      </c>
      <c r="J47" s="57">
        <f t="shared" si="17"/>
        <v>0.26232618327923762</v>
      </c>
      <c r="K47" s="43">
        <f t="shared" si="18"/>
        <v>14.26260336152251</v>
      </c>
      <c r="L47" s="43">
        <f t="shared" si="19"/>
        <v>0.47058673368709714</v>
      </c>
      <c r="M47" s="45">
        <f t="shared" si="20"/>
        <v>0.52941326631290286</v>
      </c>
      <c r="N47" s="45">
        <v>13.12</v>
      </c>
      <c r="O47" s="54">
        <f t="shared" si="21"/>
        <v>1.1426033615225109</v>
      </c>
    </row>
    <row r="48" spans="1:15">
      <c r="A48" t="s">
        <v>194</v>
      </c>
      <c r="B48" s="45">
        <f>(1707011.36*60)/(4423.512*2000)</f>
        <v>11.576851334414828</v>
      </c>
      <c r="C48" s="43">
        <v>56.58</v>
      </c>
      <c r="D48" s="45">
        <f t="shared" si="15"/>
        <v>6.5501824850119093</v>
      </c>
      <c r="E48" s="53">
        <f>(3245843.7*60)/4423512</f>
        <v>44.026244757559155</v>
      </c>
      <c r="F48" s="43">
        <v>329.94</v>
      </c>
      <c r="G48" s="53">
        <f t="shared" si="16"/>
        <v>7.2630095976545332</v>
      </c>
      <c r="H48" s="57">
        <f>(254800.26*60)/4423512</f>
        <v>3.4560809601059073</v>
      </c>
      <c r="I48" s="57">
        <v>141.11000000000001</v>
      </c>
      <c r="J48" s="57">
        <f t="shared" si="17"/>
        <v>0.24384379214027233</v>
      </c>
      <c r="K48" s="43">
        <f t="shared" si="18"/>
        <v>14.057035874806715</v>
      </c>
      <c r="L48" s="43">
        <f t="shared" si="19"/>
        <v>0.46597181250360681</v>
      </c>
      <c r="M48" s="45">
        <f t="shared" si="20"/>
        <v>0.53402818749639314</v>
      </c>
      <c r="N48" s="45">
        <v>12.92</v>
      </c>
      <c r="O48" s="54">
        <f t="shared" si="21"/>
        <v>1.1370358748067151</v>
      </c>
    </row>
    <row r="49" spans="1:15">
      <c r="A49" t="s">
        <v>197</v>
      </c>
      <c r="B49" s="45">
        <f>(1756417.8*60)/(4578.147*2000)</f>
        <v>11.509576691180952</v>
      </c>
      <c r="C49" s="43">
        <v>58.27</v>
      </c>
      <c r="D49" s="45">
        <f t="shared" si="15"/>
        <v>6.7066303379511405</v>
      </c>
      <c r="E49" s="53">
        <f>(3366876.6*60)/4578147</f>
        <v>44.125406196000263</v>
      </c>
      <c r="F49" s="43">
        <v>325.48</v>
      </c>
      <c r="G49" s="53">
        <f t="shared" si="16"/>
        <v>7.1809686043370826</v>
      </c>
      <c r="H49" s="57">
        <f>(266890.9*60)/4578147</f>
        <v>3.4978024952016615</v>
      </c>
      <c r="I49" s="57">
        <v>111.43</v>
      </c>
      <c r="J49" s="57">
        <f t="shared" si="17"/>
        <v>0.19488006602016059</v>
      </c>
      <c r="K49" s="43">
        <f t="shared" si="18"/>
        <v>14.082479008308384</v>
      </c>
      <c r="L49" s="43">
        <f t="shared" si="19"/>
        <v>0.47623932789066192</v>
      </c>
      <c r="M49" s="45">
        <f t="shared" si="20"/>
        <v>0.52376067210933797</v>
      </c>
      <c r="N49" s="45">
        <v>13.24</v>
      </c>
      <c r="O49" s="54">
        <f t="shared" si="21"/>
        <v>0.84247900830838418</v>
      </c>
    </row>
    <row r="50" spans="1:15">
      <c r="A50" t="s">
        <v>195</v>
      </c>
      <c r="B50" s="45">
        <f>(1632790.52*60)/(4231.453*2000)</f>
        <v>11.576098233869075</v>
      </c>
      <c r="C50" s="43">
        <v>62.43</v>
      </c>
      <c r="D50" s="45">
        <f t="shared" si="15"/>
        <v>7.2269581274044636</v>
      </c>
      <c r="E50" s="53">
        <f>(3098019.28*60)/4231453</f>
        <v>43.92844651707108</v>
      </c>
      <c r="F50" s="43">
        <v>390.72</v>
      </c>
      <c r="G50" s="53">
        <f t="shared" si="16"/>
        <v>8.5818613115750075</v>
      </c>
      <c r="H50" s="57">
        <f>(254251.66*60)/4231453</f>
        <v>3.6051681538232847</v>
      </c>
      <c r="I50" s="57">
        <v>125.48</v>
      </c>
      <c r="J50" s="57">
        <f t="shared" si="17"/>
        <v>0.22618824997087289</v>
      </c>
      <c r="K50" s="43">
        <f t="shared" si="18"/>
        <v>16.035007688950344</v>
      </c>
      <c r="L50" s="43">
        <f t="shared" si="19"/>
        <v>0.45069876283155946</v>
      </c>
      <c r="M50" s="45">
        <f t="shared" si="20"/>
        <v>0.54930123716844048</v>
      </c>
      <c r="N50" s="45">
        <v>14.99</v>
      </c>
      <c r="O50" s="54">
        <f t="shared" si="21"/>
        <v>1.0450076889503439</v>
      </c>
    </row>
    <row r="51" spans="1:15">
      <c r="A51" t="s">
        <v>196</v>
      </c>
      <c r="B51" s="45">
        <f>(1616379.28*60)/(4179.457*2000)</f>
        <v>11.602315420400304</v>
      </c>
      <c r="C51" s="43">
        <v>60.54</v>
      </c>
      <c r="D51" s="45">
        <f t="shared" si="15"/>
        <v>7.0240417555103445</v>
      </c>
      <c r="E51" s="53">
        <f>(3072369.6*60)/4179457</f>
        <v>44.106728697053228</v>
      </c>
      <c r="F51" s="43">
        <v>412.25</v>
      </c>
      <c r="G51" s="53">
        <f t="shared" si="16"/>
        <v>9.0914994526800967</v>
      </c>
      <c r="H51" s="57">
        <f>(243909.6*60)/4179457</f>
        <v>3.5015496032140061</v>
      </c>
      <c r="I51" s="57">
        <v>152.02000000000001</v>
      </c>
      <c r="J51" s="57">
        <f t="shared" si="17"/>
        <v>0.26615278534029663</v>
      </c>
      <c r="K51" s="43">
        <f t="shared" si="18"/>
        <v>16.381693993530739</v>
      </c>
      <c r="L51" s="43">
        <f t="shared" si="19"/>
        <v>0.42877383488448717</v>
      </c>
      <c r="M51" s="45">
        <f t="shared" si="20"/>
        <v>0.57122616511551272</v>
      </c>
      <c r="N51" s="45">
        <v>15.16</v>
      </c>
      <c r="O51" s="54">
        <f t="shared" si="21"/>
        <v>1.2216939935307387</v>
      </c>
    </row>
    <row r="52" spans="1:15">
      <c r="A52" t="s">
        <v>206</v>
      </c>
      <c r="B52" s="45">
        <f>(1507544.65*60)/(3858.844*2000)</f>
        <v>11.720178245091017</v>
      </c>
      <c r="C52" s="43">
        <v>50.78</v>
      </c>
      <c r="D52" s="45">
        <f t="shared" si="15"/>
        <v>5.9515065128572182</v>
      </c>
      <c r="E52" s="53">
        <f>(2821738*60)/3858844</f>
        <v>43.874352008010689</v>
      </c>
      <c r="F52" s="43">
        <v>355.35</v>
      </c>
      <c r="G52" s="53">
        <f t="shared" si="16"/>
        <v>7.7953754930232995</v>
      </c>
      <c r="H52" s="57">
        <f>(230645.05*60)/3858844</f>
        <v>3.5862302285347631</v>
      </c>
      <c r="I52" s="57">
        <v>152.62</v>
      </c>
      <c r="J52" s="57">
        <f t="shared" si="17"/>
        <v>0.27366522873948773</v>
      </c>
      <c r="K52" s="43">
        <f t="shared" si="18"/>
        <v>14.020547234620006</v>
      </c>
      <c r="L52" s="43">
        <f t="shared" si="19"/>
        <v>0.42448460914289843</v>
      </c>
      <c r="M52" s="45">
        <f t="shared" si="20"/>
        <v>0.57551539085710157</v>
      </c>
      <c r="N52" s="45">
        <v>12.88</v>
      </c>
      <c r="O52" s="54">
        <f t="shared" si="21"/>
        <v>1.140547234620005</v>
      </c>
    </row>
    <row r="53" spans="1:15">
      <c r="A53" s="41" t="s">
        <v>227</v>
      </c>
      <c r="B53" s="45">
        <f>(20812308.08*60)/(54102.22018*2000)</f>
        <v>11.540547510299973</v>
      </c>
      <c r="C53" s="43">
        <f>AVERAGE(C41:C52)</f>
        <v>51.262499999999996</v>
      </c>
      <c r="D53" s="45">
        <f t="shared" si="15"/>
        <v>5.9159731674675236</v>
      </c>
      <c r="E53" s="53">
        <f>(39627156.88*60)/54102220.18</f>
        <v>43.946984151288859</v>
      </c>
      <c r="F53" s="43">
        <f>AVERAGE(F41:F52)</f>
        <v>327.74666666666673</v>
      </c>
      <c r="G53" s="53">
        <f t="shared" si="16"/>
        <v>7.2017387828188779</v>
      </c>
      <c r="H53" s="57">
        <f>(3150815.98*60)/54102220.18</f>
        <v>3.4942920673315707</v>
      </c>
      <c r="I53" s="57">
        <f>AVERAGE(I41:I52)</f>
        <v>133.45083333333335</v>
      </c>
      <c r="J53" s="100">
        <f t="shared" si="17"/>
        <v>0.23315809414772712</v>
      </c>
      <c r="K53" s="43">
        <f t="shared" si="18"/>
        <v>13.35087004443413</v>
      </c>
      <c r="L53" s="43">
        <f t="shared" si="19"/>
        <v>0.4431151788443814</v>
      </c>
      <c r="M53" s="45">
        <f t="shared" si="20"/>
        <v>0.55688482115561855</v>
      </c>
      <c r="N53" s="45">
        <f>AVERAGE(N41:N52)</f>
        <v>12.323333333333332</v>
      </c>
      <c r="O53" s="54">
        <f t="shared" si="21"/>
        <v>1.0275367111007974</v>
      </c>
    </row>
    <row r="54" spans="1:15">
      <c r="A54" t="s">
        <v>477</v>
      </c>
      <c r="B54" s="45"/>
      <c r="C54" s="43"/>
      <c r="D54" s="45"/>
      <c r="E54" s="141"/>
      <c r="F54" s="43"/>
      <c r="G54" s="53"/>
      <c r="H54" s="100"/>
      <c r="I54" s="100"/>
      <c r="J54" s="100"/>
      <c r="K54" s="45"/>
      <c r="L54" s="45"/>
      <c r="M54" s="45"/>
      <c r="N54" s="45"/>
      <c r="O54" s="54"/>
    </row>
    <row r="55" spans="1:15">
      <c r="A55" t="s">
        <v>187</v>
      </c>
      <c r="B55" s="45">
        <f>(1445522.7*60)/(3770.688*2000)</f>
        <v>11.500734348744844</v>
      </c>
      <c r="C55" s="43">
        <v>46.09</v>
      </c>
      <c r="D55" s="45">
        <f t="shared" ref="D55:D67" si="22">(B55*C55)/100</f>
        <v>5.3006884613364988</v>
      </c>
      <c r="E55" s="53">
        <f>(2772830.3*60)/3770688</f>
        <v>44.121873249656296</v>
      </c>
      <c r="F55" s="43">
        <v>352.7</v>
      </c>
      <c r="G55" s="53">
        <f>E55*F55/2000</f>
        <v>7.7808923475768879</v>
      </c>
      <c r="H55" s="57">
        <f>(223493.3*60)/3770688</f>
        <v>3.5562735500789247</v>
      </c>
      <c r="I55" s="57">
        <v>152.62</v>
      </c>
      <c r="J55" s="57">
        <f t="shared" si="17"/>
        <v>0.27137923460652275</v>
      </c>
      <c r="K55" s="43">
        <f t="shared" ref="K55:K67" si="23">D55+G55+J55</f>
        <v>13.352960043519909</v>
      </c>
      <c r="L55" s="43">
        <f t="shared" ref="L55:L67" si="24">D55/K55</f>
        <v>0.3969672974427032</v>
      </c>
      <c r="M55" s="45">
        <f t="shared" ref="M55:M67" si="25">(+G55+J55)/K55</f>
        <v>0.6030327025572968</v>
      </c>
      <c r="N55" s="45">
        <v>11.4</v>
      </c>
      <c r="O55" s="54">
        <f t="shared" ref="O55:O67" si="26">K55-N55</f>
        <v>1.9529600435199086</v>
      </c>
    </row>
    <row r="56" spans="1:15">
      <c r="A56" t="s">
        <v>188</v>
      </c>
      <c r="B56" s="45">
        <f>(1715917.39*60)/(4501.479*2000)</f>
        <v>11.435690736311331</v>
      </c>
      <c r="C56" s="43">
        <v>35.5</v>
      </c>
      <c r="D56" s="45">
        <f t="shared" si="22"/>
        <v>4.0596702113905225</v>
      </c>
      <c r="E56" s="53">
        <f>(3267431.29*60)/4501479</f>
        <v>43.551436627828323</v>
      </c>
      <c r="F56" s="43">
        <v>260.66000000000003</v>
      </c>
      <c r="G56" s="53">
        <f t="shared" ref="G56:G67" si="27">E56*F56/2000</f>
        <v>5.6760587357048662</v>
      </c>
      <c r="H56" s="57">
        <f>(252014.93*60)/4501479</f>
        <v>3.3590950440955072</v>
      </c>
      <c r="I56" s="57">
        <v>145.22</v>
      </c>
      <c r="J56" s="57">
        <f t="shared" si="17"/>
        <v>0.2439038911517748</v>
      </c>
      <c r="K56" s="43">
        <f t="shared" si="23"/>
        <v>9.9796328382471629</v>
      </c>
      <c r="L56" s="43">
        <f t="shared" si="24"/>
        <v>0.40679554821212932</v>
      </c>
      <c r="M56" s="45">
        <f t="shared" si="25"/>
        <v>0.59320445178787073</v>
      </c>
      <c r="N56" s="45">
        <v>9.0299999999999994</v>
      </c>
      <c r="O56" s="54">
        <f t="shared" si="26"/>
        <v>0.94963283824716349</v>
      </c>
    </row>
    <row r="57" spans="1:15">
      <c r="A57" t="s">
        <v>189</v>
      </c>
      <c r="B57" s="45">
        <f>(1622851*60)/(4340.495*2000)</f>
        <v>11.216584744366713</v>
      </c>
      <c r="C57" s="43">
        <v>31.55</v>
      </c>
      <c r="D57" s="45">
        <f t="shared" si="22"/>
        <v>3.5388324868476979</v>
      </c>
      <c r="E57" s="53">
        <f>(3158033*60)/4340495</f>
        <v>43.654463373417087</v>
      </c>
      <c r="F57" s="43">
        <v>267.37</v>
      </c>
      <c r="G57" s="53">
        <f t="shared" si="27"/>
        <v>5.8359469360752634</v>
      </c>
      <c r="H57" s="57">
        <f>(255442*60)/4340495</f>
        <v>3.531053485835141</v>
      </c>
      <c r="I57" s="57">
        <v>131.11000000000001</v>
      </c>
      <c r="J57" s="57">
        <f t="shared" si="17"/>
        <v>0.23147821126392271</v>
      </c>
      <c r="K57" s="43">
        <f t="shared" si="23"/>
        <v>9.6062576341868837</v>
      </c>
      <c r="L57" s="43">
        <f t="shared" si="24"/>
        <v>0.36838825499054401</v>
      </c>
      <c r="M57" s="45">
        <f t="shared" si="25"/>
        <v>0.63161174500945605</v>
      </c>
      <c r="N57" s="45">
        <v>8.93</v>
      </c>
      <c r="O57" s="54">
        <f t="shared" si="26"/>
        <v>0.676257634186884</v>
      </c>
    </row>
    <row r="58" spans="1:15">
      <c r="A58" t="s">
        <v>190</v>
      </c>
      <c r="B58" s="45">
        <f>(1596985.45*60)/(4240.383*2000)</f>
        <v>11.29840476673923</v>
      </c>
      <c r="C58" s="43">
        <v>29.3</v>
      </c>
      <c r="D58" s="45">
        <f t="shared" si="22"/>
        <v>3.3104325966545947</v>
      </c>
      <c r="E58" s="53">
        <f>(3101798.75*60)/4240383</f>
        <v>43.889413998688326</v>
      </c>
      <c r="F58" s="43">
        <v>268.24</v>
      </c>
      <c r="G58" s="53">
        <f t="shared" si="27"/>
        <v>5.8864482055040792</v>
      </c>
      <c r="H58" s="57">
        <f>(244153.55*60)/4240383</f>
        <v>3.4546910031475933</v>
      </c>
      <c r="I58" s="57">
        <v>119.88</v>
      </c>
      <c r="J58" s="57">
        <f t="shared" si="17"/>
        <v>0.20707417872866674</v>
      </c>
      <c r="K58" s="43">
        <f t="shared" si="23"/>
        <v>9.4039549808873399</v>
      </c>
      <c r="L58" s="43">
        <f t="shared" si="24"/>
        <v>0.35202556832553322</v>
      </c>
      <c r="M58" s="45">
        <f t="shared" si="25"/>
        <v>0.64797443167446689</v>
      </c>
      <c r="N58" s="45">
        <v>8.68</v>
      </c>
      <c r="O58" s="54">
        <f t="shared" si="26"/>
        <v>0.72395498088734023</v>
      </c>
    </row>
    <row r="59" spans="1:15">
      <c r="A59" t="s">
        <v>191</v>
      </c>
      <c r="B59" s="45">
        <f>(1615580*60)/(4357.003*2000)</f>
        <v>11.124022636661026</v>
      </c>
      <c r="C59" s="43">
        <v>32.159999999999997</v>
      </c>
      <c r="D59" s="45">
        <f t="shared" si="22"/>
        <v>3.5774856799501857</v>
      </c>
      <c r="E59" s="53">
        <f>(3185208*60)/4357003</f>
        <v>43.863288595394586</v>
      </c>
      <c r="F59" s="43">
        <v>306.85000000000002</v>
      </c>
      <c r="G59" s="53">
        <f t="shared" si="27"/>
        <v>6.7297250527484147</v>
      </c>
      <c r="H59" s="57">
        <f>(254614*60)/4357003</f>
        <v>3.506272545600726</v>
      </c>
      <c r="I59" s="57">
        <v>111.38</v>
      </c>
      <c r="J59" s="57">
        <f t="shared" si="17"/>
        <v>0.19526431806450442</v>
      </c>
      <c r="K59" s="43">
        <f t="shared" si="23"/>
        <v>10.502475050763104</v>
      </c>
      <c r="L59" s="43">
        <f t="shared" si="24"/>
        <v>0.34063262827653634</v>
      </c>
      <c r="M59" s="45">
        <f t="shared" si="25"/>
        <v>0.65936737172346371</v>
      </c>
      <c r="N59" s="45">
        <v>9.91</v>
      </c>
      <c r="O59" s="54">
        <f t="shared" si="26"/>
        <v>0.59247505076310425</v>
      </c>
    </row>
    <row r="60" spans="1:15">
      <c r="A60" t="s">
        <v>192</v>
      </c>
      <c r="B60" s="45">
        <f>(1536526*60)/(4062.132*2000)</f>
        <v>11.347681463822447</v>
      </c>
      <c r="C60" s="43">
        <v>28.93</v>
      </c>
      <c r="D60" s="45">
        <f t="shared" si="22"/>
        <v>3.2828842474838336</v>
      </c>
      <c r="E60" s="53">
        <f>(2972827*60)/4062132</f>
        <v>43.910345601767744</v>
      </c>
      <c r="F60" s="43">
        <v>297.42</v>
      </c>
      <c r="G60" s="53">
        <f t="shared" si="27"/>
        <v>6.5299074944388815</v>
      </c>
      <c r="H60" s="57">
        <f>(230916*60)/4062132</f>
        <v>3.410760654749772</v>
      </c>
      <c r="I60" s="57">
        <v>101.05</v>
      </c>
      <c r="J60" s="57">
        <f t="shared" si="17"/>
        <v>0.17232868208123223</v>
      </c>
      <c r="K60" s="43">
        <f t="shared" si="23"/>
        <v>9.9851204240039486</v>
      </c>
      <c r="L60" s="43">
        <f t="shared" si="24"/>
        <v>0.32877763192438542</v>
      </c>
      <c r="M60" s="45">
        <f t="shared" si="25"/>
        <v>0.67122236807561453</v>
      </c>
      <c r="N60" s="45">
        <v>9.3800000000000008</v>
      </c>
      <c r="O60" s="54">
        <f t="shared" si="26"/>
        <v>0.60512042400394783</v>
      </c>
    </row>
    <row r="61" spans="1:15">
      <c r="A61" t="s">
        <v>193</v>
      </c>
      <c r="B61" s="45">
        <f>(1636431*60)/(4332.515*2000)</f>
        <v>11.331277560493154</v>
      </c>
      <c r="C61" s="43">
        <v>28.23</v>
      </c>
      <c r="D61" s="45">
        <f t="shared" si="22"/>
        <v>3.1988196553272172</v>
      </c>
      <c r="E61" s="53">
        <f>(3171612*60)/4332515</f>
        <v>43.92292236726243</v>
      </c>
      <c r="F61" s="43">
        <v>292.22000000000003</v>
      </c>
      <c r="G61" s="53">
        <f t="shared" si="27"/>
        <v>6.4175781870807143</v>
      </c>
      <c r="H61" s="57">
        <f>(253799*60)/4332515</f>
        <v>3.514803757171066</v>
      </c>
      <c r="I61" s="57">
        <v>90.8</v>
      </c>
      <c r="J61" s="57">
        <f t="shared" si="17"/>
        <v>0.1595720905755664</v>
      </c>
      <c r="K61" s="43">
        <f t="shared" si="23"/>
        <v>9.7759699329834966</v>
      </c>
      <c r="L61" s="43">
        <f t="shared" si="24"/>
        <v>0.32721250957765374</v>
      </c>
      <c r="M61" s="45">
        <f t="shared" si="25"/>
        <v>0.67278749042234642</v>
      </c>
      <c r="N61" s="45">
        <v>9.17</v>
      </c>
      <c r="O61" s="54">
        <f t="shared" si="26"/>
        <v>0.60596993298349666</v>
      </c>
    </row>
    <row r="62" spans="1:15">
      <c r="A62" t="s">
        <v>194</v>
      </c>
      <c r="B62" s="45">
        <f>(1595908*60)/(4208.212*2000)</f>
        <v>11.377097921872757</v>
      </c>
      <c r="C62" s="43">
        <v>32.76</v>
      </c>
      <c r="D62" s="45">
        <f t="shared" si="22"/>
        <v>3.7271372792055151</v>
      </c>
      <c r="E62" s="53">
        <f>(3091967*60)/4208212</f>
        <v>44.084760938850039</v>
      </c>
      <c r="F62" s="43">
        <v>324.27</v>
      </c>
      <c r="G62" s="53">
        <f t="shared" si="27"/>
        <v>7.1476827148204505</v>
      </c>
      <c r="H62" s="57">
        <f>(243220*60)/4208212</f>
        <v>3.4677910713623743</v>
      </c>
      <c r="I62" s="57">
        <v>81.67</v>
      </c>
      <c r="J62" s="57">
        <f t="shared" si="17"/>
        <v>0.14160724839908256</v>
      </c>
      <c r="K62" s="43">
        <f t="shared" si="23"/>
        <v>11.016427242425049</v>
      </c>
      <c r="L62" s="43">
        <f t="shared" si="24"/>
        <v>0.33832541142304673</v>
      </c>
      <c r="M62" s="45">
        <f t="shared" si="25"/>
        <v>0.66167458857695316</v>
      </c>
      <c r="N62" s="45">
        <v>10.25</v>
      </c>
      <c r="O62" s="54">
        <f t="shared" si="26"/>
        <v>0.76642724242504912</v>
      </c>
    </row>
    <row r="63" spans="1:15">
      <c r="A63" t="s">
        <v>197</v>
      </c>
      <c r="B63" s="45">
        <f>(1684227*60)/(4387.378*2000)</f>
        <v>11.516402279447998</v>
      </c>
      <c r="C63" s="43">
        <v>36.06</v>
      </c>
      <c r="D63" s="45">
        <f t="shared" si="22"/>
        <v>4.1528146619689483</v>
      </c>
      <c r="E63" s="53">
        <f>(3246859*60)/4387378</f>
        <v>44.402725272360847</v>
      </c>
      <c r="F63" s="43">
        <v>380.37</v>
      </c>
      <c r="G63" s="53">
        <f t="shared" si="27"/>
        <v>8.4447323059239476</v>
      </c>
      <c r="H63" s="57">
        <f>(255913*60)/4387378</f>
        <v>3.4997622725919673</v>
      </c>
      <c r="I63" s="57">
        <v>87.63</v>
      </c>
      <c r="J63" s="57">
        <f t="shared" si="17"/>
        <v>0.15334208397361704</v>
      </c>
      <c r="K63" s="43">
        <f t="shared" si="23"/>
        <v>12.750889051866514</v>
      </c>
      <c r="L63" s="43">
        <f t="shared" si="24"/>
        <v>0.32568824378258132</v>
      </c>
      <c r="M63" s="45">
        <f t="shared" si="25"/>
        <v>0.67431175621741868</v>
      </c>
      <c r="N63" s="45">
        <v>11.66</v>
      </c>
      <c r="O63" s="54">
        <f t="shared" si="26"/>
        <v>1.0908890518665135</v>
      </c>
    </row>
    <row r="64" spans="1:15">
      <c r="A64" t="s">
        <v>195</v>
      </c>
      <c r="B64" s="45">
        <f>(1604322*60)/(4202.869*2000)</f>
        <v>11.451620309840731</v>
      </c>
      <c r="C64" s="43">
        <v>35.659999999999997</v>
      </c>
      <c r="D64" s="45">
        <f t="shared" si="22"/>
        <v>4.0836478024892049</v>
      </c>
      <c r="E64" s="53">
        <f>(3082209*60)/4202869</f>
        <v>44.001499927787421</v>
      </c>
      <c r="F64" s="43">
        <v>418.47</v>
      </c>
      <c r="G64" s="53">
        <f t="shared" si="27"/>
        <v>9.2066538373906024</v>
      </c>
      <c r="H64" s="57">
        <f>(241001*60)/4202869</f>
        <v>3.4405212249061297</v>
      </c>
      <c r="I64" s="57">
        <v>82.61</v>
      </c>
      <c r="J64" s="57">
        <f t="shared" si="17"/>
        <v>0.14211072919474768</v>
      </c>
      <c r="K64" s="43">
        <f t="shared" si="23"/>
        <v>13.432412369074555</v>
      </c>
      <c r="L64" s="43">
        <f t="shared" si="24"/>
        <v>0.30401447560461947</v>
      </c>
      <c r="M64" s="45">
        <f t="shared" si="25"/>
        <v>0.69598552439538053</v>
      </c>
      <c r="N64" s="45">
        <v>12.37</v>
      </c>
      <c r="O64" s="54">
        <f t="shared" si="26"/>
        <v>1.0624123690745559</v>
      </c>
    </row>
    <row r="65" spans="1:15">
      <c r="A65" t="s">
        <v>196</v>
      </c>
      <c r="B65" s="45">
        <f>(1469173*60)/(3863.629*2000)</f>
        <v>11.407717977062497</v>
      </c>
      <c r="C65" s="43">
        <v>31.08</v>
      </c>
      <c r="D65" s="45">
        <f t="shared" si="22"/>
        <v>3.5455187472710237</v>
      </c>
      <c r="E65" s="53">
        <f>(2836244*60)/3881091</f>
        <v>43.847114123322541</v>
      </c>
      <c r="F65" s="43">
        <v>373.18</v>
      </c>
      <c r="G65" s="53">
        <f t="shared" si="27"/>
        <v>8.1814330242707527</v>
      </c>
      <c r="H65" s="57">
        <f>(230471*60)/3881091</f>
        <v>3.5629826767782564</v>
      </c>
      <c r="I65" s="57">
        <v>84.66</v>
      </c>
      <c r="J65" s="57">
        <f t="shared" si="17"/>
        <v>0.15082105670802357</v>
      </c>
      <c r="K65" s="43">
        <f t="shared" si="23"/>
        <v>11.8777728282498</v>
      </c>
      <c r="L65" s="43">
        <f t="shared" si="24"/>
        <v>0.29850029955434493</v>
      </c>
      <c r="M65" s="45">
        <f t="shared" si="25"/>
        <v>0.70149970044565513</v>
      </c>
      <c r="N65" s="45">
        <v>10.96</v>
      </c>
      <c r="O65" s="54">
        <f t="shared" si="26"/>
        <v>0.91777282824979878</v>
      </c>
    </row>
    <row r="66" spans="1:15">
      <c r="A66" t="s">
        <v>206</v>
      </c>
      <c r="B66" s="45">
        <f>(1368606*60)/(3592.845*2000)</f>
        <v>11.427762678323168</v>
      </c>
      <c r="C66" s="43">
        <v>33.69</v>
      </c>
      <c r="D66" s="45">
        <f>(B66*C66)/100</f>
        <v>3.8500132463270749</v>
      </c>
      <c r="E66" s="53">
        <f>(2629112*60)/3592845</f>
        <v>43.905796103088221</v>
      </c>
      <c r="F66" s="43">
        <v>405.27</v>
      </c>
      <c r="G66" s="53">
        <f>E66*F66/2000</f>
        <v>8.8968509933492808</v>
      </c>
      <c r="H66" s="57">
        <f>(215817*60)/3592845</f>
        <v>3.6041131749351836</v>
      </c>
      <c r="I66" s="57">
        <v>97.33</v>
      </c>
      <c r="J66" s="57">
        <f t="shared" si="17"/>
        <v>0.17539416765822072</v>
      </c>
      <c r="K66" s="43">
        <f t="shared" si="23"/>
        <v>12.922258407334576</v>
      </c>
      <c r="L66" s="43">
        <f t="shared" si="24"/>
        <v>0.29793656224532983</v>
      </c>
      <c r="M66" s="45">
        <f t="shared" si="25"/>
        <v>0.70206343775467017</v>
      </c>
      <c r="N66" s="45">
        <v>11.36</v>
      </c>
      <c r="O66" s="54">
        <f t="shared" si="26"/>
        <v>1.5622584073345767</v>
      </c>
    </row>
    <row r="67" spans="1:15">
      <c r="A67" s="41" t="s">
        <v>227</v>
      </c>
      <c r="B67" s="45">
        <f>(18892049.54*60)/(49877.09*2000)</f>
        <v>11.363162650427279</v>
      </c>
      <c r="C67" s="43">
        <f>AVERAGE(C55:C66)</f>
        <v>33.417499999999997</v>
      </c>
      <c r="D67" s="45">
        <f t="shared" si="22"/>
        <v>3.7972848787065359</v>
      </c>
      <c r="E67" s="53">
        <f>(36516131.34*60)/49877090</f>
        <v>43.927339794683292</v>
      </c>
      <c r="F67" s="43">
        <f>AVERAGE(F55:F66)</f>
        <v>328.91833333333335</v>
      </c>
      <c r="G67" s="53">
        <f t="shared" si="27"/>
        <v>7.2242536965171196</v>
      </c>
      <c r="H67" s="57">
        <f>(2900854.78*60)/49877090</f>
        <v>3.4896038802584508</v>
      </c>
      <c r="I67" s="57">
        <f>AVERAGE(I55:I66)</f>
        <v>107.16333333333331</v>
      </c>
      <c r="J67" s="100">
        <f t="shared" si="17"/>
        <v>0.18697879191071484</v>
      </c>
      <c r="K67" s="43">
        <f t="shared" si="23"/>
        <v>11.20851736713437</v>
      </c>
      <c r="L67" s="43">
        <f t="shared" si="24"/>
        <v>0.33878565329621024</v>
      </c>
      <c r="M67" s="45">
        <f t="shared" si="25"/>
        <v>0.66121434670378976</v>
      </c>
      <c r="N67" s="45">
        <f>AVERAGE(N55:N66)</f>
        <v>10.258333333333335</v>
      </c>
      <c r="O67" s="54">
        <f t="shared" si="26"/>
        <v>0.950184033801035</v>
      </c>
    </row>
    <row r="68" spans="1:15">
      <c r="A68" s="117" t="s">
        <v>483</v>
      </c>
      <c r="B68" s="45"/>
      <c r="C68" s="43"/>
      <c r="D68" s="45"/>
      <c r="E68" s="141"/>
      <c r="F68" s="43"/>
      <c r="G68" s="53"/>
      <c r="H68" s="100"/>
      <c r="I68" s="100"/>
      <c r="J68" s="100"/>
      <c r="K68" s="45"/>
      <c r="L68" s="45"/>
      <c r="M68" s="45"/>
      <c r="N68" s="45"/>
      <c r="O68" s="54"/>
    </row>
    <row r="69" spans="1:15">
      <c r="A69" t="s">
        <v>187</v>
      </c>
      <c r="B69" s="151">
        <f>(1299919*60)/(3399.751*2000)</f>
        <v>11.470713590495304</v>
      </c>
      <c r="C69" s="43">
        <v>30.96</v>
      </c>
      <c r="D69" s="45">
        <f t="shared" ref="D69:D79" si="28">(B69*C69)/100</f>
        <v>3.5513329276173464</v>
      </c>
      <c r="E69" s="151">
        <f>(2482657*60)/3399751</f>
        <v>43.814802907624703</v>
      </c>
      <c r="F69" s="43">
        <v>379.68</v>
      </c>
      <c r="G69" s="53">
        <f>E69*F69/2000</f>
        <v>8.3178021839834742</v>
      </c>
      <c r="H69" s="151">
        <f>(200877*60)/3399751</f>
        <v>3.5451478652407191</v>
      </c>
      <c r="I69" s="57">
        <v>96.67</v>
      </c>
      <c r="J69" s="57">
        <f t="shared" ref="J69:J81" si="29">H69*I69/2000</f>
        <v>0.17135472206641017</v>
      </c>
      <c r="K69" s="43">
        <f t="shared" ref="K69:K81" si="30">D69+G69+J69</f>
        <v>12.04048983366723</v>
      </c>
      <c r="L69" s="43">
        <f t="shared" ref="L69:L81" si="31">D69/K69</f>
        <v>0.29494920694066978</v>
      </c>
      <c r="M69" s="45">
        <f t="shared" ref="M69:M81" si="32">(+G69+J69)/K69</f>
        <v>0.70505079305933016</v>
      </c>
      <c r="N69" s="45">
        <v>10.119999999999999</v>
      </c>
      <c r="O69" s="54">
        <f t="shared" ref="O69:O81" si="33">K69-N69</f>
        <v>1.9204898336672311</v>
      </c>
    </row>
    <row r="70" spans="1:15">
      <c r="A70" t="s">
        <v>188</v>
      </c>
      <c r="B70" s="151">
        <f>(1825200*60)/(4891.5*2000)</f>
        <v>11.19411223551058</v>
      </c>
      <c r="C70" s="43">
        <v>33.15</v>
      </c>
      <c r="D70" s="45">
        <f t="shared" si="28"/>
        <v>3.7108482060717574</v>
      </c>
      <c r="E70" s="151">
        <f>(3578656*60)/4891500</f>
        <v>43.896424409690276</v>
      </c>
      <c r="F70" s="43">
        <v>325.69</v>
      </c>
      <c r="G70" s="53">
        <f t="shared" ref="G70:G79" si="34">E70*F70/2000</f>
        <v>7.1483132329960126</v>
      </c>
      <c r="H70" s="151">
        <f>(267000*60)/4891500</f>
        <v>3.2750689972401106</v>
      </c>
      <c r="I70" s="57">
        <v>91.36</v>
      </c>
      <c r="J70" s="57">
        <f t="shared" si="29"/>
        <v>0.14960515179392825</v>
      </c>
      <c r="K70" s="43">
        <f t="shared" si="30"/>
        <v>11.008766590861697</v>
      </c>
      <c r="L70" s="43">
        <f t="shared" si="31"/>
        <v>0.33708119574013928</v>
      </c>
      <c r="M70" s="45">
        <f t="shared" si="32"/>
        <v>0.66291880425986083</v>
      </c>
      <c r="N70" s="45">
        <v>9.7799999999999994</v>
      </c>
      <c r="O70" s="54">
        <f t="shared" si="33"/>
        <v>1.2287665908616976</v>
      </c>
    </row>
    <row r="71" spans="1:15">
      <c r="A71" t="s">
        <v>189</v>
      </c>
      <c r="B71" s="151">
        <f>(1853955*60)/(5060.619*2000)</f>
        <v>10.99048357523062</v>
      </c>
      <c r="C71" s="43">
        <v>36.590000000000003</v>
      </c>
      <c r="D71" s="45">
        <f t="shared" si="28"/>
        <v>4.0214179401768844</v>
      </c>
      <c r="E71" s="151">
        <f>(3696360*60)/5060619</f>
        <v>43.824994531301407</v>
      </c>
      <c r="F71" s="43">
        <v>328.18</v>
      </c>
      <c r="G71" s="53">
        <f t="shared" si="34"/>
        <v>7.1912433526412478</v>
      </c>
      <c r="H71" s="151">
        <f>(280185*60)/5060619</f>
        <v>3.3219453983791309</v>
      </c>
      <c r="I71" s="57">
        <v>86.97</v>
      </c>
      <c r="J71" s="57">
        <f t="shared" si="29"/>
        <v>0.14445479564851649</v>
      </c>
      <c r="K71" s="43">
        <f t="shared" si="30"/>
        <v>11.35711608846665</v>
      </c>
      <c r="L71" s="43">
        <f t="shared" si="31"/>
        <v>0.35408794881129235</v>
      </c>
      <c r="M71" s="45">
        <f t="shared" si="32"/>
        <v>0.64591205118870743</v>
      </c>
      <c r="N71" s="45">
        <v>10.09</v>
      </c>
      <c r="O71" s="54">
        <f t="shared" si="33"/>
        <v>1.2671160884666506</v>
      </c>
    </row>
    <row r="72" spans="1:15">
      <c r="A72" t="s">
        <v>190</v>
      </c>
      <c r="B72" s="151">
        <f>(1898259*60)/(5194.127*2000)</f>
        <v>10.963877086563343</v>
      </c>
      <c r="C72" s="43">
        <v>36.81</v>
      </c>
      <c r="D72" s="45">
        <f t="shared" si="28"/>
        <v>4.0358031555639666</v>
      </c>
      <c r="E72" s="151">
        <f>(3785027*60)/5194127</f>
        <v>43.722769966926109</v>
      </c>
      <c r="F72" s="43">
        <v>333.93</v>
      </c>
      <c r="G72" s="53">
        <f t="shared" si="34"/>
        <v>7.3001722875278183</v>
      </c>
      <c r="H72" s="151">
        <f>(291062*60)/5194127</f>
        <v>3.3622050442740425</v>
      </c>
      <c r="I72" s="57">
        <v>83.52</v>
      </c>
      <c r="J72" s="57">
        <f t="shared" si="29"/>
        <v>0.14040568264888401</v>
      </c>
      <c r="K72" s="43">
        <f t="shared" si="30"/>
        <v>11.476381125740669</v>
      </c>
      <c r="L72" s="43">
        <f t="shared" si="31"/>
        <v>0.3516616528630232</v>
      </c>
      <c r="M72" s="45">
        <f t="shared" si="32"/>
        <v>0.6483383471369768</v>
      </c>
      <c r="N72" s="45">
        <v>10.33</v>
      </c>
      <c r="O72" s="54">
        <f t="shared" si="33"/>
        <v>1.1463811257406693</v>
      </c>
    </row>
    <row r="73" spans="1:15">
      <c r="A73" t="s">
        <v>191</v>
      </c>
      <c r="B73" s="151">
        <f>(1844855.74*60)/(5016.4272*2000)</f>
        <v>11.032886553202646</v>
      </c>
      <c r="C73" s="43">
        <v>34.880000000000003</v>
      </c>
      <c r="D73" s="45">
        <f t="shared" si="28"/>
        <v>3.8482708297570833</v>
      </c>
      <c r="E73" s="151">
        <f>(3656432.96*60)/5016427.2</f>
        <v>43.733511691348774</v>
      </c>
      <c r="F73" s="43">
        <v>314.23</v>
      </c>
      <c r="G73" s="53">
        <f t="shared" si="34"/>
        <v>6.8711906893862631</v>
      </c>
      <c r="H73" s="151">
        <f>(276801*60)/5015716</f>
        <v>3.311204222886623</v>
      </c>
      <c r="I73" s="57">
        <v>97.5</v>
      </c>
      <c r="J73" s="57">
        <f t="shared" si="29"/>
        <v>0.16142120586572287</v>
      </c>
      <c r="K73" s="43">
        <f t="shared" si="30"/>
        <v>10.880882725009069</v>
      </c>
      <c r="L73" s="43">
        <f t="shared" si="31"/>
        <v>0.35367266857054336</v>
      </c>
      <c r="M73" s="45">
        <f t="shared" si="32"/>
        <v>0.64632733142945664</v>
      </c>
      <c r="N73" s="45">
        <v>9.84</v>
      </c>
      <c r="O73" s="54">
        <f t="shared" si="33"/>
        <v>1.0408827250090695</v>
      </c>
    </row>
    <row r="74" spans="1:15">
      <c r="A74" t="s">
        <v>192</v>
      </c>
      <c r="B74" s="151">
        <f>(1690098*60)/(4615.692*2000)</f>
        <v>10.984905405300006</v>
      </c>
      <c r="C74" s="43">
        <v>34.69</v>
      </c>
      <c r="D74" s="45">
        <f t="shared" si="28"/>
        <v>3.8106636850985716</v>
      </c>
      <c r="E74" s="151">
        <f>(3375214*60)/4615692</f>
        <v>43.874859934328377</v>
      </c>
      <c r="F74" s="43">
        <v>295.79000000000002</v>
      </c>
      <c r="G74" s="53">
        <f t="shared" si="34"/>
        <v>6.4888724099874961</v>
      </c>
      <c r="H74" s="151">
        <f>(260295*60)/4615692</f>
        <v>3.3836096515972036</v>
      </c>
      <c r="I74" s="57">
        <v>101.71</v>
      </c>
      <c r="J74" s="57">
        <f t="shared" si="29"/>
        <v>0.1720734688319758</v>
      </c>
      <c r="K74" s="43">
        <f t="shared" si="30"/>
        <v>10.471609563918044</v>
      </c>
      <c r="L74" s="43">
        <f t="shared" si="31"/>
        <v>0.36390429397109592</v>
      </c>
      <c r="M74" s="45">
        <f t="shared" si="32"/>
        <v>0.63609570602890408</v>
      </c>
      <c r="N74" s="45">
        <v>9.44</v>
      </c>
      <c r="O74" s="54">
        <f t="shared" si="33"/>
        <v>1.0316095639180443</v>
      </c>
    </row>
    <row r="75" spans="1:15">
      <c r="A75" t="s">
        <v>193</v>
      </c>
      <c r="B75" s="151">
        <f>(1727705.71*60)/(4681.65478*2000)</f>
        <v>11.071122014682166</v>
      </c>
      <c r="C75" s="43">
        <v>36.39</v>
      </c>
      <c r="D75" s="45">
        <f t="shared" si="28"/>
        <v>4.0287813011428399</v>
      </c>
      <c r="E75" s="151">
        <f>(3415264.38*60)/4681654.78</f>
        <v>43.769964345811928</v>
      </c>
      <c r="F75" s="43">
        <v>277.61</v>
      </c>
      <c r="G75" s="53">
        <f t="shared" si="34"/>
        <v>6.0754899010204255</v>
      </c>
      <c r="H75" s="151">
        <f>(264751*60)/4684315</f>
        <v>3.3911169509309258</v>
      </c>
      <c r="I75" s="57">
        <v>90.65</v>
      </c>
      <c r="J75" s="57">
        <f t="shared" si="29"/>
        <v>0.15370237580094423</v>
      </c>
      <c r="K75" s="43">
        <f t="shared" si="30"/>
        <v>10.25797357796421</v>
      </c>
      <c r="L75" s="43">
        <f t="shared" si="31"/>
        <v>0.39274631295573964</v>
      </c>
      <c r="M75" s="45">
        <f t="shared" si="32"/>
        <v>0.6072536870442603</v>
      </c>
      <c r="N75" s="45">
        <v>9.49</v>
      </c>
      <c r="O75" s="54">
        <f t="shared" si="33"/>
        <v>0.7679735779642094</v>
      </c>
    </row>
    <row r="76" spans="1:15">
      <c r="A76" t="s">
        <v>194</v>
      </c>
      <c r="B76" s="151">
        <f>(1518120.3*60)/(4093.78492*2000)</f>
        <v>11.125061499322735</v>
      </c>
      <c r="C76" s="43">
        <v>37.11</v>
      </c>
      <c r="D76" s="45">
        <f t="shared" si="28"/>
        <v>4.1285103223986672</v>
      </c>
      <c r="E76" s="151">
        <f>(2981511.76*60)/4093784.92</f>
        <v>43.698120222691131</v>
      </c>
      <c r="F76" s="43">
        <v>291.20999999999998</v>
      </c>
      <c r="G76" s="53">
        <f t="shared" si="34"/>
        <v>6.3626647950249415</v>
      </c>
      <c r="H76" s="151">
        <f>(230496*60)/4096412</f>
        <v>3.3760666651694216</v>
      </c>
      <c r="I76" s="57">
        <v>82.74</v>
      </c>
      <c r="J76" s="57">
        <f t="shared" si="29"/>
        <v>0.13966787793805896</v>
      </c>
      <c r="K76" s="43">
        <f t="shared" si="30"/>
        <v>10.630842995361668</v>
      </c>
      <c r="L76" s="43">
        <f t="shared" si="31"/>
        <v>0.3883521113236244</v>
      </c>
      <c r="M76" s="45">
        <f t="shared" si="32"/>
        <v>0.61164788867637565</v>
      </c>
      <c r="N76" s="45">
        <v>9.75</v>
      </c>
      <c r="O76" s="54">
        <f t="shared" si="33"/>
        <v>0.8808429953616681</v>
      </c>
    </row>
    <row r="77" spans="1:15">
      <c r="A77" t="s">
        <v>197</v>
      </c>
      <c r="B77" s="151">
        <f>(1481564.85*60)/(3988.61645*2000)</f>
        <v>11.143449378292566</v>
      </c>
      <c r="C77" s="43">
        <v>35.409999999999997</v>
      </c>
      <c r="D77" s="45">
        <f t="shared" si="28"/>
        <v>3.9458954248533975</v>
      </c>
      <c r="E77" s="151">
        <f>(2921012.2*60)/3988616.45</f>
        <v>43.940231956873163</v>
      </c>
      <c r="F77" s="43">
        <v>287.85000000000002</v>
      </c>
      <c r="G77" s="53">
        <f t="shared" si="34"/>
        <v>6.3240978843929705</v>
      </c>
      <c r="H77" s="151">
        <f>(223450*60)/3988616</f>
        <v>3.3613163062074665</v>
      </c>
      <c r="I77" s="57">
        <v>77.63</v>
      </c>
      <c r="J77" s="57">
        <f t="shared" si="29"/>
        <v>0.13046949242544281</v>
      </c>
      <c r="K77" s="43">
        <f t="shared" si="30"/>
        <v>10.400462801671811</v>
      </c>
      <c r="L77" s="43">
        <f t="shared" si="31"/>
        <v>0.37939613843137049</v>
      </c>
      <c r="M77" s="45">
        <f t="shared" si="32"/>
        <v>0.62060386156862957</v>
      </c>
      <c r="N77" s="45">
        <v>9.5500000000000007</v>
      </c>
      <c r="O77" s="54">
        <f t="shared" si="33"/>
        <v>0.8504628016718101</v>
      </c>
    </row>
    <row r="78" spans="1:15">
      <c r="A78" t="s">
        <v>195</v>
      </c>
      <c r="B78" s="151">
        <f>(1442238.9*60)/(3884.29876*2000)</f>
        <v>11.138990503397839</v>
      </c>
      <c r="C78" s="43">
        <v>34.47</v>
      </c>
      <c r="D78" s="45">
        <f t="shared" si="28"/>
        <v>3.839610026521235</v>
      </c>
      <c r="E78" s="151">
        <f>(2839787.64*60)/3884298.76</f>
        <v>43.865641890017756</v>
      </c>
      <c r="F78" s="43">
        <v>305.77999999999997</v>
      </c>
      <c r="G78" s="53">
        <f t="shared" si="34"/>
        <v>6.7066179885648145</v>
      </c>
      <c r="H78" s="151">
        <f>(216275*60)/3875035</f>
        <v>3.3487439468288676</v>
      </c>
      <c r="I78" s="57">
        <v>79.319999999999993</v>
      </c>
      <c r="J78" s="57">
        <f t="shared" si="29"/>
        <v>0.13281118493123287</v>
      </c>
      <c r="K78" s="43">
        <f t="shared" si="30"/>
        <v>10.679039200017282</v>
      </c>
      <c r="L78" s="43">
        <f t="shared" si="31"/>
        <v>0.35954639313572528</v>
      </c>
      <c r="M78" s="45">
        <f t="shared" si="32"/>
        <v>0.64045360686427477</v>
      </c>
      <c r="N78" s="45">
        <v>9.5500000000000007</v>
      </c>
      <c r="O78" s="54">
        <f t="shared" si="33"/>
        <v>1.1290392000172815</v>
      </c>
    </row>
    <row r="79" spans="1:15">
      <c r="A79" t="s">
        <v>196</v>
      </c>
      <c r="B79" s="151">
        <f>(1440451.02*60)/(3880.92194*2000)</f>
        <v>11.134862094134261</v>
      </c>
      <c r="C79" s="43">
        <v>35.07</v>
      </c>
      <c r="D79" s="45">
        <f t="shared" si="28"/>
        <v>3.9049961364128851</v>
      </c>
      <c r="E79" s="151">
        <f>(2837937.16*60)/3880921.94</f>
        <v>43.875200849826939</v>
      </c>
      <c r="F79" s="43">
        <v>325.56</v>
      </c>
      <c r="G79" s="53">
        <f t="shared" si="34"/>
        <v>7.1420051943348293</v>
      </c>
      <c r="H79" s="151">
        <f>(218170*60)/3880922</f>
        <v>3.3729613736117345</v>
      </c>
      <c r="I79" s="57">
        <v>82.38</v>
      </c>
      <c r="J79" s="57">
        <f t="shared" si="29"/>
        <v>0.13893227897906735</v>
      </c>
      <c r="K79" s="43">
        <f t="shared" si="30"/>
        <v>11.185933609726783</v>
      </c>
      <c r="L79" s="43">
        <f t="shared" si="31"/>
        <v>0.34909881219188327</v>
      </c>
      <c r="M79" s="45">
        <f t="shared" si="32"/>
        <v>0.65090118780811657</v>
      </c>
      <c r="N79" s="45">
        <v>10.3</v>
      </c>
      <c r="O79" s="54">
        <f t="shared" si="33"/>
        <v>0.88593360972678248</v>
      </c>
    </row>
    <row r="80" spans="1:15">
      <c r="A80" t="s">
        <v>206</v>
      </c>
      <c r="B80" s="151">
        <f>(1418447.8*60)/(3843.195*2000)</f>
        <v>11.072410845663569</v>
      </c>
      <c r="C80" s="43">
        <v>37.57</v>
      </c>
      <c r="D80" s="45">
        <f>(B80*C80)/100</f>
        <v>4.1599047547158028</v>
      </c>
      <c r="E80" s="151">
        <f>(2806180.9*60)/3843195</f>
        <v>43.810125169292739</v>
      </c>
      <c r="F80" s="43">
        <v>331.76</v>
      </c>
      <c r="G80" s="53">
        <f>E80*F80/2000</f>
        <v>7.2672235630822799</v>
      </c>
      <c r="H80" s="151">
        <f>(224409*60)/3843195</f>
        <v>3.5034756237973874</v>
      </c>
      <c r="I80" s="57">
        <v>92.75</v>
      </c>
      <c r="J80" s="57">
        <f t="shared" si="29"/>
        <v>0.16247368205360385</v>
      </c>
      <c r="K80" s="43">
        <f t="shared" si="30"/>
        <v>11.589601999851686</v>
      </c>
      <c r="L80" s="43">
        <f t="shared" si="31"/>
        <v>0.35893422006804354</v>
      </c>
      <c r="M80" s="45">
        <f t="shared" si="32"/>
        <v>0.64106577993195657</v>
      </c>
      <c r="N80" s="45">
        <v>10.66</v>
      </c>
      <c r="O80" s="54">
        <f t="shared" si="33"/>
        <v>0.92960199985168579</v>
      </c>
    </row>
    <row r="81" spans="1:15">
      <c r="A81" s="41" t="s">
        <v>227</v>
      </c>
      <c r="B81" s="151">
        <f>(19440815.32*60)/(52550.58805*2000)</f>
        <v>11.098343163069515</v>
      </c>
      <c r="C81" s="43">
        <f>AVERAGE(C69:C80)</f>
        <v>35.258333333333333</v>
      </c>
      <c r="D81" s="45">
        <f>(B81*C81)/100</f>
        <v>3.9130908269122595</v>
      </c>
      <c r="E81" s="151">
        <f>(38376041*60)/52550588.05</f>
        <v>43.81611215861551</v>
      </c>
      <c r="F81" s="43">
        <f>AVERAGE(F69:F80)</f>
        <v>316.43916666666661</v>
      </c>
      <c r="G81" s="53">
        <f>E81*F81/2000</f>
        <v>6.9325670090227449</v>
      </c>
      <c r="H81" s="151">
        <f>(2953771*60)/52545900</f>
        <v>3.3727895040336162</v>
      </c>
      <c r="I81" s="57">
        <f>AVERAGE(I69:I80)</f>
        <v>88.59999999999998</v>
      </c>
      <c r="J81" s="57">
        <f t="shared" si="29"/>
        <v>0.14941457502868918</v>
      </c>
      <c r="K81" s="43">
        <f t="shared" si="30"/>
        <v>10.995072410963694</v>
      </c>
      <c r="L81" s="43">
        <f t="shared" si="31"/>
        <v>0.35589495736384019</v>
      </c>
      <c r="M81" s="45">
        <f t="shared" si="32"/>
        <v>0.64410504263615975</v>
      </c>
      <c r="N81" s="45">
        <f>AVERAGE(N69:N80)</f>
        <v>9.9083333333333314</v>
      </c>
      <c r="O81" s="54">
        <f t="shared" si="33"/>
        <v>1.0867390776303623</v>
      </c>
    </row>
    <row r="82" spans="1:15">
      <c r="A82" s="117" t="s">
        <v>487</v>
      </c>
      <c r="B82" s="45"/>
      <c r="C82" s="43"/>
      <c r="D82" s="45"/>
      <c r="E82" s="141"/>
      <c r="F82" s="43"/>
      <c r="G82" s="53"/>
      <c r="H82" s="100"/>
      <c r="I82" s="100"/>
      <c r="J82" s="100"/>
      <c r="K82" s="45"/>
      <c r="L82" s="45"/>
      <c r="M82" s="45"/>
      <c r="N82" s="45"/>
      <c r="O82" s="54"/>
    </row>
    <row r="83" spans="1:15">
      <c r="A83" t="s">
        <v>187</v>
      </c>
      <c r="B83" s="151">
        <f>(1474417.2*60)/(3910.8754*2000)</f>
        <v>11.310131741860147</v>
      </c>
      <c r="C83" s="43">
        <v>39.21</v>
      </c>
      <c r="D83" s="45">
        <f t="shared" ref="D83:D93" si="35">(B83*C83)/100</f>
        <v>4.4347026559833633</v>
      </c>
      <c r="E83" s="151">
        <f>(2836038.5*60)/3910875.4</f>
        <v>43.510031027835865</v>
      </c>
      <c r="F83" s="43">
        <v>317.64999999999998</v>
      </c>
      <c r="G83" s="53">
        <f>E83*F83/2000</f>
        <v>6.9104806779960306</v>
      </c>
      <c r="H83" s="151">
        <f>(223644.7*60)/3910875.4</f>
        <v>3.4311197948162708</v>
      </c>
      <c r="I83" s="57">
        <v>113.52</v>
      </c>
      <c r="J83" s="57">
        <f t="shared" ref="J83:J95" si="36">H83*I83/2000</f>
        <v>0.19475035955377151</v>
      </c>
      <c r="K83" s="43">
        <f t="shared" ref="K83:K95" si="37">D83+G83+J83</f>
        <v>11.539933693533165</v>
      </c>
      <c r="L83" s="43">
        <f t="shared" ref="L83:L95" si="38">D83/K83</f>
        <v>0.38429186629282935</v>
      </c>
      <c r="M83" s="45">
        <f t="shared" ref="M83:M95" si="39">(+G83+J83)/K83</f>
        <v>0.6157081337071707</v>
      </c>
      <c r="N83" s="45">
        <v>10.65</v>
      </c>
      <c r="O83" s="54">
        <f t="shared" ref="O83:O109" si="40">K83-N83</f>
        <v>0.88993369353316432</v>
      </c>
    </row>
    <row r="84" spans="1:15">
      <c r="A84" t="s">
        <v>188</v>
      </c>
      <c r="B84" s="151">
        <f>(1790543.39*60)/(4716.39359*2000)</f>
        <v>11.389274596143279</v>
      </c>
      <c r="C84" s="43">
        <v>44.02</v>
      </c>
      <c r="D84" s="45">
        <f t="shared" si="35"/>
        <v>5.0135586772222718</v>
      </c>
      <c r="E84" s="151">
        <f>(3475802.73*60)/4716393.59</f>
        <v>44.21771843685336</v>
      </c>
      <c r="F84" s="43">
        <v>321.92</v>
      </c>
      <c r="G84" s="53">
        <f t="shared" ref="G84:G93" si="41">E84*F84/2000</f>
        <v>7.1172839595959179</v>
      </c>
      <c r="H84" s="151">
        <f>(262267.37*60)/4716393.59</f>
        <v>3.3364565318222308</v>
      </c>
      <c r="I84" s="57">
        <v>140.47999999999999</v>
      </c>
      <c r="J84" s="57">
        <f t="shared" si="36"/>
        <v>0.23435270679519349</v>
      </c>
      <c r="K84" s="43">
        <f t="shared" si="37"/>
        <v>12.365195343613385</v>
      </c>
      <c r="L84" s="43">
        <f t="shared" si="38"/>
        <v>0.40545729670269798</v>
      </c>
      <c r="M84" s="45">
        <f t="shared" si="39"/>
        <v>0.59454270329730186</v>
      </c>
      <c r="N84" s="45">
        <v>11.48</v>
      </c>
      <c r="O84" s="54">
        <f t="shared" si="40"/>
        <v>0.88519534361338437</v>
      </c>
    </row>
    <row r="85" spans="1:15">
      <c r="A85" t="s">
        <v>189</v>
      </c>
      <c r="B85" s="151">
        <f>(1771201.2*60)/(4651.751*2000)</f>
        <v>11.422803155198977</v>
      </c>
      <c r="C85" s="43">
        <v>47.62</v>
      </c>
      <c r="D85" s="45">
        <f t="shared" si="35"/>
        <v>5.4395388625057528</v>
      </c>
      <c r="E85" s="151">
        <f>(3447649.3*60)/4651751</f>
        <v>44.469052191314624</v>
      </c>
      <c r="F85" s="43">
        <v>341.78</v>
      </c>
      <c r="G85" s="53">
        <f t="shared" si="41"/>
        <v>7.5993163289737558</v>
      </c>
      <c r="H85" s="151">
        <f>(272399.8*60)/4651751</f>
        <v>3.5135130835678865</v>
      </c>
      <c r="I85" s="57">
        <v>157.38</v>
      </c>
      <c r="J85" s="57">
        <f t="shared" si="36"/>
        <v>0.27647834454595699</v>
      </c>
      <c r="K85" s="43">
        <f t="shared" si="37"/>
        <v>13.315333536025467</v>
      </c>
      <c r="L85" s="43">
        <f t="shared" si="38"/>
        <v>0.40851690630120086</v>
      </c>
      <c r="M85" s="45">
        <f t="shared" si="39"/>
        <v>0.59148309369879914</v>
      </c>
      <c r="N85" s="45">
        <v>12.52</v>
      </c>
      <c r="O85" s="54">
        <f t="shared" si="40"/>
        <v>0.79533353602546697</v>
      </c>
    </row>
    <row r="86" spans="1:15">
      <c r="A86" t="s">
        <v>190</v>
      </c>
      <c r="B86" s="151">
        <f>(1731506.15*60)/(4570.40185*2000)</f>
        <v>11.365561761270509</v>
      </c>
      <c r="C86" s="43">
        <v>51.51</v>
      </c>
      <c r="D86" s="45">
        <f t="shared" si="35"/>
        <v>5.8544008632304392</v>
      </c>
      <c r="E86" s="151">
        <f>(3397763.35*60)/4570401.85</f>
        <v>44.60566219138915</v>
      </c>
      <c r="F86" s="43">
        <v>351.93</v>
      </c>
      <c r="G86" s="53">
        <f t="shared" si="41"/>
        <v>7.8490353475077921</v>
      </c>
      <c r="H86" s="151">
        <f>(277780.5*60)/4570401.85</f>
        <v>3.6466880915515123</v>
      </c>
      <c r="I86" s="57">
        <v>155</v>
      </c>
      <c r="J86" s="57">
        <f t="shared" si="36"/>
        <v>0.28261832709524221</v>
      </c>
      <c r="K86" s="43">
        <f t="shared" si="37"/>
        <v>13.986054537833475</v>
      </c>
      <c r="L86" s="43">
        <f t="shared" si="38"/>
        <v>0.41858844804256867</v>
      </c>
      <c r="M86" s="45">
        <f t="shared" si="39"/>
        <v>0.58141155195743133</v>
      </c>
      <c r="N86" s="45">
        <v>13.11</v>
      </c>
      <c r="O86" s="54">
        <f t="shared" si="40"/>
        <v>0.87605453783347542</v>
      </c>
    </row>
    <row r="87" spans="1:15">
      <c r="A87" t="s">
        <v>191</v>
      </c>
      <c r="B87" s="151">
        <f>(1722940*60)/(4475.043*2000)</f>
        <v>11.550324767829046</v>
      </c>
      <c r="C87" s="43">
        <v>53.84</v>
      </c>
      <c r="D87" s="45">
        <f t="shared" si="35"/>
        <v>6.2186948549991587</v>
      </c>
      <c r="E87" s="151">
        <f>(3298360*60)/4475043</f>
        <v>44.223396289152973</v>
      </c>
      <c r="F87" s="43">
        <v>368.54</v>
      </c>
      <c r="G87" s="53">
        <f t="shared" si="41"/>
        <v>8.1490452342022195</v>
      </c>
      <c r="H87" s="151">
        <f>(271099*60)/4475043</f>
        <v>3.6348120006891556</v>
      </c>
      <c r="I87" s="57">
        <v>157.5</v>
      </c>
      <c r="J87" s="57">
        <f t="shared" si="36"/>
        <v>0.28624144505427102</v>
      </c>
      <c r="K87" s="43">
        <f t="shared" si="37"/>
        <v>14.653981534255649</v>
      </c>
      <c r="L87" s="43">
        <f t="shared" si="38"/>
        <v>0.42436895668676289</v>
      </c>
      <c r="M87" s="45">
        <f t="shared" si="39"/>
        <v>0.57563104331323711</v>
      </c>
      <c r="N87" s="45">
        <v>13.78</v>
      </c>
      <c r="O87" s="54">
        <f t="shared" si="40"/>
        <v>0.87398153425565006</v>
      </c>
    </row>
    <row r="88" spans="1:15">
      <c r="A88" t="s">
        <v>192</v>
      </c>
      <c r="B88" s="151">
        <f>(1500030*60)/(3882.405*2000)</f>
        <v>11.590985484512821</v>
      </c>
      <c r="C88" s="43">
        <v>54.21</v>
      </c>
      <c r="D88" s="45">
        <f t="shared" si="35"/>
        <v>6.2834732311544004</v>
      </c>
      <c r="E88" s="151">
        <f>(2889211*60)/3882405</f>
        <v>44.650844000046362</v>
      </c>
      <c r="F88" s="43">
        <v>358.59</v>
      </c>
      <c r="G88" s="53">
        <f t="shared" si="41"/>
        <v>8.0056730749883123</v>
      </c>
      <c r="H88" s="151">
        <f>(236939*60)/3882405</f>
        <v>3.6617354449110797</v>
      </c>
      <c r="I88" s="57">
        <v>156.97</v>
      </c>
      <c r="J88" s="57">
        <f t="shared" si="36"/>
        <v>0.28739130639384608</v>
      </c>
      <c r="K88" s="43">
        <f t="shared" si="37"/>
        <v>14.576537612536558</v>
      </c>
      <c r="L88" s="43">
        <f t="shared" si="38"/>
        <v>0.43106761003040228</v>
      </c>
      <c r="M88" s="45">
        <f t="shared" si="39"/>
        <v>0.56893238996959772</v>
      </c>
      <c r="N88" s="45">
        <v>13.86</v>
      </c>
      <c r="O88" s="54">
        <f t="shared" si="40"/>
        <v>0.71653761253655901</v>
      </c>
    </row>
    <row r="89" spans="1:15">
      <c r="A89" t="s">
        <v>193</v>
      </c>
      <c r="B89" s="151">
        <f>(1623774*60)/(4208.023*2000)</f>
        <v>11.57627227797947</v>
      </c>
      <c r="C89" s="43">
        <v>54.07</v>
      </c>
      <c r="D89" s="45">
        <f t="shared" si="35"/>
        <v>6.2592904207034996</v>
      </c>
      <c r="E89" s="151">
        <f>(3111911*60)/4208023</f>
        <v>44.371112040024499</v>
      </c>
      <c r="F89" s="43">
        <v>345.43</v>
      </c>
      <c r="G89" s="53">
        <f t="shared" si="41"/>
        <v>7.6635566159928308</v>
      </c>
      <c r="H89" s="151">
        <f>(259694*60)/4208023</f>
        <v>3.7028409778178495</v>
      </c>
      <c r="I89" s="57">
        <v>157.16999999999999</v>
      </c>
      <c r="J89" s="57">
        <f t="shared" si="36"/>
        <v>0.29098775824181572</v>
      </c>
      <c r="K89" s="43">
        <f t="shared" si="37"/>
        <v>14.213834794938146</v>
      </c>
      <c r="L89" s="43">
        <f t="shared" si="38"/>
        <v>0.44036605961767394</v>
      </c>
      <c r="M89" s="45">
        <f t="shared" si="39"/>
        <v>0.55963394038232606</v>
      </c>
      <c r="N89" s="45">
        <v>13.5</v>
      </c>
      <c r="O89" s="54">
        <f t="shared" si="40"/>
        <v>0.71383479493814583</v>
      </c>
    </row>
    <row r="90" spans="1:15">
      <c r="A90" t="s">
        <v>194</v>
      </c>
      <c r="B90" s="151">
        <f>(1504598*60)/(3839.636*2000)</f>
        <v>11.755786225569299</v>
      </c>
      <c r="C90" s="43">
        <v>56.65</v>
      </c>
      <c r="D90" s="45">
        <f t="shared" si="35"/>
        <v>6.6596528967850075</v>
      </c>
      <c r="E90" s="151">
        <f>(2873217*60)/3839636</f>
        <v>44.898271606996083</v>
      </c>
      <c r="F90" s="43">
        <v>335.87</v>
      </c>
      <c r="G90" s="53">
        <f t="shared" si="41"/>
        <v>7.5399912423208875</v>
      </c>
      <c r="H90" s="151">
        <f>(239721*60)/3839636</f>
        <v>3.7459957141770732</v>
      </c>
      <c r="I90" s="57">
        <v>159.63</v>
      </c>
      <c r="J90" s="57">
        <f t="shared" si="36"/>
        <v>0.29898664792704305</v>
      </c>
      <c r="K90" s="43">
        <f t="shared" si="37"/>
        <v>14.498630787032939</v>
      </c>
      <c r="L90" s="43">
        <f t="shared" si="38"/>
        <v>0.45932978048804202</v>
      </c>
      <c r="M90" s="45">
        <f t="shared" si="39"/>
        <v>0.54067021951195793</v>
      </c>
      <c r="N90" s="45">
        <v>13.64</v>
      </c>
      <c r="O90" s="54">
        <f t="shared" si="40"/>
        <v>0.85863078703293816</v>
      </c>
    </row>
    <row r="91" spans="1:15">
      <c r="A91" t="s">
        <v>197</v>
      </c>
      <c r="B91" s="151">
        <f>(1491195*60)/(3841.157*2000)</f>
        <v>11.646451837297981</v>
      </c>
      <c r="C91" s="43">
        <v>56.09</v>
      </c>
      <c r="D91" s="45">
        <f t="shared" si="35"/>
        <v>6.5324948355404375</v>
      </c>
      <c r="E91" s="151">
        <f>(2865776*60)/3841157</f>
        <v>44.764262434469615</v>
      </c>
      <c r="F91" s="43">
        <v>342.3</v>
      </c>
      <c r="G91" s="53">
        <f t="shared" si="41"/>
        <v>7.6614035156594742</v>
      </c>
      <c r="H91" s="151">
        <f>(234746*60)/3841157</f>
        <v>3.6668014350884381</v>
      </c>
      <c r="I91" s="57">
        <v>164.86</v>
      </c>
      <c r="J91" s="57">
        <f t="shared" si="36"/>
        <v>0.30225444229433995</v>
      </c>
      <c r="K91" s="43">
        <f t="shared" si="37"/>
        <v>14.496152793494252</v>
      </c>
      <c r="L91" s="43">
        <f t="shared" si="38"/>
        <v>0.45063645013952702</v>
      </c>
      <c r="M91" s="45">
        <f t="shared" si="39"/>
        <v>0.54936354986047298</v>
      </c>
      <c r="N91" s="45">
        <v>13.68</v>
      </c>
      <c r="O91" s="54">
        <f t="shared" si="40"/>
        <v>0.81615279349425229</v>
      </c>
    </row>
    <row r="92" spans="1:15">
      <c r="A92" t="s">
        <v>195</v>
      </c>
      <c r="B92" s="151">
        <f>(1437997*60)/(3708.711*2000)</f>
        <v>11.632049518013131</v>
      </c>
      <c r="C92" s="43">
        <v>55.68</v>
      </c>
      <c r="D92" s="45">
        <f t="shared" si="35"/>
        <v>6.4767251716297123</v>
      </c>
      <c r="E92" s="151">
        <f>(2746586*60)/3708711</f>
        <v>44.434618928247581</v>
      </c>
      <c r="F92" s="43">
        <v>347.45</v>
      </c>
      <c r="G92" s="53">
        <f t="shared" si="41"/>
        <v>7.7194041733098109</v>
      </c>
      <c r="H92" s="151">
        <f>(226906*60)/3708711</f>
        <v>3.670914234082947</v>
      </c>
      <c r="I92" s="57">
        <v>175.34</v>
      </c>
      <c r="J92" s="57">
        <f t="shared" si="36"/>
        <v>0.32182905090205194</v>
      </c>
      <c r="K92" s="43">
        <f t="shared" si="37"/>
        <v>14.517958395841575</v>
      </c>
      <c r="L92" s="43">
        <f t="shared" si="38"/>
        <v>0.44611817963914685</v>
      </c>
      <c r="M92" s="45">
        <f t="shared" si="39"/>
        <v>0.55388182036085321</v>
      </c>
      <c r="N92" s="45">
        <v>13.82</v>
      </c>
      <c r="O92" s="54">
        <f t="shared" si="40"/>
        <v>0.69795839584157449</v>
      </c>
    </row>
    <row r="93" spans="1:15">
      <c r="A93" t="s">
        <v>196</v>
      </c>
      <c r="B93" s="151">
        <f>(1504674*60)/(3886.8813*2000)</f>
        <v>11.613480452824737</v>
      </c>
      <c r="C93" s="43">
        <v>55.16</v>
      </c>
      <c r="D93" s="45">
        <f t="shared" si="35"/>
        <v>6.4059958177781242</v>
      </c>
      <c r="E93" s="151">
        <f>(2857622*60)/3886881</f>
        <v>44.111800695724924</v>
      </c>
      <c r="F93" s="43">
        <v>346.52</v>
      </c>
      <c r="G93" s="53">
        <f t="shared" si="41"/>
        <v>7.6428105885413</v>
      </c>
      <c r="H93" s="151">
        <f>(239432*60)/3886881</f>
        <v>3.6960020129250162</v>
      </c>
      <c r="I93" s="57">
        <v>189.5</v>
      </c>
      <c r="J93" s="57">
        <f t="shared" si="36"/>
        <v>0.35019619072464531</v>
      </c>
      <c r="K93" s="43">
        <f t="shared" si="37"/>
        <v>14.39900259704407</v>
      </c>
      <c r="L93" s="43">
        <f t="shared" si="38"/>
        <v>0.44489163569518297</v>
      </c>
      <c r="M93" s="45">
        <f t="shared" si="39"/>
        <v>0.55510836430481691</v>
      </c>
      <c r="N93" s="45">
        <v>13.84</v>
      </c>
      <c r="O93" s="54">
        <f t="shared" si="40"/>
        <v>0.55900259704407063</v>
      </c>
    </row>
    <row r="94" spans="1:15">
      <c r="A94" t="s">
        <v>206</v>
      </c>
      <c r="B94" s="151">
        <f>(1458750)/125000</f>
        <v>11.67</v>
      </c>
      <c r="C94" s="43">
        <v>54.39</v>
      </c>
      <c r="D94" s="45">
        <f>(B94*C94)/100</f>
        <v>6.3473130000000006</v>
      </c>
      <c r="E94" s="151">
        <f>(2779375*2)/125000</f>
        <v>44.47</v>
      </c>
      <c r="F94" s="43">
        <v>349.6</v>
      </c>
      <c r="G94" s="53">
        <f>E94*F94/2000</f>
        <v>7.7733560000000006</v>
      </c>
      <c r="H94" s="151">
        <f>(222525*2)/125000</f>
        <v>3.5604</v>
      </c>
      <c r="I94" s="57">
        <v>216.3</v>
      </c>
      <c r="J94" s="57">
        <f t="shared" si="36"/>
        <v>0.38505726000000007</v>
      </c>
      <c r="K94" s="43">
        <f t="shared" si="37"/>
        <v>14.505726260000001</v>
      </c>
      <c r="L94" s="43">
        <f t="shared" si="38"/>
        <v>0.4375729202544596</v>
      </c>
      <c r="M94" s="45">
        <f t="shared" si="39"/>
        <v>0.56242707974554051</v>
      </c>
      <c r="N94" s="45">
        <v>13.81</v>
      </c>
      <c r="O94" s="54">
        <f t="shared" si="40"/>
        <v>0.69572626000000071</v>
      </c>
    </row>
    <row r="95" spans="1:15">
      <c r="A95" s="41" t="s">
        <v>227</v>
      </c>
      <c r="B95" s="151">
        <f>(19011625.94*60)/(49441.27784*2000)</f>
        <v>11.535882629201883</v>
      </c>
      <c r="C95" s="43">
        <f>AVERAGE(C83:C94)</f>
        <v>51.870833333333316</v>
      </c>
      <c r="D95" s="45">
        <f>(B95*C95)/100</f>
        <v>5.9837584521222569</v>
      </c>
      <c r="E95" s="151">
        <f>(36579311.88*60)/49441277.84</f>
        <v>44.391221438543631</v>
      </c>
      <c r="F95" s="43">
        <f>AVERAGE(F83:F94)</f>
        <v>343.96499999999997</v>
      </c>
      <c r="G95" s="53">
        <f>E95*F95/2000</f>
        <v>7.6345132410543295</v>
      </c>
      <c r="H95" s="151">
        <f>(2967154.37*60)/49441277.84</f>
        <v>3.6008224297141265</v>
      </c>
      <c r="I95" s="57">
        <f>AVERAGE(I83:I94)</f>
        <v>161.97083333333333</v>
      </c>
      <c r="J95" s="57">
        <f t="shared" si="36"/>
        <v>0.29161410481307759</v>
      </c>
      <c r="K95" s="43">
        <f t="shared" si="37"/>
        <v>13.909885797989665</v>
      </c>
      <c r="L95" s="43">
        <f t="shared" si="38"/>
        <v>0.43018027171632589</v>
      </c>
      <c r="M95" s="45">
        <f t="shared" si="39"/>
        <v>0.569819728283674</v>
      </c>
      <c r="N95" s="45">
        <f>AVERAGE(N83:N94)</f>
        <v>13.140833333333333</v>
      </c>
      <c r="O95" s="54">
        <f t="shared" si="40"/>
        <v>0.76905246465633148</v>
      </c>
    </row>
    <row r="96" spans="1:15">
      <c r="A96" s="117" t="s">
        <v>575</v>
      </c>
      <c r="B96" s="257"/>
      <c r="C96" s="45"/>
      <c r="D96" s="45"/>
      <c r="E96" s="257"/>
      <c r="F96" s="45"/>
      <c r="G96" s="141"/>
      <c r="H96" s="257"/>
      <c r="I96" s="100"/>
      <c r="J96" s="100"/>
      <c r="K96" s="45"/>
      <c r="L96" s="45"/>
      <c r="M96" s="45"/>
      <c r="N96" s="100"/>
      <c r="O96" s="54"/>
    </row>
    <row r="97" spans="1:15">
      <c r="A97" t="s">
        <v>187</v>
      </c>
      <c r="B97" s="151">
        <f>(1531282)/(4036896*2/60)</f>
        <v>11.379649116548951</v>
      </c>
      <c r="C97" s="45">
        <v>26.43</v>
      </c>
      <c r="D97" s="45">
        <f t="shared" ref="D97:D107" si="42">(B97*C97)/100</f>
        <v>3.0076412615038874</v>
      </c>
      <c r="E97" s="151">
        <f>2974159/(4036896)*60</f>
        <v>44.204641387838578</v>
      </c>
      <c r="F97" s="43">
        <v>333.62</v>
      </c>
      <c r="G97" s="53">
        <f>E97*F97/2000</f>
        <v>7.3737762299053529</v>
      </c>
      <c r="H97" s="151">
        <f>(200994/4036896)*60</f>
        <v>2.9873546407933222</v>
      </c>
      <c r="I97" s="57">
        <v>137.86000000000001</v>
      </c>
      <c r="J97" s="57">
        <f t="shared" ref="J97:J109" si="43">H97*I97/2000</f>
        <v>0.20591835538988371</v>
      </c>
      <c r="K97" s="43">
        <f t="shared" ref="K97:K109" si="44">D97+G97+J97</f>
        <v>10.587335846799125</v>
      </c>
      <c r="L97" s="43">
        <f t="shared" ref="L97:L109" si="45">D97/K97</f>
        <v>0.28407913992954037</v>
      </c>
      <c r="M97" s="45">
        <f t="shared" ref="M97:M109" si="46">(+G97+J97)/K97</f>
        <v>0.71592086007045952</v>
      </c>
      <c r="N97" s="45">
        <v>8.91</v>
      </c>
      <c r="O97" s="54">
        <f t="shared" si="40"/>
        <v>1.6773358467991244</v>
      </c>
    </row>
    <row r="98" spans="1:15">
      <c r="A98" t="s">
        <v>188</v>
      </c>
      <c r="B98" s="151">
        <f>1962937/(5104010*2/60)</f>
        <v>11.537616501535068</v>
      </c>
      <c r="C98" s="45">
        <v>27.14</v>
      </c>
      <c r="D98" s="45">
        <f t="shared" si="42"/>
        <v>3.1313091185166173</v>
      </c>
      <c r="E98" s="151">
        <f>3742412/(5104010)*60</f>
        <v>43.993785278633858</v>
      </c>
      <c r="F98" s="43">
        <v>327.97</v>
      </c>
      <c r="G98" s="53">
        <f t="shared" ref="G98:G107" si="47">E98*F98/2000</f>
        <v>7.2143208789167739</v>
      </c>
      <c r="H98" s="151">
        <f>(258909/5104010)*60</f>
        <v>3.0435951340220728</v>
      </c>
      <c r="I98" s="57">
        <v>166.79</v>
      </c>
      <c r="J98" s="57">
        <f t="shared" si="43"/>
        <v>0.25382061620177077</v>
      </c>
      <c r="K98" s="43">
        <f t="shared" si="44"/>
        <v>10.599450613635163</v>
      </c>
      <c r="L98" s="43">
        <f t="shared" si="45"/>
        <v>0.2954218320040562</v>
      </c>
      <c r="M98" s="45">
        <f t="shared" si="46"/>
        <v>0.70457816799594375</v>
      </c>
      <c r="N98" s="45">
        <v>8.93</v>
      </c>
      <c r="O98" s="54">
        <f t="shared" si="40"/>
        <v>1.6694506136351634</v>
      </c>
    </row>
    <row r="99" spans="1:15">
      <c r="A99" t="s">
        <v>189</v>
      </c>
      <c r="B99" s="151">
        <f>1901853/(4973534*2/60)</f>
        <v>11.471840747444372</v>
      </c>
      <c r="C99" s="45">
        <v>26.42</v>
      </c>
      <c r="D99" s="45">
        <f t="shared" si="42"/>
        <v>3.0308603254748032</v>
      </c>
      <c r="E99" s="151">
        <f>3655750/(4973534)*60</f>
        <v>44.10244305156052</v>
      </c>
      <c r="F99" s="43">
        <v>308.60000000000002</v>
      </c>
      <c r="G99" s="53">
        <f t="shared" si="47"/>
        <v>6.8050069628557885</v>
      </c>
      <c r="H99" s="151">
        <f>(251965/4973534)*60</f>
        <v>3.0396695790156456</v>
      </c>
      <c r="I99" s="57">
        <v>139.03</v>
      </c>
      <c r="J99" s="57">
        <f t="shared" si="43"/>
        <v>0.21130263078527262</v>
      </c>
      <c r="K99" s="43">
        <f t="shared" si="44"/>
        <v>10.047169919115865</v>
      </c>
      <c r="L99" s="43">
        <f t="shared" si="45"/>
        <v>0.30166309019102511</v>
      </c>
      <c r="M99" s="45">
        <f t="shared" si="46"/>
        <v>0.69833690980897489</v>
      </c>
      <c r="N99" s="45">
        <v>8.83</v>
      </c>
      <c r="O99" s="54">
        <f t="shared" si="40"/>
        <v>1.2171699191158645</v>
      </c>
    </row>
    <row r="100" spans="1:15">
      <c r="A100" t="s">
        <v>190</v>
      </c>
      <c r="B100" s="151">
        <f>1929027/(5011324*2/60)</f>
        <v>11.548008071320075</v>
      </c>
      <c r="C100" s="45">
        <v>29.72</v>
      </c>
      <c r="D100" s="45">
        <f t="shared" si="42"/>
        <v>3.4320679987963261</v>
      </c>
      <c r="E100" s="151">
        <f>3669213/(5011324)*60</f>
        <v>43.931060933198495</v>
      </c>
      <c r="F100" s="43">
        <v>289.77999999999997</v>
      </c>
      <c r="G100" s="53">
        <f t="shared" si="47"/>
        <v>6.365171418611129</v>
      </c>
      <c r="H100" s="151">
        <f>(262266/5011324)*60</f>
        <v>3.1400803460323061</v>
      </c>
      <c r="I100" s="57">
        <v>120</v>
      </c>
      <c r="J100" s="57">
        <f t="shared" si="43"/>
        <v>0.18840482076193837</v>
      </c>
      <c r="K100" s="43">
        <f t="shared" si="44"/>
        <v>9.9856442381693942</v>
      </c>
      <c r="L100" s="43">
        <f t="shared" si="45"/>
        <v>0.34370020771193682</v>
      </c>
      <c r="M100" s="45">
        <f t="shared" si="46"/>
        <v>0.65629979228806312</v>
      </c>
      <c r="N100" s="45">
        <v>8.9</v>
      </c>
      <c r="O100" s="54">
        <f t="shared" si="40"/>
        <v>1.0856442381693938</v>
      </c>
    </row>
    <row r="101" spans="1:15">
      <c r="A101" t="s">
        <v>191</v>
      </c>
      <c r="B101" s="151">
        <f>1864887/(4814044*2/60)</f>
        <v>11.621541057788422</v>
      </c>
      <c r="C101" s="45">
        <v>28.89</v>
      </c>
      <c r="D101" s="45">
        <f t="shared" si="42"/>
        <v>3.3574632115950749</v>
      </c>
      <c r="E101" s="151">
        <f>3539791/(4814044)*60</f>
        <v>44.118304693517544</v>
      </c>
      <c r="F101" s="43">
        <v>279.56</v>
      </c>
      <c r="G101" s="53">
        <f t="shared" si="47"/>
        <v>6.1668566300598826</v>
      </c>
      <c r="H101" s="151">
        <f>(256884/4814044)*60</f>
        <v>3.2016824108795019</v>
      </c>
      <c r="I101" s="57">
        <v>108.13</v>
      </c>
      <c r="J101" s="57">
        <f t="shared" si="43"/>
        <v>0.17309895954420026</v>
      </c>
      <c r="K101" s="43">
        <f t="shared" si="44"/>
        <v>9.6974188011991576</v>
      </c>
      <c r="L101" s="43">
        <f t="shared" si="45"/>
        <v>0.3462223587971574</v>
      </c>
      <c r="M101" s="45">
        <f t="shared" si="46"/>
        <v>0.65377764120284254</v>
      </c>
      <c r="N101" s="45">
        <v>8.81</v>
      </c>
      <c r="O101" s="54">
        <f t="shared" si="40"/>
        <v>0.88741880119915706</v>
      </c>
    </row>
    <row r="102" spans="1:15">
      <c r="A102" t="s">
        <v>192</v>
      </c>
      <c r="B102" s="151">
        <f>1795866/(4638663*2/60)</f>
        <v>11.614549278531335</v>
      </c>
      <c r="C102" s="45">
        <v>29.79</v>
      </c>
      <c r="D102" s="45">
        <f t="shared" si="42"/>
        <v>3.4599742300744847</v>
      </c>
      <c r="E102" s="151">
        <f>3425236/(4638663)*60</f>
        <v>44.304611048485306</v>
      </c>
      <c r="F102" s="43">
        <v>273.61</v>
      </c>
      <c r="G102" s="53">
        <f t="shared" si="47"/>
        <v>6.0610923144880324</v>
      </c>
      <c r="H102" s="151">
        <f>(241078/4638663)*60</f>
        <v>3.1182864545236417</v>
      </c>
      <c r="I102" s="57">
        <v>109.15</v>
      </c>
      <c r="J102" s="57">
        <f t="shared" si="43"/>
        <v>0.17018048325562776</v>
      </c>
      <c r="K102" s="43">
        <f t="shared" si="44"/>
        <v>9.6912470278181448</v>
      </c>
      <c r="L102" s="43">
        <f t="shared" si="45"/>
        <v>0.35702053823856061</v>
      </c>
      <c r="M102" s="45">
        <f t="shared" si="46"/>
        <v>0.64297946176143939</v>
      </c>
      <c r="N102" s="45">
        <v>8.82</v>
      </c>
      <c r="O102" s="54">
        <f t="shared" si="40"/>
        <v>0.87124702781814456</v>
      </c>
    </row>
    <row r="103" spans="1:15">
      <c r="A103" t="s">
        <v>193</v>
      </c>
      <c r="B103" s="151">
        <f>1943537/(4991626*2/60)</f>
        <v>11.680784978682297</v>
      </c>
      <c r="C103" s="45">
        <v>30.86</v>
      </c>
      <c r="D103" s="45">
        <f t="shared" si="42"/>
        <v>3.6046902444213567</v>
      </c>
      <c r="E103" s="151">
        <f>3677248/(4991626)*60</f>
        <v>44.201003841233302</v>
      </c>
      <c r="F103" s="43">
        <v>276.22000000000003</v>
      </c>
      <c r="G103" s="53">
        <f t="shared" si="47"/>
        <v>6.1046006405127322</v>
      </c>
      <c r="H103" s="151">
        <f>(260298/4991626)*60</f>
        <v>3.1288161412734046</v>
      </c>
      <c r="I103" s="57">
        <v>104.2</v>
      </c>
      <c r="J103" s="57">
        <f t="shared" si="43"/>
        <v>0.1630113209603444</v>
      </c>
      <c r="K103" s="43">
        <f t="shared" si="44"/>
        <v>9.8723022058944316</v>
      </c>
      <c r="L103" s="43">
        <f t="shared" si="45"/>
        <v>0.36513167539270758</v>
      </c>
      <c r="M103" s="45">
        <f t="shared" si="46"/>
        <v>0.63486832460729259</v>
      </c>
      <c r="N103" s="45">
        <v>8.9600000000000009</v>
      </c>
      <c r="O103" s="54">
        <f t="shared" si="40"/>
        <v>0.91230220589443078</v>
      </c>
    </row>
    <row r="104" spans="1:15">
      <c r="A104" t="s">
        <v>194</v>
      </c>
      <c r="B104" s="151">
        <f>1840263/(4745090*2/60)</f>
        <v>11.63474033158486</v>
      </c>
      <c r="C104" s="45">
        <v>32.450000000000003</v>
      </c>
      <c r="D104" s="45">
        <f t="shared" si="42"/>
        <v>3.7754732375992877</v>
      </c>
      <c r="E104" s="151">
        <f>3502911/(4745090)*60</f>
        <v>44.293081901502397</v>
      </c>
      <c r="F104" s="43">
        <v>303.81</v>
      </c>
      <c r="G104" s="53">
        <f t="shared" si="47"/>
        <v>6.7283406062477216</v>
      </c>
      <c r="H104" s="151">
        <f>(243761/4745090)*60</f>
        <v>3.0822724121144169</v>
      </c>
      <c r="I104" s="57">
        <v>88.21</v>
      </c>
      <c r="J104" s="57">
        <f t="shared" si="43"/>
        <v>0.13594362473630636</v>
      </c>
      <c r="K104" s="43">
        <f t="shared" si="44"/>
        <v>10.639757468583316</v>
      </c>
      <c r="L104" s="43">
        <f t="shared" si="45"/>
        <v>0.35484579876443295</v>
      </c>
      <c r="M104" s="45">
        <f t="shared" si="46"/>
        <v>0.6451542012355671</v>
      </c>
      <c r="N104" s="45">
        <v>9.61</v>
      </c>
      <c r="O104" s="54">
        <f t="shared" si="40"/>
        <v>1.0297574685833162</v>
      </c>
    </row>
    <row r="105" spans="1:15">
      <c r="A105" t="s">
        <v>197</v>
      </c>
      <c r="B105" s="151">
        <f>1876184/(4825833*2/60)</f>
        <v>11.663379151329936</v>
      </c>
      <c r="C105" s="45">
        <v>30.76</v>
      </c>
      <c r="D105" s="45">
        <f t="shared" si="42"/>
        <v>3.5876554269490883</v>
      </c>
      <c r="E105" s="151">
        <f>3561181/(4825833)*60</f>
        <v>44.276472061921744</v>
      </c>
      <c r="F105" s="43">
        <v>376.35</v>
      </c>
      <c r="G105" s="53">
        <f t="shared" si="47"/>
        <v>8.331725130252126</v>
      </c>
      <c r="H105" s="151">
        <f>(246358/4825833)*60</f>
        <v>3.0629903687094018</v>
      </c>
      <c r="I105" s="57">
        <v>89.76</v>
      </c>
      <c r="J105" s="57">
        <f t="shared" si="43"/>
        <v>0.13746700774767798</v>
      </c>
      <c r="K105" s="43">
        <f t="shared" si="44"/>
        <v>12.056847564948892</v>
      </c>
      <c r="L105" s="43">
        <f t="shared" si="45"/>
        <v>0.29756164765481102</v>
      </c>
      <c r="M105" s="45">
        <f t="shared" si="46"/>
        <v>0.70243835234518892</v>
      </c>
      <c r="N105" s="45">
        <v>10.49</v>
      </c>
      <c r="O105" s="54">
        <f t="shared" si="40"/>
        <v>1.5668475649488922</v>
      </c>
    </row>
    <row r="106" spans="1:15">
      <c r="A106" t="s">
        <v>195</v>
      </c>
      <c r="B106" s="151">
        <f>1787234/(4623752*2/60)</f>
        <v>11.595998228278678</v>
      </c>
      <c r="C106" s="45">
        <v>30.35</v>
      </c>
      <c r="D106" s="45">
        <f t="shared" si="42"/>
        <v>3.5193854622825791</v>
      </c>
      <c r="E106" s="151">
        <f>3411099/(4623752)*60</f>
        <v>44.264039247779728</v>
      </c>
      <c r="F106" s="43">
        <v>408.57</v>
      </c>
      <c r="G106" s="53">
        <f t="shared" si="47"/>
        <v>9.0424792577326816</v>
      </c>
      <c r="H106" s="151">
        <f>(235294/4623752)*60</f>
        <v>3.053286594955785</v>
      </c>
      <c r="I106" s="57">
        <v>93.07</v>
      </c>
      <c r="J106" s="57">
        <f t="shared" si="43"/>
        <v>0.14208469169626745</v>
      </c>
      <c r="K106" s="43">
        <f t="shared" si="44"/>
        <v>12.703949411711529</v>
      </c>
      <c r="L106" s="43">
        <f t="shared" si="45"/>
        <v>0.27703081523908812</v>
      </c>
      <c r="M106" s="45">
        <f t="shared" si="46"/>
        <v>0.72296918476091176</v>
      </c>
      <c r="N106" s="45">
        <v>11.4</v>
      </c>
      <c r="O106" s="54">
        <f t="shared" si="40"/>
        <v>1.3039494117115282</v>
      </c>
    </row>
    <row r="107" spans="1:15">
      <c r="A107" t="s">
        <v>196</v>
      </c>
      <c r="B107" s="151">
        <f>1789356/(4603543*2/60)</f>
        <v>11.660731745092857</v>
      </c>
      <c r="C107" s="45">
        <v>28.75</v>
      </c>
      <c r="D107" s="45">
        <f t="shared" si="42"/>
        <v>3.3524603767141965</v>
      </c>
      <c r="E107" s="151">
        <f>3403386/(4603543)*60</f>
        <v>44.357826135218026</v>
      </c>
      <c r="F107" s="43">
        <v>371.49</v>
      </c>
      <c r="G107" s="53">
        <f t="shared" si="47"/>
        <v>8.2392444154860733</v>
      </c>
      <c r="H107" s="151">
        <f>(240805/4603543)*60</f>
        <v>3.1385174418920383</v>
      </c>
      <c r="I107" s="57">
        <v>93.5</v>
      </c>
      <c r="J107" s="57">
        <f t="shared" si="43"/>
        <v>0.14672569040845279</v>
      </c>
      <c r="K107" s="43">
        <f t="shared" si="44"/>
        <v>11.738430482608722</v>
      </c>
      <c r="L107" s="43">
        <f t="shared" si="45"/>
        <v>0.28559698689540253</v>
      </c>
      <c r="M107" s="45">
        <f t="shared" si="46"/>
        <v>0.71440301310459753</v>
      </c>
      <c r="N107" s="45">
        <v>10.59</v>
      </c>
      <c r="O107" s="54">
        <f t="shared" si="40"/>
        <v>1.1484304826087222</v>
      </c>
    </row>
    <row r="108" spans="1:15">
      <c r="A108" t="s">
        <v>206</v>
      </c>
      <c r="B108" s="151">
        <f>1642478/(4218789*2/60)</f>
        <v>11.679735582888835</v>
      </c>
      <c r="C108" s="45">
        <v>31.21</v>
      </c>
      <c r="D108" s="45">
        <f>(B108*C108)/100</f>
        <v>3.6452454754196055</v>
      </c>
      <c r="E108" s="151">
        <f>3111301/(4218789)*60</f>
        <v>44.24920516290338</v>
      </c>
      <c r="F108" s="43">
        <v>340.8</v>
      </c>
      <c r="G108" s="53">
        <f>E108*F108/2000</f>
        <v>7.5400645597587364</v>
      </c>
      <c r="H108" s="151">
        <f>(217058/4218789)*60</f>
        <v>3.0870185733394107</v>
      </c>
      <c r="I108" s="57">
        <v>106.52</v>
      </c>
      <c r="J108" s="57">
        <f t="shared" si="43"/>
        <v>0.16441460921605702</v>
      </c>
      <c r="K108" s="43">
        <f t="shared" si="44"/>
        <v>11.349724644394399</v>
      </c>
      <c r="L108" s="43">
        <f t="shared" si="45"/>
        <v>0.32117479407044319</v>
      </c>
      <c r="M108" s="45">
        <f t="shared" si="46"/>
        <v>0.67882520592955675</v>
      </c>
      <c r="N108" s="45">
        <v>10.24</v>
      </c>
      <c r="O108" s="54">
        <f t="shared" si="40"/>
        <v>1.1097246443943991</v>
      </c>
    </row>
    <row r="109" spans="1:15">
      <c r="A109" s="41" t="s">
        <v>227</v>
      </c>
      <c r="B109" s="151">
        <f>(21864904)/(56587104*2/60)</f>
        <v>11.591812862520761</v>
      </c>
      <c r="C109" s="43">
        <f>AVERAGE(C97:C108)</f>
        <v>29.397499999999997</v>
      </c>
      <c r="D109" s="45">
        <f>(B109*C109)/100</f>
        <v>3.4077031862595408</v>
      </c>
      <c r="E109" s="151">
        <f>41673687/(56587104)*60</f>
        <v>44.187121150430315</v>
      </c>
      <c r="F109" s="43">
        <f>AVERAGE(F97:F108)</f>
        <v>324.19833333333332</v>
      </c>
      <c r="G109" s="53">
        <f>E109*F109/2000</f>
        <v>7.1626955158837955</v>
      </c>
      <c r="H109" s="151">
        <f>2915670/(56587104)*60</f>
        <v>3.0915206404625337</v>
      </c>
      <c r="I109" s="57">
        <f>AVERAGE(I97:I108)</f>
        <v>113.01833333333333</v>
      </c>
      <c r="J109" s="57">
        <f t="shared" si="43"/>
        <v>0.1746992551253374</v>
      </c>
      <c r="K109" s="43">
        <f t="shared" si="44"/>
        <v>10.745097957268674</v>
      </c>
      <c r="L109" s="43">
        <f t="shared" si="45"/>
        <v>0.31714026245375937</v>
      </c>
      <c r="M109" s="45">
        <f t="shared" si="46"/>
        <v>0.68285973754624052</v>
      </c>
      <c r="N109" s="45">
        <f>AVERAGE(N97:N108)</f>
        <v>9.5408333333333335</v>
      </c>
      <c r="O109" s="54">
        <f t="shared" si="40"/>
        <v>1.2042646239353409</v>
      </c>
    </row>
    <row r="110" spans="1:15">
      <c r="A110" s="117" t="s">
        <v>578</v>
      </c>
      <c r="B110" s="257"/>
      <c r="C110" s="45"/>
      <c r="D110" s="45"/>
      <c r="E110" s="257"/>
      <c r="F110" s="45"/>
      <c r="G110" s="141"/>
      <c r="H110" s="257"/>
      <c r="I110" s="100"/>
      <c r="J110" s="100"/>
      <c r="K110" s="45"/>
      <c r="L110" s="45"/>
      <c r="M110" s="45"/>
      <c r="N110" s="100"/>
      <c r="O110" s="54"/>
    </row>
    <row r="111" spans="1:15">
      <c r="A111" t="s">
        <v>187</v>
      </c>
      <c r="B111" s="277">
        <v>11.691942252763255</v>
      </c>
      <c r="C111" s="256">
        <v>31.99</v>
      </c>
      <c r="D111" s="45">
        <f t="shared" ref="D111:D121" si="48">(B111*C111)/100</f>
        <v>3.7402523266589651</v>
      </c>
      <c r="E111" s="277">
        <v>44.006400180520387</v>
      </c>
      <c r="F111" s="280">
        <v>337.95</v>
      </c>
      <c r="G111" s="53">
        <f>E111*F111/2000</f>
        <v>7.4359814705034326</v>
      </c>
      <c r="H111" s="277">
        <v>3.1119949624012295</v>
      </c>
      <c r="I111" s="281">
        <v>106.43</v>
      </c>
      <c r="J111" s="57">
        <f t="shared" ref="J111:J123" si="49">H111*I111/2000</f>
        <v>0.16560481192418144</v>
      </c>
      <c r="K111" s="43">
        <f t="shared" ref="K111:K123" si="50">D111+G111+J111</f>
        <v>11.341838609086579</v>
      </c>
      <c r="L111" s="43">
        <f t="shared" ref="L111:L123" si="51">D111/K111</f>
        <v>0.32977477951964862</v>
      </c>
      <c r="M111" s="45">
        <f t="shared" ref="M111:M123" si="52">(+G111+J111)/K111</f>
        <v>0.67022522048035127</v>
      </c>
      <c r="N111" s="256">
        <v>9.76</v>
      </c>
      <c r="O111" s="54">
        <f t="shared" ref="O111:O123" si="53">K111-N111</f>
        <v>1.5818386090865797</v>
      </c>
    </row>
    <row r="112" spans="1:15">
      <c r="A112" t="s">
        <v>188</v>
      </c>
      <c r="B112" s="277">
        <v>11.533501439898112</v>
      </c>
      <c r="C112" s="256">
        <v>33.86</v>
      </c>
      <c r="D112" s="45">
        <f t="shared" si="48"/>
        <v>3.9052435875495006</v>
      </c>
      <c r="E112" s="277">
        <v>43.553719713100655</v>
      </c>
      <c r="F112" s="280">
        <v>323.27</v>
      </c>
      <c r="G112" s="53">
        <f t="shared" ref="G112:G121" si="54">E112*F112/2000</f>
        <v>7.0398054858270243</v>
      </c>
      <c r="H112" s="277">
        <v>3.1148080657037025</v>
      </c>
      <c r="I112" s="281">
        <v>109.88</v>
      </c>
      <c r="J112" s="57">
        <f t="shared" si="49"/>
        <v>0.17112755512976141</v>
      </c>
      <c r="K112" s="43">
        <f t="shared" si="50"/>
        <v>11.116176628506286</v>
      </c>
      <c r="L112" s="43">
        <f t="shared" si="51"/>
        <v>0.35131176105414763</v>
      </c>
      <c r="M112" s="45">
        <f t="shared" si="52"/>
        <v>0.64868823894585237</v>
      </c>
      <c r="N112" s="256">
        <v>9.56</v>
      </c>
      <c r="O112" s="54">
        <f t="shared" si="53"/>
        <v>1.5561766285062859</v>
      </c>
    </row>
    <row r="113" spans="1:15">
      <c r="A113" t="s">
        <v>189</v>
      </c>
      <c r="B113" s="277">
        <v>11.487161946084742</v>
      </c>
      <c r="C113" s="256">
        <v>34.520000000000003</v>
      </c>
      <c r="D113" s="45">
        <f t="shared" si="48"/>
        <v>3.9653683037884533</v>
      </c>
      <c r="E113" s="277">
        <v>43.800061616098901</v>
      </c>
      <c r="F113" s="280">
        <v>322.41000000000003</v>
      </c>
      <c r="G113" s="53">
        <f t="shared" si="54"/>
        <v>7.0607889328232236</v>
      </c>
      <c r="H113" s="277">
        <v>3.2027954497799507</v>
      </c>
      <c r="I113" s="281">
        <v>105.26</v>
      </c>
      <c r="J113" s="57">
        <f t="shared" si="49"/>
        <v>0.16856312452191882</v>
      </c>
      <c r="K113" s="43">
        <f t="shared" si="50"/>
        <v>11.194720361133596</v>
      </c>
      <c r="L113" s="43">
        <f t="shared" si="51"/>
        <v>0.35421771834119431</v>
      </c>
      <c r="M113" s="45">
        <f t="shared" si="52"/>
        <v>0.64578228165880569</v>
      </c>
      <c r="N113" s="256">
        <v>9.94</v>
      </c>
      <c r="O113" s="54">
        <f t="shared" si="53"/>
        <v>1.2547203611335966</v>
      </c>
    </row>
    <row r="114" spans="1:15">
      <c r="A114" t="s">
        <v>190</v>
      </c>
      <c r="B114" s="277">
        <v>11.536105837077958</v>
      </c>
      <c r="C114" s="256">
        <v>35.57</v>
      </c>
      <c r="D114" s="45">
        <f t="shared" si="48"/>
        <v>4.1033928462486298</v>
      </c>
      <c r="E114" s="277">
        <v>43.663686413448659</v>
      </c>
      <c r="F114" s="280">
        <v>321.02</v>
      </c>
      <c r="G114" s="53">
        <f t="shared" si="54"/>
        <v>7.0084583062226438</v>
      </c>
      <c r="H114" s="277">
        <v>3.2354850928513557</v>
      </c>
      <c r="I114" s="281">
        <v>113.45</v>
      </c>
      <c r="J114" s="57">
        <f t="shared" si="49"/>
        <v>0.18353289189199315</v>
      </c>
      <c r="K114" s="43">
        <f t="shared" si="50"/>
        <v>11.295384044363267</v>
      </c>
      <c r="L114" s="43">
        <f t="shared" si="51"/>
        <v>0.36328050734108019</v>
      </c>
      <c r="M114" s="45">
        <f t="shared" si="52"/>
        <v>0.63671949265891969</v>
      </c>
      <c r="N114" s="256">
        <v>10.16</v>
      </c>
      <c r="O114" s="54">
        <f t="shared" si="53"/>
        <v>1.135384044363267</v>
      </c>
    </row>
    <row r="115" spans="1:15">
      <c r="A115" t="s">
        <v>191</v>
      </c>
      <c r="B115" s="277">
        <v>11.575704245966788</v>
      </c>
      <c r="C115" s="256">
        <v>33.58</v>
      </c>
      <c r="D115" s="45">
        <f t="shared" si="48"/>
        <v>3.8871214857956473</v>
      </c>
      <c r="E115" s="277">
        <v>43.933777812124575</v>
      </c>
      <c r="F115" s="280">
        <v>332.34</v>
      </c>
      <c r="G115" s="53">
        <f t="shared" si="54"/>
        <v>7.3004758590407404</v>
      </c>
      <c r="H115" s="277">
        <v>3.05264193228841</v>
      </c>
      <c r="I115" s="281">
        <v>159.25</v>
      </c>
      <c r="J115" s="57">
        <f t="shared" si="49"/>
        <v>0.24306661385846465</v>
      </c>
      <c r="K115" s="43">
        <f t="shared" si="50"/>
        <v>11.430663958694852</v>
      </c>
      <c r="L115" s="43">
        <f t="shared" si="51"/>
        <v>0.34006086609158587</v>
      </c>
      <c r="M115" s="45">
        <f t="shared" si="52"/>
        <v>0.65993913390841408</v>
      </c>
      <c r="N115" s="256">
        <v>10.26</v>
      </c>
      <c r="O115" s="54">
        <f t="shared" si="53"/>
        <v>1.1706639586948526</v>
      </c>
    </row>
    <row r="116" spans="1:15">
      <c r="A116" t="s">
        <v>192</v>
      </c>
      <c r="B116" s="277">
        <v>11.605993084461053</v>
      </c>
      <c r="C116" s="256">
        <v>32</v>
      </c>
      <c r="D116" s="45">
        <f t="shared" si="48"/>
        <v>3.7139177870275368</v>
      </c>
      <c r="E116" s="277">
        <v>43.999622082396634</v>
      </c>
      <c r="F116" s="280">
        <v>334.42</v>
      </c>
      <c r="G116" s="53">
        <f t="shared" si="54"/>
        <v>7.3571768083975408</v>
      </c>
      <c r="H116" s="277">
        <v>3.011292495863215</v>
      </c>
      <c r="I116" s="281">
        <v>142.5</v>
      </c>
      <c r="J116" s="57">
        <f t="shared" si="49"/>
        <v>0.21455459033025406</v>
      </c>
      <c r="K116" s="43">
        <f t="shared" si="50"/>
        <v>11.28564918575533</v>
      </c>
      <c r="L116" s="43">
        <f t="shared" si="51"/>
        <v>0.32908322116863409</v>
      </c>
      <c r="M116" s="45">
        <f t="shared" si="52"/>
        <v>0.67091677883136602</v>
      </c>
      <c r="N116" s="256">
        <v>10.26</v>
      </c>
      <c r="O116" s="54">
        <f t="shared" si="53"/>
        <v>1.0256491857553307</v>
      </c>
    </row>
    <row r="117" spans="1:15">
      <c r="A117" t="s">
        <v>193</v>
      </c>
      <c r="B117" s="277">
        <v>11.606536762518406</v>
      </c>
      <c r="C117" s="256">
        <v>30.86</v>
      </c>
      <c r="D117" s="45">
        <f t="shared" si="48"/>
        <v>3.5817772449131797</v>
      </c>
      <c r="E117" s="277">
        <v>43.898686930891586</v>
      </c>
      <c r="F117" s="280">
        <v>320.33999999999997</v>
      </c>
      <c r="G117" s="53">
        <f t="shared" si="54"/>
        <v>7.0312526857209052</v>
      </c>
      <c r="H117" s="277">
        <v>3.0425295392633247</v>
      </c>
      <c r="I117" s="281">
        <v>113.37</v>
      </c>
      <c r="J117" s="57">
        <f t="shared" si="49"/>
        <v>0.17246578693314157</v>
      </c>
      <c r="K117" s="43">
        <f t="shared" si="50"/>
        <v>10.785495717567226</v>
      </c>
      <c r="L117" s="43">
        <f t="shared" si="51"/>
        <v>0.33209203718650077</v>
      </c>
      <c r="M117" s="45">
        <f t="shared" si="52"/>
        <v>0.66790796281349929</v>
      </c>
      <c r="N117" s="256">
        <v>9.86</v>
      </c>
      <c r="O117" s="54">
        <f t="shared" si="53"/>
        <v>0.92549571756722671</v>
      </c>
    </row>
    <row r="118" spans="1:15">
      <c r="A118" t="s">
        <v>194</v>
      </c>
      <c r="B118" s="277">
        <v>11.562921636909387</v>
      </c>
      <c r="C118" s="256">
        <v>29.57</v>
      </c>
      <c r="D118" s="45">
        <f t="shared" si="48"/>
        <v>3.4191559280341055</v>
      </c>
      <c r="E118" s="277">
        <v>43.917273141258683</v>
      </c>
      <c r="F118" s="280">
        <v>305.67</v>
      </c>
      <c r="G118" s="53">
        <f t="shared" si="54"/>
        <v>6.7120964405442711</v>
      </c>
      <c r="H118" s="277">
        <v>2.9599996082713504</v>
      </c>
      <c r="I118" s="281">
        <v>107.89</v>
      </c>
      <c r="J118" s="57">
        <f t="shared" si="49"/>
        <v>0.15967717886819802</v>
      </c>
      <c r="K118" s="43">
        <f t="shared" si="50"/>
        <v>10.290929547446575</v>
      </c>
      <c r="L118" s="43">
        <f t="shared" si="51"/>
        <v>0.33224947389543441</v>
      </c>
      <c r="M118" s="45">
        <f t="shared" si="52"/>
        <v>0.66775052610456553</v>
      </c>
      <c r="N118" s="256">
        <v>9.3699999999999992</v>
      </c>
      <c r="O118" s="54">
        <f t="shared" si="53"/>
        <v>0.92092954744657618</v>
      </c>
    </row>
    <row r="119" spans="1:15">
      <c r="A119" t="s">
        <v>197</v>
      </c>
      <c r="B119" s="277">
        <v>11.645782176505522</v>
      </c>
      <c r="C119" s="256">
        <v>30.6</v>
      </c>
      <c r="D119" s="45">
        <f t="shared" si="48"/>
        <v>3.5636093460106899</v>
      </c>
      <c r="E119" s="277">
        <v>44.200503821899851</v>
      </c>
      <c r="F119" s="280">
        <v>307.63</v>
      </c>
      <c r="G119" s="53">
        <f t="shared" si="54"/>
        <v>6.7987004953655248</v>
      </c>
      <c r="H119" s="277">
        <v>3.0431249674143457</v>
      </c>
      <c r="I119" s="281">
        <v>107</v>
      </c>
      <c r="J119" s="57">
        <f t="shared" si="49"/>
        <v>0.1628071857566675</v>
      </c>
      <c r="K119" s="43">
        <f t="shared" si="50"/>
        <v>10.525117027132882</v>
      </c>
      <c r="L119" s="43">
        <f t="shared" si="51"/>
        <v>0.33858144634629711</v>
      </c>
      <c r="M119" s="45">
        <f t="shared" si="52"/>
        <v>0.66141855365370295</v>
      </c>
      <c r="N119" s="256">
        <v>9.49</v>
      </c>
      <c r="O119" s="54">
        <f t="shared" si="53"/>
        <v>1.0351170271328822</v>
      </c>
    </row>
    <row r="120" spans="1:15">
      <c r="A120" t="s">
        <v>195</v>
      </c>
      <c r="B120" s="277">
        <v>11.708982264576175</v>
      </c>
      <c r="C120" s="256">
        <v>30.74</v>
      </c>
      <c r="D120" s="45">
        <f t="shared" si="48"/>
        <v>3.5993411481307156</v>
      </c>
      <c r="E120" s="277">
        <v>44.099361729830669</v>
      </c>
      <c r="F120" s="280">
        <v>300.72000000000003</v>
      </c>
      <c r="G120" s="53">
        <f t="shared" si="54"/>
        <v>6.6307800296973403</v>
      </c>
      <c r="H120" s="277">
        <v>2.9836313823924865</v>
      </c>
      <c r="I120" s="281">
        <v>103.25</v>
      </c>
      <c r="J120" s="57">
        <f t="shared" si="49"/>
        <v>0.15402997011601213</v>
      </c>
      <c r="K120" s="43">
        <f t="shared" si="50"/>
        <v>10.384151147944069</v>
      </c>
      <c r="L120" s="43">
        <f t="shared" si="51"/>
        <v>0.34661871700927038</v>
      </c>
      <c r="M120" s="45">
        <f t="shared" si="52"/>
        <v>0.65338128299072951</v>
      </c>
      <c r="N120" s="256">
        <v>9.23</v>
      </c>
      <c r="O120" s="54">
        <f t="shared" si="53"/>
        <v>1.1541511479440683</v>
      </c>
    </row>
    <row r="121" spans="1:15">
      <c r="A121" t="s">
        <v>196</v>
      </c>
      <c r="B121" s="277">
        <v>11.575280379036474</v>
      </c>
      <c r="C121" s="256">
        <v>32.82</v>
      </c>
      <c r="D121" s="45">
        <f t="shared" si="48"/>
        <v>3.7990070203997708</v>
      </c>
      <c r="E121" s="277">
        <v>43.703813497605324</v>
      </c>
      <c r="F121" s="280">
        <v>326.04000000000002</v>
      </c>
      <c r="G121" s="53">
        <f t="shared" si="54"/>
        <v>7.1245956763796201</v>
      </c>
      <c r="H121" s="277">
        <v>3.0513806900451521</v>
      </c>
      <c r="I121" s="281">
        <v>107.4</v>
      </c>
      <c r="J121" s="57">
        <f t="shared" si="49"/>
        <v>0.16385914305542468</v>
      </c>
      <c r="K121" s="43">
        <f t="shared" si="50"/>
        <v>11.087461839834814</v>
      </c>
      <c r="L121" s="43">
        <f t="shared" si="51"/>
        <v>0.34263991843027347</v>
      </c>
      <c r="M121" s="45">
        <f t="shared" si="52"/>
        <v>0.65736008156972658</v>
      </c>
      <c r="N121" s="256">
        <v>9.91</v>
      </c>
      <c r="O121" s="54">
        <f t="shared" si="53"/>
        <v>1.1774618398348142</v>
      </c>
    </row>
    <row r="122" spans="1:15">
      <c r="A122" t="s">
        <v>206</v>
      </c>
      <c r="B122" s="277">
        <v>11.622543855329297</v>
      </c>
      <c r="C122" s="256">
        <v>33.17</v>
      </c>
      <c r="D122" s="45">
        <f>(B122*C122)/100</f>
        <v>3.8551977968127282</v>
      </c>
      <c r="E122" s="277">
        <v>43.78262548058828</v>
      </c>
      <c r="F122" s="280">
        <v>301.05</v>
      </c>
      <c r="G122" s="53">
        <f>E122*F122/2000</f>
        <v>6.5903797004655509</v>
      </c>
      <c r="H122" s="277">
        <v>3.1305159926412394</v>
      </c>
      <c r="I122" s="281">
        <v>111.5</v>
      </c>
      <c r="J122" s="57">
        <f t="shared" si="49"/>
        <v>0.1745262665897491</v>
      </c>
      <c r="K122" s="43">
        <f t="shared" si="50"/>
        <v>10.620103763868029</v>
      </c>
      <c r="L122" s="43">
        <f t="shared" si="51"/>
        <v>0.36300942839456751</v>
      </c>
      <c r="M122" s="45">
        <f t="shared" si="52"/>
        <v>0.63699057160543238</v>
      </c>
      <c r="N122" s="256">
        <v>9.39</v>
      </c>
      <c r="O122" s="54">
        <f t="shared" si="53"/>
        <v>1.2301037638680281</v>
      </c>
    </row>
    <row r="123" spans="1:15">
      <c r="A123" s="1" t="s">
        <v>227</v>
      </c>
      <c r="B123" s="278">
        <v>11.592690187709689</v>
      </c>
      <c r="C123" s="279">
        <v>32.440000000000005</v>
      </c>
      <c r="D123" s="44">
        <f>(B123*C123)/100</f>
        <v>3.7606686968930232</v>
      </c>
      <c r="E123" s="157">
        <v>43.872854997955756</v>
      </c>
      <c r="F123" s="44">
        <v>319.40500000000003</v>
      </c>
      <c r="G123" s="211">
        <f>E123*F123/2000</f>
        <v>7.0066046253110299</v>
      </c>
      <c r="H123" s="278">
        <v>3.0810020981893329</v>
      </c>
      <c r="I123" s="282">
        <v>115.59833333333334</v>
      </c>
      <c r="J123" s="58">
        <f t="shared" si="49"/>
        <v>0.17807935377359496</v>
      </c>
      <c r="K123" s="44">
        <f t="shared" si="50"/>
        <v>10.945352675977649</v>
      </c>
      <c r="L123" s="44">
        <f t="shared" si="51"/>
        <v>0.34358588601231316</v>
      </c>
      <c r="M123" s="44">
        <f t="shared" si="52"/>
        <v>0.65641411398768679</v>
      </c>
      <c r="N123" s="279">
        <v>9.7658333333333331</v>
      </c>
      <c r="O123" s="47">
        <f t="shared" si="53"/>
        <v>1.1795193426443156</v>
      </c>
    </row>
    <row r="124" spans="1:15">
      <c r="A124" s="117" t="s">
        <v>605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6"/>
    </row>
    <row r="125" spans="1:15">
      <c r="A125" s="168" t="s">
        <v>604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6"/>
    </row>
    <row r="126" spans="1:15">
      <c r="A126" t="s">
        <v>405</v>
      </c>
    </row>
    <row r="127" spans="1:15">
      <c r="A127" t="s">
        <v>406</v>
      </c>
    </row>
    <row r="128" spans="1:15" ht="10.25" customHeight="1">
      <c r="A128" t="s">
        <v>582</v>
      </c>
      <c r="N128" s="305"/>
      <c r="O128" s="305" t="s">
        <v>679</v>
      </c>
    </row>
  </sheetData>
  <phoneticPr fontId="0" type="noConversion"/>
  <pageMargins left="0.7" right="0.7" top="0.75" bottom="0.75" header="0.3" footer="0.3"/>
  <pageSetup scale="51" firstPageNumber="36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48"/>
  <sheetViews>
    <sheetView zoomScaleNormal="100" zoomScaleSheetLayoutView="100" workbookViewId="0"/>
  </sheetViews>
  <sheetFormatPr baseColWidth="10" defaultColWidth="8.75" defaultRowHeight="11"/>
  <cols>
    <col min="1" max="9" width="12.75" customWidth="1"/>
  </cols>
  <sheetData>
    <row r="1" spans="1:9">
      <c r="A1" s="126" t="s">
        <v>695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20</v>
      </c>
      <c r="B2" s="51" t="s">
        <v>97</v>
      </c>
      <c r="C2" s="4" t="s">
        <v>98</v>
      </c>
      <c r="D2" s="4" t="s">
        <v>94</v>
      </c>
      <c r="E2" s="4" t="s">
        <v>93</v>
      </c>
      <c r="F2" s="4" t="s">
        <v>99</v>
      </c>
      <c r="G2" s="1"/>
      <c r="H2" s="50" t="s">
        <v>397</v>
      </c>
      <c r="I2" s="1"/>
    </row>
    <row r="3" spans="1:9">
      <c r="A3" s="1"/>
      <c r="B3" s="9"/>
      <c r="C3" s="9"/>
      <c r="D3" s="9"/>
      <c r="E3" s="9"/>
      <c r="F3" s="9"/>
      <c r="G3" s="9" t="s">
        <v>106</v>
      </c>
      <c r="H3" s="91" t="s">
        <v>398</v>
      </c>
      <c r="I3" s="9" t="s">
        <v>567</v>
      </c>
    </row>
    <row r="4" spans="1:9">
      <c r="B4" s="323" t="s">
        <v>723</v>
      </c>
      <c r="C4" s="324"/>
      <c r="D4" s="7" t="s">
        <v>95</v>
      </c>
      <c r="E4" s="7" t="s">
        <v>91</v>
      </c>
      <c r="F4" s="7" t="s">
        <v>96</v>
      </c>
      <c r="H4" s="307" t="s">
        <v>722</v>
      </c>
      <c r="I4" s="307"/>
    </row>
    <row r="6" spans="1:9">
      <c r="A6" s="10">
        <v>1980</v>
      </c>
      <c r="B6" s="93">
        <f>+'tab 12'!P6</f>
        <v>1521.4</v>
      </c>
      <c r="C6" s="93">
        <f>+'tab 13'!P6</f>
        <v>1399.8</v>
      </c>
      <c r="D6" s="94">
        <f t="shared" ref="D6:D29" si="0">+E6*1000/C6</f>
        <v>1645.065009287041</v>
      </c>
      <c r="E6" s="93">
        <f>+'tab 14'!P6/1000</f>
        <v>2302.7620000000002</v>
      </c>
      <c r="F6" s="25">
        <v>578.63499999999999</v>
      </c>
      <c r="G6" s="195">
        <v>22.75</v>
      </c>
      <c r="H6" s="101" t="s">
        <v>268</v>
      </c>
      <c r="I6" s="27">
        <v>12.5</v>
      </c>
    </row>
    <row r="7" spans="1:9">
      <c r="A7" s="10">
        <v>1981</v>
      </c>
      <c r="B7" s="93">
        <f>+'tab 12'!P7</f>
        <v>1514</v>
      </c>
      <c r="C7" s="93">
        <f>+'tab 13'!P7</f>
        <v>1488.7</v>
      </c>
      <c r="D7" s="94">
        <f t="shared" si="0"/>
        <v>2674.7161953382147</v>
      </c>
      <c r="E7" s="93">
        <f>+'tab 14'!P7/1000</f>
        <v>3981.85</v>
      </c>
      <c r="F7" s="25">
        <v>1069.5260000000001</v>
      </c>
      <c r="G7" s="195">
        <v>22.75</v>
      </c>
      <c r="H7" s="101" t="s">
        <v>268</v>
      </c>
      <c r="I7" s="27">
        <v>12.5</v>
      </c>
    </row>
    <row r="8" spans="1:9">
      <c r="A8" s="10">
        <v>1982</v>
      </c>
      <c r="B8" s="93">
        <f>+'tab 12'!P8</f>
        <v>1311.4</v>
      </c>
      <c r="C8" s="93">
        <f>+'tab 13'!P8</f>
        <v>1277.4000000000001</v>
      </c>
      <c r="D8" s="94">
        <f t="shared" si="0"/>
        <v>2693.1697197432281</v>
      </c>
      <c r="E8" s="93">
        <f>+'tab 14'!P8/1000</f>
        <v>3440.2550000000001</v>
      </c>
      <c r="F8" s="25">
        <v>862.68600000000004</v>
      </c>
      <c r="G8" s="195">
        <v>27.5</v>
      </c>
      <c r="H8" s="101" t="s">
        <v>268</v>
      </c>
      <c r="I8" s="27">
        <v>10</v>
      </c>
    </row>
    <row r="9" spans="1:9">
      <c r="A9" s="10">
        <v>1983</v>
      </c>
      <c r="B9" s="93">
        <f>+'tab 12'!P9</f>
        <v>1411</v>
      </c>
      <c r="C9" s="93">
        <f>+'tab 13'!P9</f>
        <v>1373.5</v>
      </c>
      <c r="D9" s="94">
        <f t="shared" si="0"/>
        <v>2399.3665817255187</v>
      </c>
      <c r="E9" s="93">
        <f>+'tab 14'!P9/1000</f>
        <v>3295.53</v>
      </c>
      <c r="F9" s="25">
        <v>814.57899999999995</v>
      </c>
      <c r="G9" s="195">
        <v>27.5</v>
      </c>
      <c r="H9" s="101" t="s">
        <v>268</v>
      </c>
      <c r="I9" s="27">
        <v>9.3000000000000007</v>
      </c>
    </row>
    <row r="10" spans="1:9">
      <c r="A10" s="10">
        <v>1984</v>
      </c>
      <c r="B10" s="93">
        <f>+'tab 12'!P10</f>
        <v>1558.6</v>
      </c>
      <c r="C10" s="93">
        <f>+'tab 13'!P10</f>
        <v>1528</v>
      </c>
      <c r="D10" s="94">
        <f t="shared" si="0"/>
        <v>2883.4718586387435</v>
      </c>
      <c r="E10" s="93">
        <f>+'tab 14'!P10/1000</f>
        <v>4405.9449999999997</v>
      </c>
      <c r="F10" s="25">
        <v>1230.7739999999999</v>
      </c>
      <c r="G10" s="195">
        <v>27.5</v>
      </c>
      <c r="H10" s="101" t="s">
        <v>268</v>
      </c>
      <c r="I10" s="27">
        <v>9.3000000000000007</v>
      </c>
    </row>
    <row r="11" spans="1:9">
      <c r="A11" s="10">
        <v>1985</v>
      </c>
      <c r="B11" s="93">
        <f>+'tab 12'!P11</f>
        <v>1490.4</v>
      </c>
      <c r="C11" s="93">
        <f>+'tab 13'!P11</f>
        <v>1467.4</v>
      </c>
      <c r="D11" s="94">
        <f t="shared" si="0"/>
        <v>2809.5863431920407</v>
      </c>
      <c r="E11" s="93">
        <f>+'tab 14'!P11/1000</f>
        <v>4122.7870000000003</v>
      </c>
      <c r="F11" s="25">
        <v>1003.412</v>
      </c>
      <c r="G11" s="195">
        <v>27.95</v>
      </c>
      <c r="H11" s="101" t="s">
        <v>268</v>
      </c>
      <c r="I11" s="27">
        <v>7.4</v>
      </c>
    </row>
    <row r="12" spans="1:9">
      <c r="A12" s="10">
        <v>1986</v>
      </c>
      <c r="B12" s="93">
        <f>+'tab 12'!P12</f>
        <v>1564.7</v>
      </c>
      <c r="C12" s="93">
        <f>+'tab 13'!P12</f>
        <v>1535.2</v>
      </c>
      <c r="D12" s="94">
        <f t="shared" si="0"/>
        <v>2408.2106565919748</v>
      </c>
      <c r="E12" s="93">
        <f>+'tab 14'!P12/1000</f>
        <v>3697.085</v>
      </c>
      <c r="F12" s="25">
        <v>1073.279</v>
      </c>
      <c r="G12" s="195">
        <v>30.37</v>
      </c>
      <c r="H12" s="101" t="s">
        <v>268</v>
      </c>
      <c r="I12" s="27">
        <v>7.5</v>
      </c>
    </row>
    <row r="13" spans="1:9">
      <c r="A13" s="10">
        <v>1987</v>
      </c>
      <c r="B13" s="93">
        <f>+'tab 12'!P13</f>
        <v>1567.4</v>
      </c>
      <c r="C13" s="93">
        <f>+'tab 13'!P13</f>
        <v>1547.4</v>
      </c>
      <c r="D13" s="94">
        <f t="shared" si="0"/>
        <v>2336.8295204859764</v>
      </c>
      <c r="E13" s="93">
        <f>+'tab 14'!P13/1000</f>
        <v>3616.01</v>
      </c>
      <c r="F13" s="25">
        <v>1021.87</v>
      </c>
      <c r="G13" s="195">
        <v>30.41</v>
      </c>
      <c r="H13" s="101" t="s">
        <v>268</v>
      </c>
      <c r="I13" s="27">
        <v>7.5</v>
      </c>
    </row>
    <row r="14" spans="1:9">
      <c r="A14" s="10">
        <v>1988</v>
      </c>
      <c r="B14" s="93">
        <f>+'tab 12'!P14</f>
        <v>1657.4</v>
      </c>
      <c r="C14" s="93">
        <f>+'tab 13'!P14</f>
        <v>1628.4</v>
      </c>
      <c r="D14" s="94">
        <f t="shared" si="0"/>
        <v>2444.6800540407762</v>
      </c>
      <c r="E14" s="93">
        <f>+'tab 14'!P14/1000</f>
        <v>3980.9169999999999</v>
      </c>
      <c r="F14" s="25">
        <v>1115.202</v>
      </c>
      <c r="G14" s="195">
        <v>30.76</v>
      </c>
      <c r="H14" s="101" t="s">
        <v>268</v>
      </c>
      <c r="I14" s="27">
        <v>7.5</v>
      </c>
    </row>
    <row r="15" spans="1:9">
      <c r="A15" s="10">
        <v>1989</v>
      </c>
      <c r="B15" s="93">
        <f>+'tab 12'!P15</f>
        <v>1665.2</v>
      </c>
      <c r="C15" s="93">
        <f>+'tab 13'!P15</f>
        <v>1644.7</v>
      </c>
      <c r="D15" s="94">
        <f t="shared" si="0"/>
        <v>2425.9713017571594</v>
      </c>
      <c r="E15" s="93">
        <f>+'tab 14'!P15/1000</f>
        <v>3989.9949999999999</v>
      </c>
      <c r="F15" s="25">
        <v>1118.875</v>
      </c>
      <c r="G15" s="195">
        <v>30.79</v>
      </c>
      <c r="H15" s="101" t="s">
        <v>268</v>
      </c>
      <c r="I15" s="27">
        <v>7.5</v>
      </c>
    </row>
    <row r="16" spans="1:9">
      <c r="A16" s="10">
        <v>1990</v>
      </c>
      <c r="B16" s="93">
        <f>+'tab 12'!P16</f>
        <v>1846</v>
      </c>
      <c r="C16" s="93">
        <f>+'tab 13'!P16</f>
        <v>1815.5</v>
      </c>
      <c r="D16" s="94">
        <f t="shared" si="0"/>
        <v>1984.9352795373175</v>
      </c>
      <c r="E16" s="93">
        <f>+'tab 14'!P16/1000</f>
        <v>3603.65</v>
      </c>
      <c r="F16" s="25">
        <v>1249.8989999999999</v>
      </c>
      <c r="G16" s="195">
        <v>31.57</v>
      </c>
      <c r="H16" s="101" t="s">
        <v>268</v>
      </c>
      <c r="I16" s="27">
        <v>7.5</v>
      </c>
    </row>
    <row r="17" spans="1:9">
      <c r="A17" s="10">
        <v>1991</v>
      </c>
      <c r="B17" s="93">
        <f>+'tab 12'!P17</f>
        <v>2039.2</v>
      </c>
      <c r="C17" s="93">
        <f>+'tab 13'!P17</f>
        <v>2015.7</v>
      </c>
      <c r="D17" s="94">
        <f t="shared" si="0"/>
        <v>2444.0988242297963</v>
      </c>
      <c r="E17" s="93">
        <f>+'tab 14'!P17/1000</f>
        <v>4926.57</v>
      </c>
      <c r="F17" s="25">
        <v>1392.0409999999999</v>
      </c>
      <c r="G17" s="195">
        <v>32.14</v>
      </c>
      <c r="H17" s="101" t="s">
        <v>268</v>
      </c>
      <c r="I17" s="27">
        <v>7.49</v>
      </c>
    </row>
    <row r="18" spans="1:9">
      <c r="A18" s="10">
        <v>1992</v>
      </c>
      <c r="B18" s="93">
        <f>+'tab 12'!P18</f>
        <v>1686.6</v>
      </c>
      <c r="C18" s="93">
        <f>+'tab 13'!P18</f>
        <v>1669.1</v>
      </c>
      <c r="D18" s="94">
        <f t="shared" si="0"/>
        <v>2566.9019231921397</v>
      </c>
      <c r="E18" s="93">
        <f>+'tab 14'!P18/1000</f>
        <v>4284.4160000000002</v>
      </c>
      <c r="F18" s="25">
        <v>1285.3610000000001</v>
      </c>
      <c r="G18" s="195">
        <v>33.75</v>
      </c>
      <c r="H18" s="101" t="s">
        <v>268</v>
      </c>
      <c r="I18" s="27">
        <v>6.55</v>
      </c>
    </row>
    <row r="19" spans="1:9">
      <c r="A19" s="10">
        <v>1993</v>
      </c>
      <c r="B19" s="93">
        <f>+'tab 12'!P19</f>
        <v>1733.5</v>
      </c>
      <c r="C19" s="93">
        <f>+'tab 13'!P19</f>
        <v>1689.8</v>
      </c>
      <c r="D19" s="94">
        <f t="shared" si="0"/>
        <v>2007.5837377204402</v>
      </c>
      <c r="E19" s="93">
        <f>+'tab 14'!P19/1000</f>
        <v>3392.415</v>
      </c>
      <c r="F19" s="25">
        <v>1030.904</v>
      </c>
      <c r="G19" s="195">
        <v>33.75</v>
      </c>
      <c r="H19" s="101" t="s">
        <v>268</v>
      </c>
      <c r="I19" s="27">
        <v>6.55</v>
      </c>
    </row>
    <row r="20" spans="1:9">
      <c r="A20" s="10">
        <v>1994</v>
      </c>
      <c r="B20" s="93">
        <f>+'tab 12'!P20</f>
        <v>1641</v>
      </c>
      <c r="C20" s="93">
        <f>+'tab 13'!P20</f>
        <v>1618.5</v>
      </c>
      <c r="D20" s="94">
        <f t="shared" si="0"/>
        <v>2624.3157244362064</v>
      </c>
      <c r="E20" s="93">
        <f>+'tab 14'!P20/1000</f>
        <v>4247.4549999999999</v>
      </c>
      <c r="F20" s="25">
        <v>1229.0119999999999</v>
      </c>
      <c r="G20" s="195">
        <v>33.92</v>
      </c>
      <c r="H20" s="101" t="s">
        <v>268</v>
      </c>
      <c r="I20" s="27">
        <v>6.6</v>
      </c>
    </row>
    <row r="21" spans="1:9">
      <c r="A21" s="10">
        <v>1995</v>
      </c>
      <c r="B21" s="93">
        <f>+'tab 12'!P21</f>
        <v>1537.5</v>
      </c>
      <c r="C21" s="93">
        <f>+'tab 13'!P21</f>
        <v>1517</v>
      </c>
      <c r="D21" s="94">
        <f t="shared" si="0"/>
        <v>2281.7897165458139</v>
      </c>
      <c r="E21" s="93">
        <f>+'tab 14'!P21/1000</f>
        <v>3461.4749999999999</v>
      </c>
      <c r="F21" s="25">
        <v>1013.323</v>
      </c>
      <c r="G21" s="195">
        <v>33.92</v>
      </c>
      <c r="H21" s="101" t="s">
        <v>268</v>
      </c>
      <c r="I21" s="27">
        <v>6.6</v>
      </c>
    </row>
    <row r="22" spans="1:9">
      <c r="A22" s="10">
        <v>1996</v>
      </c>
      <c r="B22" s="93">
        <f>+'tab 12'!P22</f>
        <v>1401.5</v>
      </c>
      <c r="C22" s="93">
        <f>+'tab 13'!P22</f>
        <v>1380</v>
      </c>
      <c r="D22" s="94">
        <f t="shared" si="0"/>
        <v>2653.0471014492755</v>
      </c>
      <c r="E22" s="93">
        <f>+'tab 14'!P22/1000</f>
        <v>3661.2049999999999</v>
      </c>
      <c r="F22" s="25">
        <v>1029.7739999999999</v>
      </c>
      <c r="G22" s="195">
        <v>30.5</v>
      </c>
      <c r="H22" s="101" t="s">
        <v>268</v>
      </c>
      <c r="I22" s="27">
        <v>6.6</v>
      </c>
    </row>
    <row r="23" spans="1:9">
      <c r="A23" s="10">
        <v>1997</v>
      </c>
      <c r="B23" s="93">
        <f>+'tab 12'!P23</f>
        <v>1434</v>
      </c>
      <c r="C23" s="93">
        <f>+'tab 13'!P23</f>
        <v>1413.8</v>
      </c>
      <c r="D23" s="94">
        <f t="shared" si="0"/>
        <v>2503.4516904795587</v>
      </c>
      <c r="E23" s="93">
        <f>+'tab 14'!P23/1000</f>
        <v>3539.38</v>
      </c>
      <c r="F23" s="25">
        <v>1002.703</v>
      </c>
      <c r="G23" s="195">
        <v>30.5</v>
      </c>
      <c r="H23" s="101" t="s">
        <v>268</v>
      </c>
      <c r="I23" s="27">
        <v>6.6</v>
      </c>
    </row>
    <row r="24" spans="1:9">
      <c r="A24" s="10">
        <v>1998</v>
      </c>
      <c r="B24" s="93">
        <f>+'tab 12'!P24</f>
        <v>1521</v>
      </c>
      <c r="C24" s="93">
        <f>+'tab 13'!P24</f>
        <v>1467</v>
      </c>
      <c r="D24" s="94">
        <f t="shared" si="0"/>
        <v>2701.7314246762098</v>
      </c>
      <c r="E24" s="93">
        <f>+'tab 14'!P24/1000</f>
        <v>3963.44</v>
      </c>
      <c r="F24" s="25">
        <v>1125.9190000000001</v>
      </c>
      <c r="G24" s="195">
        <v>30.5</v>
      </c>
      <c r="H24" s="101" t="s">
        <v>268</v>
      </c>
      <c r="I24" s="27">
        <v>6.6</v>
      </c>
    </row>
    <row r="25" spans="1:9">
      <c r="A25" s="10">
        <v>1999</v>
      </c>
      <c r="B25" s="93">
        <f>+'tab 12'!P25</f>
        <v>1534.5</v>
      </c>
      <c r="C25" s="93">
        <f>+'tab 13'!P25</f>
        <v>1436</v>
      </c>
      <c r="D25" s="94">
        <f t="shared" si="0"/>
        <v>2666.7757660167131</v>
      </c>
      <c r="E25" s="93">
        <f>+'tab 14'!P25/1000</f>
        <v>3829.49</v>
      </c>
      <c r="F25" s="25">
        <v>971.60799999999995</v>
      </c>
      <c r="G25" s="195">
        <v>30.5</v>
      </c>
      <c r="H25" s="101" t="s">
        <v>268</v>
      </c>
      <c r="I25" s="27">
        <v>6.6</v>
      </c>
    </row>
    <row r="26" spans="1:9">
      <c r="A26" s="10">
        <v>2000</v>
      </c>
      <c r="B26" s="93">
        <f>+'tab 12'!P26</f>
        <v>1536.8</v>
      </c>
      <c r="C26" s="93">
        <f>+'tab 13'!P26</f>
        <v>1336</v>
      </c>
      <c r="D26" s="94">
        <f t="shared" si="0"/>
        <v>2444.2402694610778</v>
      </c>
      <c r="E26" s="93">
        <f>+'tab 14'!P26/1000</f>
        <v>3265.5050000000001</v>
      </c>
      <c r="F26" s="25">
        <v>896.09699999999998</v>
      </c>
      <c r="G26" s="196">
        <v>30.5</v>
      </c>
      <c r="H26" s="101" t="s">
        <v>268</v>
      </c>
      <c r="I26" s="78">
        <v>6.6</v>
      </c>
    </row>
    <row r="27" spans="1:9">
      <c r="A27" s="10">
        <v>2001</v>
      </c>
      <c r="B27" s="93">
        <f>+'tab 12'!P27</f>
        <v>1541.2</v>
      </c>
      <c r="C27" s="93">
        <f>+'tab 13'!P27</f>
        <v>1411.9</v>
      </c>
      <c r="D27" s="94">
        <f t="shared" si="0"/>
        <v>3029.0417168354697</v>
      </c>
      <c r="E27" s="93">
        <f>+'tab 14'!P27/1000</f>
        <v>4276.7039999999997</v>
      </c>
      <c r="F27" s="25">
        <v>1000.5119999999999</v>
      </c>
      <c r="G27" s="196">
        <v>30.5</v>
      </c>
      <c r="H27" s="101" t="s">
        <v>268</v>
      </c>
      <c r="I27" s="78">
        <v>6.6</v>
      </c>
    </row>
    <row r="28" spans="1:9">
      <c r="A28" s="10">
        <v>2002</v>
      </c>
      <c r="B28" s="93">
        <f>+'tab 12'!P28</f>
        <v>1353</v>
      </c>
      <c r="C28" s="93">
        <f>+'tab 13'!P28</f>
        <v>1291.7</v>
      </c>
      <c r="D28" s="94">
        <f t="shared" si="0"/>
        <v>2571.0613919640782</v>
      </c>
      <c r="E28" s="93">
        <f>+'tab 14'!P28/1000</f>
        <v>3321.04</v>
      </c>
      <c r="F28" s="25">
        <v>599.71400000000006</v>
      </c>
      <c r="G28" s="101" t="s">
        <v>268</v>
      </c>
      <c r="H28" s="215">
        <v>17.75</v>
      </c>
      <c r="I28" s="101" t="s">
        <v>268</v>
      </c>
    </row>
    <row r="29" spans="1:9">
      <c r="A29" s="10">
        <v>2003</v>
      </c>
      <c r="B29" s="93">
        <f>+'tab 12'!P29</f>
        <v>1344</v>
      </c>
      <c r="C29" s="93">
        <f>+'tab 13'!P29</f>
        <v>1312</v>
      </c>
      <c r="D29" s="94">
        <f t="shared" si="0"/>
        <v>3158.6509146341459</v>
      </c>
      <c r="E29" s="93">
        <f>+'tab 14'!P29/1000</f>
        <v>4144.1499999999996</v>
      </c>
      <c r="F29" s="25">
        <v>799.428</v>
      </c>
      <c r="G29" s="101" t="s">
        <v>268</v>
      </c>
      <c r="H29" s="215">
        <v>17.75</v>
      </c>
      <c r="I29" s="101" t="s">
        <v>268</v>
      </c>
    </row>
    <row r="30" spans="1:9">
      <c r="A30" s="10">
        <v>2004</v>
      </c>
      <c r="B30" s="93">
        <f>+'tab 12'!P30</f>
        <v>1430</v>
      </c>
      <c r="C30" s="93">
        <f>+'tab 13'!P30</f>
        <v>1394</v>
      </c>
      <c r="D30" s="94">
        <f t="shared" ref="D30:D35" si="1">+E30*1000/C30</f>
        <v>3076.1836441893829</v>
      </c>
      <c r="E30" s="93">
        <f>+'tab 14'!P30/1000</f>
        <v>4288.2</v>
      </c>
      <c r="F30" s="25">
        <v>813.55100000000004</v>
      </c>
      <c r="G30" s="101" t="s">
        <v>268</v>
      </c>
      <c r="H30" s="215">
        <v>17.75</v>
      </c>
      <c r="I30" s="101" t="s">
        <v>268</v>
      </c>
    </row>
    <row r="31" spans="1:9">
      <c r="A31" s="71">
        <v>2005</v>
      </c>
      <c r="B31" s="93">
        <f>+'tab 12'!P31</f>
        <v>1657</v>
      </c>
      <c r="C31" s="93">
        <f>+'tab 13'!P31</f>
        <v>1629</v>
      </c>
      <c r="D31" s="94">
        <f t="shared" si="1"/>
        <v>2989.4782074892573</v>
      </c>
      <c r="E31" s="93">
        <f>+'tab 14'!P31/1000</f>
        <v>4869.8599999999997</v>
      </c>
      <c r="F31" s="25">
        <v>843.43499999999995</v>
      </c>
      <c r="G31" s="101" t="s">
        <v>268</v>
      </c>
      <c r="H31" s="215">
        <v>17.75</v>
      </c>
      <c r="I31" s="101" t="s">
        <v>268</v>
      </c>
    </row>
    <row r="32" spans="1:9">
      <c r="A32" s="71">
        <v>2006</v>
      </c>
      <c r="B32" s="93">
        <f>+'tab 12'!P32</f>
        <v>1243</v>
      </c>
      <c r="C32" s="93">
        <f>+'tab 13'!P32</f>
        <v>1210</v>
      </c>
      <c r="D32" s="94">
        <f t="shared" si="1"/>
        <v>2863.0165289256197</v>
      </c>
      <c r="E32" s="93">
        <f>+'tab 14'!P32/1000</f>
        <v>3464.25</v>
      </c>
      <c r="F32" s="25">
        <v>612.798</v>
      </c>
      <c r="G32" s="101" t="s">
        <v>268</v>
      </c>
      <c r="H32" s="215">
        <v>17.75</v>
      </c>
      <c r="I32" s="101" t="s">
        <v>268</v>
      </c>
    </row>
    <row r="33" spans="1:9">
      <c r="A33" s="71">
        <v>2007</v>
      </c>
      <c r="B33" s="93">
        <f>+'tab 12'!P33</f>
        <v>1230</v>
      </c>
      <c r="C33" s="93">
        <f>+'tab 13'!P33</f>
        <v>1195</v>
      </c>
      <c r="D33" s="94">
        <f t="shared" si="1"/>
        <v>3073.0125523012553</v>
      </c>
      <c r="E33" s="93">
        <f>+'tab 14'!P33/1000</f>
        <v>3672.25</v>
      </c>
      <c r="F33" s="25">
        <v>758.62599999999998</v>
      </c>
      <c r="G33" s="101" t="s">
        <v>268</v>
      </c>
      <c r="H33" s="215">
        <v>17.75</v>
      </c>
      <c r="I33" s="101" t="s">
        <v>268</v>
      </c>
    </row>
    <row r="34" spans="1:9">
      <c r="A34" s="71">
        <v>2008</v>
      </c>
      <c r="B34" s="93">
        <f>+'tab 12'!P34</f>
        <v>1534</v>
      </c>
      <c r="C34" s="93">
        <f>+'tab 13'!P34</f>
        <v>1507</v>
      </c>
      <c r="D34" s="94">
        <f t="shared" si="1"/>
        <v>3425.6138022561381</v>
      </c>
      <c r="E34" s="93">
        <f>+'tab 14'!P34/1000</f>
        <v>5162.3999999999996</v>
      </c>
      <c r="F34" s="25">
        <v>1193.617</v>
      </c>
      <c r="G34" s="101" t="s">
        <v>268</v>
      </c>
      <c r="H34" s="215">
        <v>17.75</v>
      </c>
      <c r="I34" s="101" t="s">
        <v>268</v>
      </c>
    </row>
    <row r="35" spans="1:9">
      <c r="A35" s="71">
        <v>2009</v>
      </c>
      <c r="B35" s="93">
        <f>+'tab 12'!P35</f>
        <v>1116</v>
      </c>
      <c r="C35" s="93">
        <f>+'tab 13'!P35</f>
        <v>1079</v>
      </c>
      <c r="D35" s="94">
        <f t="shared" si="1"/>
        <v>3421.3623725671919</v>
      </c>
      <c r="E35" s="93">
        <f>+'tab 14'!P35/1000</f>
        <v>3691.65</v>
      </c>
      <c r="F35" s="25">
        <v>793.14700000000005</v>
      </c>
      <c r="G35" s="101" t="s">
        <v>268</v>
      </c>
      <c r="H35" s="215">
        <v>17.75</v>
      </c>
      <c r="I35" s="101" t="s">
        <v>268</v>
      </c>
    </row>
    <row r="36" spans="1:9">
      <c r="A36" s="71">
        <v>2010</v>
      </c>
      <c r="B36" s="93">
        <f>+'tab 12'!P36</f>
        <v>1288</v>
      </c>
      <c r="C36" s="93">
        <f>+'tab 13'!P36</f>
        <v>1255</v>
      </c>
      <c r="D36" s="94">
        <f t="shared" ref="D36:D41" si="2">+E36*1000/C36</f>
        <v>3312.2231075697209</v>
      </c>
      <c r="E36" s="93">
        <f>+'tab 14'!P36/1000</f>
        <v>4156.84</v>
      </c>
      <c r="F36" s="25">
        <v>938.61099999999999</v>
      </c>
      <c r="G36" s="101" t="s">
        <v>268</v>
      </c>
      <c r="H36" s="215">
        <v>17.75</v>
      </c>
      <c r="I36" s="101" t="s">
        <v>268</v>
      </c>
    </row>
    <row r="37" spans="1:9">
      <c r="A37" s="71">
        <v>2011</v>
      </c>
      <c r="B37" s="93">
        <f>+'tab 12'!P37</f>
        <v>1140.5999999999999</v>
      </c>
      <c r="C37" s="93">
        <f>+'tab 13'!P37</f>
        <v>1080.5999999999999</v>
      </c>
      <c r="D37" s="94">
        <f t="shared" si="2"/>
        <v>3385.7023875624654</v>
      </c>
      <c r="E37" s="93">
        <f>+'tab 14'!P37/1000</f>
        <v>3658.59</v>
      </c>
      <c r="F37" s="25">
        <v>1168.587</v>
      </c>
      <c r="G37" s="101" t="s">
        <v>268</v>
      </c>
      <c r="H37" s="215">
        <v>17.75</v>
      </c>
      <c r="I37" s="101" t="s">
        <v>268</v>
      </c>
    </row>
    <row r="38" spans="1:9">
      <c r="A38" s="71">
        <v>2012</v>
      </c>
      <c r="B38" s="93">
        <f>+'tab 12'!P38</f>
        <v>1638</v>
      </c>
      <c r="C38" s="93">
        <f>+'tab 13'!P38</f>
        <v>1604</v>
      </c>
      <c r="D38" s="94">
        <f t="shared" si="2"/>
        <v>4210.6483790523689</v>
      </c>
      <c r="E38" s="93">
        <f>+'tab 14'!P38/1000</f>
        <v>6753.88</v>
      </c>
      <c r="F38" s="25">
        <v>2026.326</v>
      </c>
      <c r="G38" s="101" t="s">
        <v>268</v>
      </c>
      <c r="H38" s="215">
        <v>17.75</v>
      </c>
      <c r="I38" s="101" t="s">
        <v>268</v>
      </c>
    </row>
    <row r="39" spans="1:9">
      <c r="A39" s="71">
        <v>2013</v>
      </c>
      <c r="B39" s="93">
        <f>+'tab 12'!P39</f>
        <v>1067</v>
      </c>
      <c r="C39" s="93">
        <f>+'tab 13'!P39</f>
        <v>1043</v>
      </c>
      <c r="D39" s="94">
        <f t="shared" si="2"/>
        <v>4001.1217641418984</v>
      </c>
      <c r="E39" s="93">
        <f>+'tab 14'!P39/1000</f>
        <v>4173.17</v>
      </c>
      <c r="F39" s="25">
        <v>1055.0953</v>
      </c>
      <c r="G39" s="101" t="s">
        <v>268</v>
      </c>
      <c r="H39" s="215">
        <v>17.75</v>
      </c>
      <c r="I39" s="101" t="s">
        <v>268</v>
      </c>
    </row>
    <row r="40" spans="1:9">
      <c r="A40" s="71">
        <v>2014</v>
      </c>
      <c r="B40" s="93">
        <f>+'tab 12'!P40</f>
        <v>1353.5</v>
      </c>
      <c r="C40" s="93">
        <f>+'tab 13'!P40</f>
        <v>1322.5</v>
      </c>
      <c r="D40" s="94">
        <f t="shared" si="2"/>
        <v>3923.3761814744803</v>
      </c>
      <c r="E40" s="93">
        <f>+'tab 14'!P40/1000</f>
        <v>5188.665</v>
      </c>
      <c r="F40" s="234">
        <v>1158.251</v>
      </c>
      <c r="G40" s="101" t="s">
        <v>268</v>
      </c>
      <c r="H40" s="215">
        <v>17.75</v>
      </c>
      <c r="I40" s="101" t="s">
        <v>268</v>
      </c>
    </row>
    <row r="41" spans="1:9">
      <c r="A41" s="71">
        <v>2015</v>
      </c>
      <c r="B41" s="93">
        <f>+'tab 12'!P41</f>
        <v>1625</v>
      </c>
      <c r="C41" s="93">
        <f>+'tab 13'!P41</f>
        <v>1560.9</v>
      </c>
      <c r="D41" s="94">
        <f t="shared" si="2"/>
        <v>3844.8055608943555</v>
      </c>
      <c r="E41" s="93">
        <f>+'tab 14'!P41/1000</f>
        <v>6001.357</v>
      </c>
      <c r="F41" s="234">
        <v>1160.56</v>
      </c>
      <c r="G41" s="101" t="s">
        <v>268</v>
      </c>
      <c r="H41" s="215">
        <v>17.75</v>
      </c>
      <c r="I41" s="101" t="s">
        <v>268</v>
      </c>
    </row>
    <row r="42" spans="1:9">
      <c r="A42" s="71">
        <v>2016</v>
      </c>
      <c r="B42" s="93">
        <f>+'tab 12'!P42</f>
        <v>1671</v>
      </c>
      <c r="C42" s="93">
        <f>+'tab 13'!P42</f>
        <v>1536</v>
      </c>
      <c r="D42" s="94">
        <f>+E42*1000/C42</f>
        <v>3633.8346354166665</v>
      </c>
      <c r="E42" s="93">
        <f>+'tab 14'!P42/1000</f>
        <v>5581.57</v>
      </c>
      <c r="F42" s="234">
        <v>1088.165</v>
      </c>
      <c r="G42" s="101" t="s">
        <v>268</v>
      </c>
      <c r="H42" s="215">
        <v>17.75</v>
      </c>
      <c r="I42" s="101" t="s">
        <v>268</v>
      </c>
    </row>
    <row r="43" spans="1:9">
      <c r="A43" s="150" t="s">
        <v>663</v>
      </c>
      <c r="B43" s="92">
        <f>+'tab 12'!P43</f>
        <v>1870.6</v>
      </c>
      <c r="C43" s="92">
        <f>+'tab 13'!P43</f>
        <v>1775.6</v>
      </c>
      <c r="D43" s="89">
        <f>+E43*1000/C43</f>
        <v>4073.8905158819557</v>
      </c>
      <c r="E43" s="92">
        <f>+'tab 14'!P43/1000</f>
        <v>7233.6</v>
      </c>
      <c r="F43" s="230">
        <v>1638.095</v>
      </c>
      <c r="G43" s="95" t="s">
        <v>268</v>
      </c>
      <c r="H43" s="216">
        <v>17.75</v>
      </c>
      <c r="I43" s="95" t="s">
        <v>268</v>
      </c>
    </row>
    <row r="44" spans="1:9">
      <c r="A44" s="117" t="s">
        <v>499</v>
      </c>
    </row>
    <row r="45" spans="1:9">
      <c r="A45" s="158" t="s">
        <v>500</v>
      </c>
    </row>
    <row r="46" spans="1:9">
      <c r="A46" s="117" t="s">
        <v>606</v>
      </c>
    </row>
    <row r="47" spans="1:9">
      <c r="A47" s="117" t="s">
        <v>607</v>
      </c>
    </row>
    <row r="48" spans="1:9" ht="10.25" customHeight="1">
      <c r="I48" s="305" t="s">
        <v>679</v>
      </c>
    </row>
  </sheetData>
  <phoneticPr fontId="0" type="noConversion"/>
  <pageMargins left="0.7" right="0.7" top="0.75" bottom="0.75" header="0.3" footer="0.3"/>
  <pageSetup scale="92" firstPageNumber="3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56"/>
  <sheetViews>
    <sheetView zoomScaleNormal="100" zoomScaleSheetLayoutView="100" workbookViewId="0">
      <pane ySplit="7" topLeftCell="A20" activePane="bottomLeft" state="frozen"/>
      <selection pane="bottomLeft"/>
    </sheetView>
  </sheetViews>
  <sheetFormatPr baseColWidth="10" defaultColWidth="8.75" defaultRowHeight="11"/>
  <cols>
    <col min="1" max="1" width="10.75" customWidth="1"/>
    <col min="2" max="2" width="8.75" customWidth="1"/>
    <col min="3" max="3" width="11" customWidth="1"/>
    <col min="4" max="4" width="8.25" customWidth="1"/>
    <col min="5" max="5" width="9" customWidth="1"/>
    <col min="6" max="6" width="3.5" customWidth="1"/>
    <col min="7" max="7" width="8.75" customWidth="1"/>
    <col min="8" max="8" width="10.75" customWidth="1"/>
    <col min="9" max="9" width="9.25" customWidth="1"/>
    <col min="10" max="10" width="10.25" customWidth="1"/>
    <col min="11" max="11" width="8" customWidth="1"/>
    <col min="12" max="12" width="13.75" customWidth="1"/>
    <col min="13" max="13" width="12.75" customWidth="1"/>
  </cols>
  <sheetData>
    <row r="1" spans="1:13">
      <c r="A1" s="126" t="s">
        <v>696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B2" s="314"/>
      <c r="C2" s="334" t="s">
        <v>119</v>
      </c>
      <c r="D2" s="314"/>
      <c r="E2" s="314"/>
      <c r="G2" s="314"/>
      <c r="H2" s="306"/>
      <c r="I2" s="306" t="s">
        <v>117</v>
      </c>
      <c r="J2" s="306"/>
      <c r="K2" s="306"/>
      <c r="L2" s="9" t="s">
        <v>118</v>
      </c>
      <c r="M2" s="7" t="s">
        <v>651</v>
      </c>
    </row>
    <row r="3" spans="1:13">
      <c r="A3" t="s">
        <v>107</v>
      </c>
      <c r="B3" s="7" t="s">
        <v>108</v>
      </c>
      <c r="J3" s="7" t="s">
        <v>101</v>
      </c>
      <c r="L3" s="7" t="s">
        <v>647</v>
      </c>
      <c r="M3" s="7" t="s">
        <v>652</v>
      </c>
    </row>
    <row r="4" spans="1:13">
      <c r="A4" t="s">
        <v>100</v>
      </c>
      <c r="B4" s="7" t="s">
        <v>109</v>
      </c>
      <c r="C4" s="187" t="s">
        <v>66</v>
      </c>
      <c r="D4" s="187" t="s">
        <v>88</v>
      </c>
      <c r="E4" s="7" t="s">
        <v>3</v>
      </c>
      <c r="G4" s="199" t="s">
        <v>111</v>
      </c>
      <c r="H4" s="188" t="s">
        <v>90</v>
      </c>
      <c r="I4" s="7" t="s">
        <v>112</v>
      </c>
      <c r="J4" s="7" t="s">
        <v>103</v>
      </c>
      <c r="K4" s="187" t="s">
        <v>3</v>
      </c>
      <c r="L4" s="7" t="s">
        <v>114</v>
      </c>
      <c r="M4" s="7" t="s">
        <v>653</v>
      </c>
    </row>
    <row r="5" spans="1:13">
      <c r="A5" t="s">
        <v>102</v>
      </c>
      <c r="B5" s="7" t="s">
        <v>110</v>
      </c>
      <c r="C5" s="7"/>
      <c r="D5" s="7"/>
      <c r="E5" s="7"/>
      <c r="G5" s="7"/>
      <c r="H5" s="7"/>
      <c r="I5" s="7"/>
      <c r="J5" s="7" t="s">
        <v>113</v>
      </c>
      <c r="K5" s="7"/>
      <c r="L5" s="7" t="s">
        <v>115</v>
      </c>
      <c r="M5" s="7"/>
    </row>
    <row r="6" spans="1:13">
      <c r="A6" s="1" t="s">
        <v>104</v>
      </c>
      <c r="B6" s="1"/>
      <c r="C6" s="1"/>
      <c r="D6" s="1" t="s">
        <v>61</v>
      </c>
      <c r="E6" s="1" t="s">
        <v>61</v>
      </c>
      <c r="F6" s="1"/>
      <c r="G6" s="9"/>
      <c r="H6" s="9"/>
      <c r="I6" s="9"/>
      <c r="J6" s="9" t="s">
        <v>105</v>
      </c>
      <c r="K6" s="9"/>
      <c r="L6" s="9" t="s">
        <v>116</v>
      </c>
      <c r="M6" s="9"/>
    </row>
    <row r="7" spans="1:13">
      <c r="C7" s="307"/>
      <c r="D7" s="307"/>
      <c r="E7" s="307"/>
      <c r="F7" s="307"/>
      <c r="G7" s="307" t="s">
        <v>724</v>
      </c>
      <c r="H7" s="307"/>
      <c r="I7" s="307"/>
      <c r="J7" s="307"/>
      <c r="K7" s="307"/>
      <c r="L7" s="7" t="s">
        <v>145</v>
      </c>
      <c r="M7" s="2" t="s">
        <v>95</v>
      </c>
    </row>
    <row r="8" spans="1:13"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2"/>
      <c r="M8" s="2"/>
    </row>
    <row r="9" spans="1:13">
      <c r="A9" s="10" t="s">
        <v>276</v>
      </c>
      <c r="B9" s="17">
        <v>628</v>
      </c>
      <c r="C9" s="17">
        <f>+'tab 10'!E6</f>
        <v>2302.7620000000002</v>
      </c>
      <c r="D9" s="17">
        <v>401</v>
      </c>
      <c r="E9" s="17">
        <f t="shared" ref="E9:E26" si="0">SUM(B9:D9)</f>
        <v>3331.7620000000002</v>
      </c>
      <c r="G9" s="121">
        <f>1.33*335.528</f>
        <v>446.25224000000003</v>
      </c>
      <c r="H9" s="17">
        <v>503</v>
      </c>
      <c r="I9" s="17">
        <v>1465</v>
      </c>
      <c r="J9" s="60">
        <f t="shared" ref="J9:J24" si="1">+K9-G9-H9-I9</f>
        <v>504.50975999999991</v>
      </c>
      <c r="K9" s="17">
        <f t="shared" ref="K9:K28" si="2">+E9-B10</f>
        <v>2918.7620000000002</v>
      </c>
      <c r="L9" s="195">
        <v>25.1</v>
      </c>
      <c r="M9" s="195">
        <f>+I9*0.7519/229.966</f>
        <v>4.789984171573189</v>
      </c>
    </row>
    <row r="10" spans="1:13">
      <c r="A10" s="10" t="s">
        <v>277</v>
      </c>
      <c r="B10" s="17">
        <v>413</v>
      </c>
      <c r="C10" s="17">
        <f>+'tab 10'!E7</f>
        <v>3981.85</v>
      </c>
      <c r="D10" s="17">
        <v>2</v>
      </c>
      <c r="E10" s="17">
        <f t="shared" si="0"/>
        <v>4396.8500000000004</v>
      </c>
      <c r="G10" s="121">
        <f>1.33*431.48</f>
        <v>573.86840000000007</v>
      </c>
      <c r="H10" s="17">
        <v>576</v>
      </c>
      <c r="I10" s="17">
        <v>1696</v>
      </c>
      <c r="J10" s="60">
        <f t="shared" si="1"/>
        <v>793.98160000000007</v>
      </c>
      <c r="K10" s="17">
        <f t="shared" si="2"/>
        <v>3639.8500000000004</v>
      </c>
      <c r="L10" s="195">
        <v>26.9</v>
      </c>
      <c r="M10" s="195">
        <f>+I10*0.7519/232.188</f>
        <v>5.4921977018622847</v>
      </c>
    </row>
    <row r="11" spans="1:13">
      <c r="A11" s="10" t="s">
        <v>278</v>
      </c>
      <c r="B11" s="17">
        <v>757</v>
      </c>
      <c r="C11" s="17">
        <f>+'tab 10'!E8</f>
        <v>3440.2550000000001</v>
      </c>
      <c r="D11" s="17">
        <v>2</v>
      </c>
      <c r="E11" s="17">
        <f t="shared" si="0"/>
        <v>4199.2550000000001</v>
      </c>
      <c r="G11" s="121">
        <f>1.33*256.436</f>
        <v>341.05987999999996</v>
      </c>
      <c r="H11" s="17">
        <v>681</v>
      </c>
      <c r="I11" s="17">
        <v>1849</v>
      </c>
      <c r="J11" s="60">
        <f t="shared" si="1"/>
        <v>464.19512000000032</v>
      </c>
      <c r="K11" s="17">
        <f t="shared" si="2"/>
        <v>3335.2550000000001</v>
      </c>
      <c r="L11" s="195">
        <v>25.1</v>
      </c>
      <c r="M11" s="195">
        <f>+I11*0.7519/234.307</f>
        <v>5.9335107359148473</v>
      </c>
    </row>
    <row r="12" spans="1:13">
      <c r="A12" s="10" t="s">
        <v>279</v>
      </c>
      <c r="B12" s="17">
        <v>864</v>
      </c>
      <c r="C12" s="17">
        <f>+'tab 10'!E9</f>
        <v>3295.53</v>
      </c>
      <c r="D12" s="17">
        <v>2</v>
      </c>
      <c r="E12" s="17">
        <f t="shared" si="0"/>
        <v>4161.5300000000007</v>
      </c>
      <c r="G12" s="121">
        <f>1.33*291.084</f>
        <v>387.14172000000002</v>
      </c>
      <c r="H12" s="17">
        <v>744</v>
      </c>
      <c r="I12" s="17">
        <v>1856</v>
      </c>
      <c r="J12" s="60">
        <f t="shared" si="1"/>
        <v>563.38828000000058</v>
      </c>
      <c r="K12" s="17">
        <f t="shared" si="2"/>
        <v>3550.5300000000007</v>
      </c>
      <c r="L12" s="195">
        <v>24.7</v>
      </c>
      <c r="M12" s="195">
        <f>+I12*0.7519/236.348</f>
        <v>5.9045407619273274</v>
      </c>
    </row>
    <row r="13" spans="1:13">
      <c r="A13" s="10" t="s">
        <v>280</v>
      </c>
      <c r="B13" s="17">
        <v>611</v>
      </c>
      <c r="C13" s="17">
        <f>+'tab 10'!E10</f>
        <v>4405.9449999999997</v>
      </c>
      <c r="D13" s="17">
        <v>2</v>
      </c>
      <c r="E13" s="17">
        <f t="shared" si="0"/>
        <v>5018.9449999999997</v>
      </c>
      <c r="G13" s="121">
        <f>1.33*470.264</f>
        <v>625.45112000000006</v>
      </c>
      <c r="H13" s="17">
        <v>860</v>
      </c>
      <c r="I13" s="17">
        <v>1911</v>
      </c>
      <c r="J13" s="60">
        <f t="shared" si="1"/>
        <v>198.49387999999954</v>
      </c>
      <c r="K13" s="17">
        <f t="shared" si="2"/>
        <v>3594.9449999999997</v>
      </c>
      <c r="L13" s="195">
        <v>27.9</v>
      </c>
      <c r="M13" s="195">
        <f>+I13*0.7519/238.466</f>
        <v>6.0255168451687036</v>
      </c>
    </row>
    <row r="14" spans="1:13">
      <c r="A14" s="10" t="s">
        <v>281</v>
      </c>
      <c r="B14" s="17">
        <v>1424</v>
      </c>
      <c r="C14" s="17">
        <f>+'tab 10'!E11</f>
        <v>4122.7870000000003</v>
      </c>
      <c r="D14" s="17">
        <v>2</v>
      </c>
      <c r="E14" s="17">
        <f t="shared" si="0"/>
        <v>5548.7870000000003</v>
      </c>
      <c r="G14" s="121">
        <f>1.33*610.897</f>
        <v>812.49301000000014</v>
      </c>
      <c r="H14" s="17">
        <v>1045.7</v>
      </c>
      <c r="I14" s="17">
        <v>2023</v>
      </c>
      <c r="J14" s="60">
        <f t="shared" si="1"/>
        <v>822.5939900000003</v>
      </c>
      <c r="K14" s="17">
        <f t="shared" si="2"/>
        <v>4703.7870000000003</v>
      </c>
      <c r="L14" s="195">
        <v>24.3</v>
      </c>
      <c r="M14" s="195">
        <f>+I14*0.7519/240.651</f>
        <v>6.3207453947833168</v>
      </c>
    </row>
    <row r="15" spans="1:13">
      <c r="A15" s="10" t="s">
        <v>282</v>
      </c>
      <c r="B15" s="17">
        <v>845</v>
      </c>
      <c r="C15" s="17">
        <f>+'tab 10'!E12</f>
        <v>3697.085</v>
      </c>
      <c r="D15" s="17">
        <v>2</v>
      </c>
      <c r="E15" s="17">
        <f t="shared" si="0"/>
        <v>4544.085</v>
      </c>
      <c r="G15" s="121">
        <f>1.33*386.388</f>
        <v>513.89603999999997</v>
      </c>
      <c r="H15" s="17">
        <v>664.86</v>
      </c>
      <c r="I15" s="17">
        <v>2073</v>
      </c>
      <c r="J15" s="60">
        <f t="shared" si="1"/>
        <v>289.32895999999982</v>
      </c>
      <c r="K15" s="17">
        <f t="shared" si="2"/>
        <v>3541.085</v>
      </c>
      <c r="L15" s="195">
        <v>29.2</v>
      </c>
      <c r="M15" s="195">
        <f>+I15*0.7519/242.804</f>
        <v>6.4195346864137326</v>
      </c>
    </row>
    <row r="16" spans="1:13">
      <c r="A16" s="10" t="s">
        <v>283</v>
      </c>
      <c r="B16" s="17">
        <v>1003</v>
      </c>
      <c r="C16" s="17">
        <f>+'tab 10'!E13</f>
        <v>3616.01</v>
      </c>
      <c r="D16" s="17">
        <f>784*1.33*2.2046*0.001</f>
        <v>2.2987805120000004</v>
      </c>
      <c r="E16" s="17">
        <f t="shared" si="0"/>
        <v>4621.3087805120003</v>
      </c>
      <c r="G16" s="121">
        <f>1.33*421.214</f>
        <v>560.21462000000008</v>
      </c>
      <c r="H16" s="17">
        <v>619.6</v>
      </c>
      <c r="I16" s="17">
        <v>2071.14</v>
      </c>
      <c r="J16" s="60">
        <f t="shared" si="1"/>
        <v>537.09616051200055</v>
      </c>
      <c r="K16" s="17">
        <f t="shared" si="2"/>
        <v>3788.0507805120005</v>
      </c>
      <c r="L16" s="195">
        <v>28</v>
      </c>
      <c r="M16" s="195">
        <f>+I16*0.7519/245.021</f>
        <v>6.3557416139841081</v>
      </c>
    </row>
    <row r="17" spans="1:13">
      <c r="A17" s="10" t="s">
        <v>284</v>
      </c>
      <c r="B17" s="17">
        <v>833.25800000000004</v>
      </c>
      <c r="C17" s="17">
        <f>+'tab 10'!E14</f>
        <v>3980.9169999999999</v>
      </c>
      <c r="D17" s="17">
        <f>877*1.33*2.2046*0.001</f>
        <v>2.5714674860000004</v>
      </c>
      <c r="E17" s="17">
        <f t="shared" si="0"/>
        <v>4816.7464674860003</v>
      </c>
      <c r="G17" s="122">
        <f>1.33*612.2</f>
        <v>814.22600000000011</v>
      </c>
      <c r="H17" s="17">
        <v>689.4</v>
      </c>
      <c r="I17" s="17">
        <v>2254.6909999999998</v>
      </c>
      <c r="J17" s="60">
        <f t="shared" si="1"/>
        <v>215.67846748600005</v>
      </c>
      <c r="K17" s="17">
        <f t="shared" si="2"/>
        <v>3973.9954674860001</v>
      </c>
      <c r="L17" s="195">
        <v>27.9</v>
      </c>
      <c r="M17" s="195">
        <f>+I17*0.7519/247.342</f>
        <v>6.8540812433796114</v>
      </c>
    </row>
    <row r="18" spans="1:13">
      <c r="A18" s="10" t="s">
        <v>9</v>
      </c>
      <c r="B18" s="17">
        <v>842.75099999999998</v>
      </c>
      <c r="C18" s="17">
        <f>+'tab 10'!E15</f>
        <v>3989.9949999999999</v>
      </c>
      <c r="D18" s="17">
        <f>1432*1.33*2.2046*0.001</f>
        <v>4.1987929760000009</v>
      </c>
      <c r="E18" s="17">
        <f t="shared" si="0"/>
        <v>4836.9447929759999</v>
      </c>
      <c r="G18" s="121">
        <f>1.33*469.351</f>
        <v>624.23683000000005</v>
      </c>
      <c r="H18" s="17">
        <v>990.46</v>
      </c>
      <c r="I18" s="17">
        <v>2312.4380000000001</v>
      </c>
      <c r="J18" s="60">
        <f t="shared" si="1"/>
        <v>208.80996297599995</v>
      </c>
      <c r="K18" s="17">
        <f t="shared" si="2"/>
        <v>4135.9447929759999</v>
      </c>
      <c r="L18" s="195">
        <v>28</v>
      </c>
      <c r="M18" s="195">
        <f>+I18*0.7519/250.132</f>
        <v>6.9512182855452318</v>
      </c>
    </row>
    <row r="19" spans="1:13">
      <c r="A19" s="10" t="s">
        <v>10</v>
      </c>
      <c r="B19" s="17">
        <v>701</v>
      </c>
      <c r="C19" s="17">
        <f>+'tab 10'!E16</f>
        <v>3603.65</v>
      </c>
      <c r="D19" s="17">
        <f>9335*1.33*2.2046*0.001</f>
        <v>27.371321530000007</v>
      </c>
      <c r="E19" s="17">
        <f t="shared" si="0"/>
        <v>4332.02132153</v>
      </c>
      <c r="G19" s="121">
        <f>1.33*517.712</f>
        <v>688.55696</v>
      </c>
      <c r="H19" s="17">
        <v>654.9</v>
      </c>
      <c r="I19" s="17">
        <v>2019.9680000000001</v>
      </c>
      <c r="J19" s="60">
        <f t="shared" si="1"/>
        <v>285.13636152999993</v>
      </c>
      <c r="K19" s="17">
        <f t="shared" si="2"/>
        <v>3648.56132153</v>
      </c>
      <c r="L19" s="195">
        <v>34.700000000000003</v>
      </c>
      <c r="M19" s="195">
        <f>+I19*0.7519/253.493</f>
        <v>5.9915419329133348</v>
      </c>
    </row>
    <row r="20" spans="1:13">
      <c r="A20" s="10" t="s">
        <v>11</v>
      </c>
      <c r="B20" s="17">
        <v>683.46</v>
      </c>
      <c r="C20" s="17">
        <f>+'tab 10'!E17</f>
        <v>4926.57</v>
      </c>
      <c r="D20" s="17">
        <f>1809*1.33*2.2046*0.001</f>
        <v>5.3042014620000009</v>
      </c>
      <c r="E20" s="17">
        <f t="shared" si="0"/>
        <v>5615.3342014619993</v>
      </c>
      <c r="G20" s="121">
        <f>1.33*828.986</f>
        <v>1102.5513800000001</v>
      </c>
      <c r="H20" s="17">
        <v>1001.8</v>
      </c>
      <c r="I20" s="17">
        <v>2207.2049999999999</v>
      </c>
      <c r="J20" s="60">
        <f t="shared" si="1"/>
        <v>248.77782146199934</v>
      </c>
      <c r="K20" s="17">
        <f t="shared" si="2"/>
        <v>4560.3342014619993</v>
      </c>
      <c r="L20" s="195">
        <v>28.3</v>
      </c>
      <c r="M20" s="195">
        <f>+I20*0.7519/256.894</f>
        <v>6.4602421212640238</v>
      </c>
    </row>
    <row r="21" spans="1:13">
      <c r="A21" s="10" t="s">
        <v>12</v>
      </c>
      <c r="B21" s="17">
        <v>1055</v>
      </c>
      <c r="C21" s="17">
        <f>+'tab 10'!E18</f>
        <v>4284.4160000000002</v>
      </c>
      <c r="D21" s="17">
        <f>645*1.33*2.2046*0.001</f>
        <v>1.89121611</v>
      </c>
      <c r="E21" s="17">
        <f t="shared" si="0"/>
        <v>5341.3072161099999</v>
      </c>
      <c r="G21" s="121">
        <f>1.33*669.942</f>
        <v>891.02286000000004</v>
      </c>
      <c r="H21" s="17">
        <v>951</v>
      </c>
      <c r="I21" s="17">
        <v>2121.8910000000001</v>
      </c>
      <c r="J21" s="60">
        <f t="shared" si="1"/>
        <v>27.297356109999782</v>
      </c>
      <c r="K21" s="17">
        <f t="shared" si="2"/>
        <v>3991.2112161099999</v>
      </c>
      <c r="L21" s="195">
        <v>30</v>
      </c>
      <c r="M21" s="195">
        <f>+I21*0.7519/260.255</f>
        <v>6.1303331075291547</v>
      </c>
    </row>
    <row r="22" spans="1:13">
      <c r="A22" s="10" t="s">
        <v>13</v>
      </c>
      <c r="B22" s="17">
        <v>1350.096</v>
      </c>
      <c r="C22" s="17">
        <f>+'tab 10'!E19</f>
        <v>3392.415</v>
      </c>
      <c r="D22" s="17">
        <f>1.42*1.33</f>
        <v>1.8886000000000001</v>
      </c>
      <c r="E22" s="17">
        <f t="shared" si="0"/>
        <v>4744.3996000000006</v>
      </c>
      <c r="G22" s="121">
        <f>1.33*503.674</f>
        <v>669.88642000000004</v>
      </c>
      <c r="H22" s="17">
        <v>532.54999999999995</v>
      </c>
      <c r="I22" s="17">
        <v>2088.0729999999999</v>
      </c>
      <c r="J22" s="60">
        <f t="shared" si="1"/>
        <v>392.92518000000064</v>
      </c>
      <c r="K22" s="17">
        <f t="shared" si="2"/>
        <v>3683.4346000000005</v>
      </c>
      <c r="L22" s="195">
        <v>30.4</v>
      </c>
      <c r="M22" s="195">
        <f>+I22*0.7519/263.436</f>
        <v>5.9597856356002969</v>
      </c>
    </row>
    <row r="23" spans="1:13">
      <c r="A23" s="10" t="s">
        <v>14</v>
      </c>
      <c r="B23" s="17">
        <v>1060.9649999999999</v>
      </c>
      <c r="C23" s="17">
        <f>+'tab 10'!E20</f>
        <v>4247.4549999999999</v>
      </c>
      <c r="D23" s="17">
        <f>55.385*1.33</f>
        <v>73.662050000000008</v>
      </c>
      <c r="E23" s="17">
        <f t="shared" si="0"/>
        <v>5382.08205</v>
      </c>
      <c r="G23" s="121">
        <f>1.33*738.221</f>
        <v>981.83393000000001</v>
      </c>
      <c r="H23" s="17">
        <v>878.1</v>
      </c>
      <c r="I23" s="17">
        <v>2009.231</v>
      </c>
      <c r="J23" s="60">
        <f t="shared" si="1"/>
        <v>315.09012000000007</v>
      </c>
      <c r="K23" s="17">
        <f t="shared" si="2"/>
        <v>4184.2550499999998</v>
      </c>
      <c r="L23" s="195">
        <v>28.9</v>
      </c>
      <c r="M23" s="195">
        <f>+I23*0.7519/266.557</f>
        <v>5.6676087624785696</v>
      </c>
    </row>
    <row r="24" spans="1:13">
      <c r="A24" s="10" t="s">
        <v>15</v>
      </c>
      <c r="B24" s="17">
        <v>1197.827</v>
      </c>
      <c r="C24" s="17">
        <f>+'tab 10'!E21</f>
        <v>3461.4749999999999</v>
      </c>
      <c r="D24" s="17">
        <f>114.788*1.33</f>
        <v>152.66803999999999</v>
      </c>
      <c r="E24" s="17">
        <f t="shared" si="0"/>
        <v>4811.9700399999992</v>
      </c>
      <c r="G24" s="121">
        <f>1.33*751.281</f>
        <v>999.20372999999995</v>
      </c>
      <c r="H24" s="17">
        <v>826</v>
      </c>
      <c r="I24" s="17">
        <v>1992.854</v>
      </c>
      <c r="J24" s="60">
        <f t="shared" si="1"/>
        <v>236.37030999999956</v>
      </c>
      <c r="K24" s="17">
        <f t="shared" si="2"/>
        <v>4054.4280399999993</v>
      </c>
      <c r="L24" s="195">
        <v>29.3</v>
      </c>
      <c r="M24" s="195">
        <f>+I24*0.7519/269.667</f>
        <v>5.5565824613319403</v>
      </c>
    </row>
    <row r="25" spans="1:13">
      <c r="A25" s="10" t="s">
        <v>16</v>
      </c>
      <c r="B25" s="17">
        <v>757.54200000000003</v>
      </c>
      <c r="C25" s="17">
        <f>+'tab 10'!E22</f>
        <v>3661.2049999999999</v>
      </c>
      <c r="D25" s="17">
        <v>126.74235</v>
      </c>
      <c r="E25" s="17">
        <f>SUM(B25:D25)</f>
        <v>4545.4893500000007</v>
      </c>
      <c r="G25" s="121">
        <f>1.33*520.413</f>
        <v>692.14929000000006</v>
      </c>
      <c r="H25" s="17">
        <v>668.48</v>
      </c>
      <c r="I25" s="17">
        <v>2029.4690000000001</v>
      </c>
      <c r="J25" s="60">
        <f t="shared" ref="J25:J33" si="3">+K25-G25-H25-I25</f>
        <v>360.76706000000058</v>
      </c>
      <c r="K25" s="17">
        <f t="shared" si="2"/>
        <v>3750.8653500000009</v>
      </c>
      <c r="L25" s="195">
        <v>28.1</v>
      </c>
      <c r="M25" s="195">
        <f>+I25*0.7519/272.912</f>
        <v>5.5913911484287979</v>
      </c>
    </row>
    <row r="26" spans="1:13">
      <c r="A26" s="10" t="s">
        <v>17</v>
      </c>
      <c r="B26" s="17">
        <v>794.62400000000002</v>
      </c>
      <c r="C26" s="17">
        <f>+'tab 10'!E23</f>
        <v>3539.38</v>
      </c>
      <c r="D26" s="17">
        <v>141.29300000000001</v>
      </c>
      <c r="E26" s="17">
        <f t="shared" si="0"/>
        <v>4475.2969999999996</v>
      </c>
      <c r="G26" s="121">
        <f>1.33*409.249</f>
        <v>544.30117000000007</v>
      </c>
      <c r="H26" s="17">
        <v>681.9</v>
      </c>
      <c r="I26" s="17">
        <v>2098.5039999999999</v>
      </c>
      <c r="J26" s="60">
        <f t="shared" si="3"/>
        <v>302.10682999999926</v>
      </c>
      <c r="K26" s="17">
        <f t="shared" si="2"/>
        <v>3626.8119999999994</v>
      </c>
      <c r="L26" s="195">
        <v>28.3</v>
      </c>
      <c r="M26" s="195">
        <f>+I26*0.7519/276.115</f>
        <v>5.7145216942216104</v>
      </c>
    </row>
    <row r="27" spans="1:13">
      <c r="A27" s="10" t="s">
        <v>18</v>
      </c>
      <c r="B27" s="17">
        <v>848.48500000000001</v>
      </c>
      <c r="C27" s="17">
        <f>+'tab 10'!E24</f>
        <v>3963.44</v>
      </c>
      <c r="D27" s="17">
        <f>52.909*1.333*2.204622</f>
        <v>155.48691241553402</v>
      </c>
      <c r="E27" s="17">
        <f t="shared" ref="E27:E33" si="4">SUM(B27:D27)</f>
        <v>4967.4119124155341</v>
      </c>
      <c r="G27" s="121">
        <f>1.33*345.825</f>
        <v>459.94725</v>
      </c>
      <c r="H27" s="17">
        <v>562.1</v>
      </c>
      <c r="I27" s="17">
        <v>2152.8000000000002</v>
      </c>
      <c r="J27" s="60">
        <f t="shared" si="3"/>
        <v>400.83966241553389</v>
      </c>
      <c r="K27" s="17">
        <f t="shared" si="2"/>
        <v>3575.6869124155342</v>
      </c>
      <c r="L27" s="195">
        <v>28.4</v>
      </c>
      <c r="M27" s="195">
        <f>+I27*0.7519/279.295</f>
        <v>5.7956294240856447</v>
      </c>
    </row>
    <row r="28" spans="1:13">
      <c r="A28" s="10" t="s">
        <v>19</v>
      </c>
      <c r="B28" s="17">
        <v>1391.7249999999999</v>
      </c>
      <c r="C28" s="17">
        <f>+'tab 10'!E25</f>
        <v>3829.49</v>
      </c>
      <c r="D28" s="17">
        <f>61.3085*1.333*2.204622</f>
        <v>180.17103649337102</v>
      </c>
      <c r="E28" s="17">
        <f t="shared" si="4"/>
        <v>5401.3860364933707</v>
      </c>
      <c r="G28" s="121">
        <f>1.33*536.164</f>
        <v>713.09811999999999</v>
      </c>
      <c r="H28" s="17">
        <v>742.6</v>
      </c>
      <c r="I28" s="17">
        <v>2233.3944012000002</v>
      </c>
      <c r="J28" s="60">
        <f t="shared" si="3"/>
        <v>478.87751529337038</v>
      </c>
      <c r="K28" s="17">
        <f t="shared" si="2"/>
        <v>4167.9700364933706</v>
      </c>
      <c r="L28" s="195">
        <v>25.4</v>
      </c>
      <c r="M28" s="195">
        <f>+I28*0.7519/282.385</f>
        <v>5.9468075509049001</v>
      </c>
    </row>
    <row r="29" spans="1:13">
      <c r="A29" s="71" t="s">
        <v>392</v>
      </c>
      <c r="B29" s="77">
        <v>1233.4159999999999</v>
      </c>
      <c r="C29" s="17">
        <f>+'tab 10'!E26</f>
        <v>3265.5050000000001</v>
      </c>
      <c r="D29" s="17">
        <f>73.373*1.333*2.204622</f>
        <v>215.62572009799803</v>
      </c>
      <c r="E29" s="77">
        <f t="shared" si="4"/>
        <v>4714.5467200979983</v>
      </c>
      <c r="F29" s="41"/>
      <c r="G29" s="121">
        <f>1.33*411.558</f>
        <v>547.37214000000006</v>
      </c>
      <c r="H29" s="77">
        <v>527.20000000000005</v>
      </c>
      <c r="I29" s="77">
        <v>2183.6</v>
      </c>
      <c r="J29" s="60">
        <f t="shared" si="3"/>
        <v>359.8045800979985</v>
      </c>
      <c r="K29" s="17">
        <f t="shared" ref="K29:K45" si="5">+E29-B30</f>
        <v>3617.9767200979986</v>
      </c>
      <c r="L29" s="195">
        <v>27.4</v>
      </c>
      <c r="M29" s="195">
        <f>+I29*0.7519/285.309</f>
        <v>5.7546338881703685</v>
      </c>
    </row>
    <row r="30" spans="1:13">
      <c r="A30" s="71" t="s">
        <v>396</v>
      </c>
      <c r="B30" s="77">
        <v>1096.57</v>
      </c>
      <c r="C30" s="17">
        <f>+'tab 10'!E27</f>
        <v>4276.7039999999997</v>
      </c>
      <c r="D30" s="17">
        <f>1.333*2.204622*69.0115</f>
        <v>202.808313446949</v>
      </c>
      <c r="E30" s="77">
        <f t="shared" si="4"/>
        <v>5576.0823134469483</v>
      </c>
      <c r="F30" s="41"/>
      <c r="G30" s="121">
        <f>1.33*521.173</f>
        <v>693.16009000000008</v>
      </c>
      <c r="H30" s="77">
        <v>699.7</v>
      </c>
      <c r="I30" s="77">
        <v>2225.1</v>
      </c>
      <c r="J30" s="60">
        <f t="shared" si="3"/>
        <v>481.71322344694863</v>
      </c>
      <c r="K30" s="17">
        <f t="shared" si="5"/>
        <v>4099.6733134469487</v>
      </c>
      <c r="L30" s="195">
        <v>23.4</v>
      </c>
      <c r="M30" s="195">
        <f>+I30*0.7519/288.105</f>
        <v>5.8070935596397142</v>
      </c>
    </row>
    <row r="31" spans="1:13">
      <c r="A31" s="71" t="s">
        <v>409</v>
      </c>
      <c r="B31" s="77">
        <v>1476.4090000000001</v>
      </c>
      <c r="C31" s="17">
        <f>+'tab 10'!E28</f>
        <v>3321.04</v>
      </c>
      <c r="D31" s="17">
        <f>1.333*2.204622*25.6475</f>
        <v>75.371875979085004</v>
      </c>
      <c r="E31" s="77">
        <f t="shared" si="4"/>
        <v>4872.8208759790859</v>
      </c>
      <c r="F31" s="41"/>
      <c r="G31" s="121">
        <f>1.33*644.194</f>
        <v>856.77801999999997</v>
      </c>
      <c r="H31" s="77">
        <v>489.9</v>
      </c>
      <c r="I31" s="77">
        <v>2241.1999999999998</v>
      </c>
      <c r="J31" s="60">
        <f t="shared" si="3"/>
        <v>409.81985597908579</v>
      </c>
      <c r="K31" s="17">
        <f t="shared" si="5"/>
        <v>3997.6978759790859</v>
      </c>
      <c r="L31" s="195">
        <v>18.239999999999998</v>
      </c>
      <c r="M31" s="195">
        <f>+I31*0.7519/290.82</f>
        <v>5.7945061550099712</v>
      </c>
    </row>
    <row r="32" spans="1:13">
      <c r="A32" s="71" t="s">
        <v>420</v>
      </c>
      <c r="B32" s="121">
        <v>875.12300000000005</v>
      </c>
      <c r="C32" s="17">
        <f>+'tab 10'!E29</f>
        <v>4144.1499999999996</v>
      </c>
      <c r="D32" s="17">
        <f>1.333*2.204622*12.9604</f>
        <v>38.0875196974104</v>
      </c>
      <c r="E32" s="121">
        <f t="shared" si="4"/>
        <v>5057.3605196974095</v>
      </c>
      <c r="F32" s="123"/>
      <c r="G32" s="121">
        <f>1.33*402.958</f>
        <v>535.93414000000007</v>
      </c>
      <c r="H32" s="121">
        <v>515.9</v>
      </c>
      <c r="I32" s="121">
        <v>2455.9</v>
      </c>
      <c r="J32" s="106">
        <f t="shared" si="3"/>
        <v>428.71037969740883</v>
      </c>
      <c r="K32" s="122">
        <f t="shared" si="5"/>
        <v>3936.4445196974093</v>
      </c>
      <c r="L32" s="195">
        <v>19.25</v>
      </c>
      <c r="M32" s="195">
        <f>+I32*0.7519/293.463</f>
        <v>6.2924157730276047</v>
      </c>
    </row>
    <row r="33" spans="1:13">
      <c r="A33" s="71" t="s">
        <v>422</v>
      </c>
      <c r="B33" s="121">
        <v>1120.9159999999999</v>
      </c>
      <c r="C33" s="17">
        <f>+'tab 10'!E30</f>
        <v>4288.2</v>
      </c>
      <c r="D33" s="17">
        <f>1.333*2.204622*12.5438</f>
        <v>36.863231812318801</v>
      </c>
      <c r="E33" s="121">
        <f t="shared" si="4"/>
        <v>5445.9792318123191</v>
      </c>
      <c r="F33" s="123"/>
      <c r="G33" s="121">
        <f>1.33*295.769</f>
        <v>393.37277</v>
      </c>
      <c r="H33" s="121">
        <v>491</v>
      </c>
      <c r="I33" s="121">
        <v>2600</v>
      </c>
      <c r="J33" s="106">
        <f t="shared" si="3"/>
        <v>547.03146181231932</v>
      </c>
      <c r="K33" s="122">
        <f t="shared" si="5"/>
        <v>4031.4042318123193</v>
      </c>
      <c r="L33" s="195">
        <v>18.899999999999999</v>
      </c>
      <c r="M33" s="195">
        <f>+I33*0.7519/296.186</f>
        <v>6.600379491265624</v>
      </c>
    </row>
    <row r="34" spans="1:13">
      <c r="A34" s="71" t="s">
        <v>448</v>
      </c>
      <c r="B34" s="121">
        <v>1414.575</v>
      </c>
      <c r="C34" s="17">
        <f>+'tab 10'!E31</f>
        <v>4869.8599999999997</v>
      </c>
      <c r="D34" s="17">
        <f>1.333*2.204622*10.9229</f>
        <v>32.0997939031854</v>
      </c>
      <c r="E34" s="121">
        <f t="shared" ref="E34:E39" si="6">SUM(B34:D34)</f>
        <v>6316.5347939031853</v>
      </c>
      <c r="F34" s="123"/>
      <c r="G34" s="121">
        <f>1.33*407.817</f>
        <v>542.39661000000001</v>
      </c>
      <c r="H34" s="121">
        <v>491</v>
      </c>
      <c r="I34" s="121">
        <v>2616</v>
      </c>
      <c r="J34" s="106">
        <f t="shared" ref="J34:J39" si="7">+K34-G34-H34-I34</f>
        <v>500.50818390318545</v>
      </c>
      <c r="K34" s="122">
        <f t="shared" si="5"/>
        <v>4149.9047939031852</v>
      </c>
      <c r="L34" s="195">
        <v>17.3</v>
      </c>
      <c r="M34" s="195">
        <f>+I34*0.7519/298.996</f>
        <v>6.5785843288873433</v>
      </c>
    </row>
    <row r="35" spans="1:13">
      <c r="A35" s="71" t="s">
        <v>463</v>
      </c>
      <c r="B35" s="121">
        <v>2166.63</v>
      </c>
      <c r="C35" s="17">
        <f>+'tab 10'!E32</f>
        <v>3464.25</v>
      </c>
      <c r="D35" s="122">
        <f>1.333*2.204622*20.7441</f>
        <v>60.961954673856603</v>
      </c>
      <c r="E35" s="121">
        <f t="shared" si="6"/>
        <v>5691.8419546738569</v>
      </c>
      <c r="F35" s="123"/>
      <c r="G35" s="121">
        <f>1.33*385.375</f>
        <v>512.54875000000004</v>
      </c>
      <c r="H35" s="121">
        <f>1.333*2.204622*(207.4113-0.25*8.8906)</f>
        <v>603.00042811642004</v>
      </c>
      <c r="I35" s="121">
        <v>2585.4</v>
      </c>
      <c r="J35" s="106">
        <f t="shared" si="7"/>
        <v>470.77177655743662</v>
      </c>
      <c r="K35" s="122">
        <f t="shared" si="5"/>
        <v>4171.7209546738568</v>
      </c>
      <c r="L35" s="195">
        <v>17.7</v>
      </c>
      <c r="M35" s="195">
        <f>+I35*0.7519/302.004</f>
        <v>6.4368758691937851</v>
      </c>
    </row>
    <row r="36" spans="1:13">
      <c r="A36" s="71" t="s">
        <v>479</v>
      </c>
      <c r="B36" s="121">
        <v>1520.1210000000001</v>
      </c>
      <c r="C36" s="17">
        <f>+'tab 10'!E33</f>
        <v>3672.25</v>
      </c>
      <c r="D36" s="122">
        <f>1.333*2.204622*24.8198</f>
        <v>72.939463395094805</v>
      </c>
      <c r="E36" s="121">
        <f t="shared" si="6"/>
        <v>5265.3104633950952</v>
      </c>
      <c r="F36" s="123"/>
      <c r="G36" s="121">
        <f>1.33*372.98</f>
        <v>496.06340000000006</v>
      </c>
      <c r="H36" s="121">
        <f>1.333*2.204622*(261.6465-0.25*25.5479)</f>
        <v>750.14676911122513</v>
      </c>
      <c r="I36" s="121">
        <v>2516.5300000000002</v>
      </c>
      <c r="J36" s="106">
        <f t="shared" si="7"/>
        <v>471.26329428386998</v>
      </c>
      <c r="K36" s="122">
        <f t="shared" si="5"/>
        <v>4234.0034633950954</v>
      </c>
      <c r="L36" s="195">
        <v>20.5</v>
      </c>
      <c r="M36" s="195">
        <f>+I36*0.7519/304.798</f>
        <v>6.2079767813437101</v>
      </c>
    </row>
    <row r="37" spans="1:13">
      <c r="A37" s="71" t="s">
        <v>477</v>
      </c>
      <c r="B37" s="121">
        <v>1031.307</v>
      </c>
      <c r="C37" s="17">
        <f>+'tab 10'!E34</f>
        <v>5162.3999999999996</v>
      </c>
      <c r="D37" s="122">
        <f>1.333*2.204622*29.1919</f>
        <v>85.788020914079411</v>
      </c>
      <c r="E37" s="121">
        <f t="shared" si="6"/>
        <v>6279.4950209140789</v>
      </c>
      <c r="F37" s="123"/>
      <c r="G37" s="121">
        <f>1.33*334.296</f>
        <v>444.61367999999999</v>
      </c>
      <c r="H37" s="121">
        <f>1.333*2.204622*(254.8416-0.25*30.432)</f>
        <v>726.5604927210336</v>
      </c>
      <c r="I37" s="121">
        <v>2571.317</v>
      </c>
      <c r="J37" s="106">
        <f t="shared" si="7"/>
        <v>406.90384819304472</v>
      </c>
      <c r="K37" s="122">
        <f t="shared" si="5"/>
        <v>4149.3950209140785</v>
      </c>
      <c r="L37" s="195">
        <v>23</v>
      </c>
      <c r="M37" s="195">
        <f>+I37*0.7519/307.439</f>
        <v>6.2886401930138982</v>
      </c>
    </row>
    <row r="38" spans="1:13">
      <c r="A38" s="127" t="s">
        <v>483</v>
      </c>
      <c r="B38" s="121">
        <v>2130.1</v>
      </c>
      <c r="C38" s="17">
        <f>+'tab 10'!E35</f>
        <v>3691.65</v>
      </c>
      <c r="D38" s="122">
        <f>1.333*2.204622*24.4907</f>
        <v>71.972317108528202</v>
      </c>
      <c r="E38" s="121">
        <f t="shared" si="6"/>
        <v>5893.7223171085279</v>
      </c>
      <c r="F38" s="123"/>
      <c r="G38" s="121">
        <f>1.33*326.779</f>
        <v>434.61607000000004</v>
      </c>
      <c r="H38" s="121">
        <f>1.333*2.204622*(207.8168-0.25*25.1427)</f>
        <v>592.25183582904674</v>
      </c>
      <c r="I38" s="121">
        <v>2674.875</v>
      </c>
      <c r="J38" s="106">
        <f t="shared" si="7"/>
        <v>363.23141127948111</v>
      </c>
      <c r="K38" s="122">
        <f t="shared" si="5"/>
        <v>4064.9743171085279</v>
      </c>
      <c r="L38" s="195">
        <v>21.7</v>
      </c>
      <c r="M38" s="195">
        <f>+I38*0.7519/309.348193</f>
        <v>6.5015363205952204</v>
      </c>
    </row>
    <row r="39" spans="1:13">
      <c r="A39" s="127" t="s">
        <v>487</v>
      </c>
      <c r="B39" s="121">
        <v>1828.748</v>
      </c>
      <c r="C39" s="17">
        <f>+'tab 10'!E36</f>
        <v>4156.84</v>
      </c>
      <c r="D39" s="122">
        <f>1.333*2.204622*21.9793</f>
        <v>64.591912416691798</v>
      </c>
      <c r="E39" s="121">
        <f t="shared" si="6"/>
        <v>6050.1799124166919</v>
      </c>
      <c r="F39" s="123"/>
      <c r="G39" s="121">
        <f>1.33*441.017</f>
        <v>586.55261000000007</v>
      </c>
      <c r="H39" s="121">
        <f>1.3333*2.204622*(215.1149-0.25*35.6944)</f>
        <v>606.08334912226042</v>
      </c>
      <c r="I39" s="121">
        <v>2839.9</v>
      </c>
      <c r="J39" s="106">
        <f t="shared" si="7"/>
        <v>501.70495329443065</v>
      </c>
      <c r="K39" s="122">
        <f t="shared" si="5"/>
        <v>4534.2409124166916</v>
      </c>
      <c r="L39" s="195">
        <v>22.5</v>
      </c>
      <c r="M39" s="195">
        <f>+I39*0.7519/311.663358</f>
        <v>6.8513694510087388</v>
      </c>
    </row>
    <row r="40" spans="1:13">
      <c r="A40" s="127" t="s">
        <v>517</v>
      </c>
      <c r="B40" s="121">
        <v>1515.9390000000001</v>
      </c>
      <c r="C40" s="17">
        <f>+'tab 10'!E37</f>
        <v>3658.59</v>
      </c>
      <c r="D40" s="122">
        <f>1.333*2.204622*86.3958</f>
        <v>253.8966184896708</v>
      </c>
      <c r="E40" s="121">
        <f t="shared" ref="E40:E45" si="8">SUM(B40:D40)</f>
        <v>5428.4256184896713</v>
      </c>
      <c r="F40" s="123"/>
      <c r="G40" s="121">
        <f>1.333*453.835</f>
        <v>604.96205499999996</v>
      </c>
      <c r="H40" s="121">
        <f>1.3333*2.204622*(193.39119-0.25*(16.8492+13.4595))</f>
        <v>546.18589884759399</v>
      </c>
      <c r="I40" s="121">
        <v>2805</v>
      </c>
      <c r="J40" s="106">
        <f t="shared" ref="J40:J45" si="9">+K40-G40-H40-I40</f>
        <v>468.94666464207694</v>
      </c>
      <c r="K40" s="122">
        <f t="shared" si="5"/>
        <v>4425.0946184896711</v>
      </c>
      <c r="L40" s="195">
        <v>31.8</v>
      </c>
      <c r="M40" s="195">
        <f>+I40*0.7519/313.998379</f>
        <v>6.7168483694624417</v>
      </c>
    </row>
    <row r="41" spans="1:13">
      <c r="A41" s="127" t="s">
        <v>506</v>
      </c>
      <c r="B41" s="121">
        <v>1003.331</v>
      </c>
      <c r="C41" s="17">
        <f>+'tab 10'!E38</f>
        <v>6753.88</v>
      </c>
      <c r="D41" s="122">
        <f>1.333*2.204622*40.4468</f>
        <v>118.86348351109682</v>
      </c>
      <c r="E41" s="121">
        <f t="shared" si="8"/>
        <v>7876.0744835110972</v>
      </c>
      <c r="F41" s="123"/>
      <c r="G41" s="121">
        <f>1.333*493.205</f>
        <v>657.44226499999991</v>
      </c>
      <c r="H41" s="121">
        <f>1.3333*2.204622*(428.7709-0.25*(88.4582))</f>
        <v>1195.3348300817449</v>
      </c>
      <c r="I41" s="121">
        <v>2734.8359999999998</v>
      </c>
      <c r="J41" s="106">
        <f t="shared" si="9"/>
        <v>517.71238842935281</v>
      </c>
      <c r="K41" s="122">
        <f t="shared" si="5"/>
        <v>5105.3254835110974</v>
      </c>
      <c r="L41" s="195">
        <v>30.1</v>
      </c>
      <c r="M41" s="195">
        <f>+I41*0.7519/316.204908</f>
        <v>6.5031349494423401</v>
      </c>
    </row>
    <row r="42" spans="1:13">
      <c r="A42" s="127" t="s">
        <v>573</v>
      </c>
      <c r="B42" s="121">
        <v>2770.7489999999998</v>
      </c>
      <c r="C42" s="17">
        <f>+'tab 10'!E39</f>
        <v>4173.17</v>
      </c>
      <c r="D42" s="122">
        <f>1.333*2.204622*29.8644</f>
        <v>87.764337771314402</v>
      </c>
      <c r="E42" s="121">
        <f t="shared" si="8"/>
        <v>7031.6833377713147</v>
      </c>
      <c r="F42" s="123"/>
      <c r="G42" s="121">
        <f>1.333*497.272</f>
        <v>662.86357599999997</v>
      </c>
      <c r="H42" s="121">
        <f>1.3333*2.204622*(389.1268-0.25*65.2604)</f>
        <v>1095.8511039406771</v>
      </c>
      <c r="I42" s="121">
        <v>2885.9</v>
      </c>
      <c r="J42" s="106">
        <f t="shared" si="9"/>
        <v>529.29165783063763</v>
      </c>
      <c r="K42" s="122">
        <f t="shared" si="5"/>
        <v>5173.9063377713146</v>
      </c>
      <c r="L42" s="195">
        <v>24.9</v>
      </c>
      <c r="M42" s="195">
        <f>+I42*0.7519/318.563456</f>
        <v>6.8115415284796512</v>
      </c>
    </row>
    <row r="43" spans="1:13">
      <c r="A43" s="127" t="s">
        <v>576</v>
      </c>
      <c r="B43" s="121">
        <v>1857.777</v>
      </c>
      <c r="C43" s="17">
        <f>+'tab 10'!E40</f>
        <v>5188.665</v>
      </c>
      <c r="D43" s="122">
        <f>1.333*2.204622*30.5055</f>
        <v>89.648377529193013</v>
      </c>
      <c r="E43" s="121">
        <f t="shared" si="8"/>
        <v>7136.0903775291927</v>
      </c>
      <c r="F43" s="123"/>
      <c r="G43" s="121">
        <f>1.333*506.677</f>
        <v>675.400441</v>
      </c>
      <c r="H43" s="121">
        <f>1.3333*2.204622*(386.8707-0.25*76.6261)</f>
        <v>1080.867324197136</v>
      </c>
      <c r="I43" s="235">
        <v>2945.4870000000001</v>
      </c>
      <c r="J43" s="106">
        <f t="shared" si="9"/>
        <v>333.318612332057</v>
      </c>
      <c r="K43" s="122">
        <f t="shared" si="5"/>
        <v>5035.0733775291928</v>
      </c>
      <c r="L43" s="236">
        <v>22</v>
      </c>
      <c r="M43" s="236">
        <f>+I43*0.7519/320.896618</f>
        <v>6.9016360755163833</v>
      </c>
    </row>
    <row r="44" spans="1:13">
      <c r="A44" s="127" t="s">
        <v>585</v>
      </c>
      <c r="B44" s="121">
        <v>2101.0169999999998</v>
      </c>
      <c r="C44" s="17">
        <f>+'tab 10'!E41</f>
        <v>6001.357</v>
      </c>
      <c r="D44" s="122">
        <v>94.433562270658811</v>
      </c>
      <c r="E44" s="121">
        <f t="shared" si="8"/>
        <v>8196.8075622706583</v>
      </c>
      <c r="F44" s="123"/>
      <c r="G44" s="121">
        <f>1.333*531.77</f>
        <v>708.84940999999992</v>
      </c>
      <c r="H44" s="121">
        <v>1544.4201332791811</v>
      </c>
      <c r="I44" s="235">
        <v>3144</v>
      </c>
      <c r="J44" s="106">
        <f t="shared" si="9"/>
        <v>1008.6330189914779</v>
      </c>
      <c r="K44" s="122">
        <f t="shared" si="5"/>
        <v>6405.9025622706586</v>
      </c>
      <c r="L44" s="236">
        <v>19.3</v>
      </c>
      <c r="M44" s="236">
        <f>+I44*0.7519/323.345274</f>
        <v>7.3109885626471227</v>
      </c>
    </row>
    <row r="45" spans="1:13">
      <c r="A45" s="127" t="s">
        <v>578</v>
      </c>
      <c r="B45" s="121">
        <v>1790.905</v>
      </c>
      <c r="C45" s="17">
        <f>+'tab 10'!E42</f>
        <v>5581.57</v>
      </c>
      <c r="D45" s="284">
        <v>161.91809726367242</v>
      </c>
      <c r="E45" s="121">
        <f t="shared" si="8"/>
        <v>7534.3930972636717</v>
      </c>
      <c r="F45" s="123"/>
      <c r="G45" s="121">
        <f>1.333*659.966</f>
        <v>879.73467800000003</v>
      </c>
      <c r="H45" s="235">
        <v>1327.4379157296373</v>
      </c>
      <c r="I45" s="235">
        <v>3092</v>
      </c>
      <c r="J45" s="106">
        <f t="shared" si="9"/>
        <v>793.62850353403428</v>
      </c>
      <c r="K45" s="122">
        <f t="shared" si="5"/>
        <v>6092.8010972636712</v>
      </c>
      <c r="L45" s="236">
        <v>19.7</v>
      </c>
      <c r="M45" s="236">
        <f>+I45*0.7519/325.344115</f>
        <v>7.1458947397895924</v>
      </c>
    </row>
    <row r="46" spans="1:13">
      <c r="A46" s="150" t="s">
        <v>664</v>
      </c>
      <c r="B46" s="283">
        <v>1441.5920000000001</v>
      </c>
      <c r="C46" s="18">
        <f>+'tab 10'!E43</f>
        <v>7233.6</v>
      </c>
      <c r="D46" s="283">
        <v>125</v>
      </c>
      <c r="E46" s="125">
        <f>SUM(B46:D46)</f>
        <v>8800.1920000000009</v>
      </c>
      <c r="F46" s="126"/>
      <c r="G46" s="283">
        <v>800</v>
      </c>
      <c r="H46" s="283">
        <v>1400</v>
      </c>
      <c r="I46" s="283">
        <v>3172</v>
      </c>
      <c r="J46" s="108">
        <f>+K46-G46-H46-I46</f>
        <v>888.19200000000092</v>
      </c>
      <c r="K46" s="125">
        <f>+E46-2540</f>
        <v>6260.1920000000009</v>
      </c>
      <c r="L46" s="355" t="s">
        <v>735</v>
      </c>
      <c r="M46" s="266">
        <f>+I46*0.7519/327.848911</f>
        <v>7.2747742023154078</v>
      </c>
    </row>
    <row r="47" spans="1:13" ht="13.25" customHeight="1">
      <c r="A47" s="158" t="s">
        <v>501</v>
      </c>
    </row>
    <row r="48" spans="1:13" ht="13.25" customHeight="1">
      <c r="A48" s="117" t="s">
        <v>608</v>
      </c>
    </row>
    <row r="49" spans="1:13" ht="13.25" customHeight="1">
      <c r="A49" s="168" t="s">
        <v>609</v>
      </c>
    </row>
    <row r="50" spans="1:13" ht="13.25" customHeight="1">
      <c r="K50" s="305"/>
      <c r="L50" s="305"/>
      <c r="M50" s="305" t="s">
        <v>679</v>
      </c>
    </row>
    <row r="51" spans="1:13">
      <c r="G51" s="121"/>
    </row>
    <row r="52" spans="1:13">
      <c r="G52" s="121"/>
    </row>
    <row r="53" spans="1:13">
      <c r="G53" s="121"/>
    </row>
    <row r="54" spans="1:13">
      <c r="G54" s="121"/>
    </row>
    <row r="55" spans="1:13">
      <c r="G55" s="121"/>
    </row>
    <row r="56" spans="1:13">
      <c r="G56" s="121"/>
    </row>
  </sheetData>
  <phoneticPr fontId="0" type="noConversion"/>
  <pageMargins left="0.7" right="0.7" top="0.75" bottom="0.75" header="0.3" footer="0.3"/>
  <pageSetup scale="92" firstPageNumber="3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46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7">
      <c r="A1" s="126" t="s">
        <v>697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61</v>
      </c>
      <c r="O1" s="1"/>
      <c r="P1" s="1" t="s">
        <v>61</v>
      </c>
    </row>
    <row r="2" spans="1:17">
      <c r="A2" t="s">
        <v>120</v>
      </c>
      <c r="B2" s="318"/>
      <c r="C2" s="318"/>
      <c r="D2" s="306" t="s">
        <v>127</v>
      </c>
      <c r="E2" s="306"/>
      <c r="F2" s="306"/>
      <c r="H2" s="314"/>
      <c r="I2" s="213" t="s">
        <v>126</v>
      </c>
      <c r="J2" s="314"/>
      <c r="K2" s="314"/>
      <c r="M2" s="3"/>
      <c r="N2" s="306" t="s">
        <v>125</v>
      </c>
      <c r="O2" s="306"/>
      <c r="P2" s="7" t="s">
        <v>137</v>
      </c>
    </row>
    <row r="3" spans="1:17">
      <c r="A3" s="1" t="s">
        <v>121</v>
      </c>
      <c r="B3" s="9" t="s">
        <v>128</v>
      </c>
      <c r="C3" s="9" t="s">
        <v>129</v>
      </c>
      <c r="D3" s="9" t="s">
        <v>130</v>
      </c>
      <c r="E3" s="9" t="s">
        <v>131</v>
      </c>
      <c r="F3" s="9" t="s">
        <v>177</v>
      </c>
      <c r="G3" s="9"/>
      <c r="H3" s="9" t="s">
        <v>132</v>
      </c>
      <c r="I3" s="9" t="s">
        <v>133</v>
      </c>
      <c r="J3" s="9" t="s">
        <v>134</v>
      </c>
      <c r="K3" s="9" t="s">
        <v>583</v>
      </c>
      <c r="L3" s="9"/>
      <c r="M3" s="9" t="s">
        <v>135</v>
      </c>
      <c r="N3" s="9" t="s">
        <v>136</v>
      </c>
      <c r="O3" s="9" t="s">
        <v>3</v>
      </c>
      <c r="P3" s="9" t="s">
        <v>138</v>
      </c>
    </row>
    <row r="4" spans="1:17">
      <c r="A4" t="s">
        <v>61</v>
      </c>
      <c r="C4" s="303"/>
      <c r="D4" s="303"/>
      <c r="E4" s="303"/>
      <c r="F4" s="303"/>
      <c r="G4" s="303"/>
      <c r="H4" s="303"/>
      <c r="I4" s="303" t="s">
        <v>124</v>
      </c>
      <c r="J4" s="303"/>
      <c r="K4" s="303"/>
      <c r="L4" s="303"/>
      <c r="M4" s="303"/>
      <c r="N4" s="303"/>
      <c r="O4" s="303"/>
      <c r="P4" s="303"/>
    </row>
    <row r="5" spans="1:17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>
      <c r="A6" t="s">
        <v>42</v>
      </c>
      <c r="B6" s="27">
        <v>209</v>
      </c>
      <c r="C6" s="27">
        <v>65</v>
      </c>
      <c r="D6" s="27">
        <v>530</v>
      </c>
      <c r="E6" s="27">
        <v>15</v>
      </c>
      <c r="F6" s="28">
        <f t="shared" ref="F6:F28" si="0">SUM(B6:E6)</f>
        <v>819</v>
      </c>
      <c r="G6" s="27"/>
      <c r="H6" s="27">
        <v>123</v>
      </c>
      <c r="I6" s="27">
        <v>290</v>
      </c>
      <c r="J6" s="27">
        <v>8.9</v>
      </c>
      <c r="K6" s="27">
        <f t="shared" ref="K6:K28" si="1">SUM(H6:J6)</f>
        <v>421.9</v>
      </c>
      <c r="L6" s="27"/>
      <c r="M6" s="27">
        <v>104</v>
      </c>
      <c r="N6" s="27">
        <v>169</v>
      </c>
      <c r="O6" s="27">
        <f t="shared" ref="O6:O28" si="2">SUM(M6:N6)</f>
        <v>273</v>
      </c>
      <c r="P6" s="28">
        <v>1521.4</v>
      </c>
      <c r="Q6" s="69"/>
    </row>
    <row r="7" spans="1:17">
      <c r="A7" t="s">
        <v>43</v>
      </c>
      <c r="B7" s="27">
        <v>224</v>
      </c>
      <c r="C7" s="27">
        <v>69</v>
      </c>
      <c r="D7" s="27">
        <v>570</v>
      </c>
      <c r="E7" s="27">
        <v>15</v>
      </c>
      <c r="F7" s="28">
        <f t="shared" si="0"/>
        <v>878</v>
      </c>
      <c r="G7" s="27"/>
      <c r="H7" s="27">
        <v>95</v>
      </c>
      <c r="I7" s="27">
        <v>244</v>
      </c>
      <c r="J7" s="27">
        <v>10</v>
      </c>
      <c r="K7" s="27">
        <f t="shared" si="1"/>
        <v>349</v>
      </c>
      <c r="L7" s="27"/>
      <c r="M7" s="27">
        <v>105</v>
      </c>
      <c r="N7" s="27">
        <v>175</v>
      </c>
      <c r="O7" s="27">
        <f t="shared" si="2"/>
        <v>280</v>
      </c>
      <c r="P7" s="28">
        <v>1514</v>
      </c>
      <c r="Q7" s="69"/>
    </row>
    <row r="8" spans="1:17">
      <c r="A8" t="s">
        <v>44</v>
      </c>
      <c r="B8" s="27">
        <v>179</v>
      </c>
      <c r="C8" s="27">
        <v>59</v>
      </c>
      <c r="D8" s="27">
        <v>475</v>
      </c>
      <c r="E8" s="27">
        <v>12</v>
      </c>
      <c r="F8" s="28">
        <f t="shared" si="0"/>
        <v>725</v>
      </c>
      <c r="G8" s="27"/>
      <c r="H8" s="27">
        <v>88</v>
      </c>
      <c r="I8" s="27">
        <v>240</v>
      </c>
      <c r="J8" s="27">
        <v>10.4</v>
      </c>
      <c r="K8" s="27">
        <f t="shared" si="1"/>
        <v>338.4</v>
      </c>
      <c r="L8" s="27"/>
      <c r="M8" s="27">
        <v>96</v>
      </c>
      <c r="N8" s="27">
        <v>152</v>
      </c>
      <c r="O8" s="27">
        <f t="shared" si="2"/>
        <v>248</v>
      </c>
      <c r="P8" s="28">
        <v>1311.4</v>
      </c>
      <c r="Q8" s="69"/>
    </row>
    <row r="9" spans="1:17">
      <c r="A9" t="s">
        <v>45</v>
      </c>
      <c r="B9" s="27">
        <v>182</v>
      </c>
      <c r="C9" s="27">
        <v>69</v>
      </c>
      <c r="D9" s="27">
        <v>567</v>
      </c>
      <c r="E9" s="27">
        <v>13</v>
      </c>
      <c r="F9" s="28">
        <f t="shared" si="0"/>
        <v>831</v>
      </c>
      <c r="G9" s="27"/>
      <c r="H9" s="27">
        <v>93</v>
      </c>
      <c r="I9" s="27">
        <v>230</v>
      </c>
      <c r="J9" s="27">
        <v>11</v>
      </c>
      <c r="K9" s="27">
        <f t="shared" si="1"/>
        <v>334</v>
      </c>
      <c r="L9" s="27"/>
      <c r="M9" s="27">
        <v>96</v>
      </c>
      <c r="N9" s="27">
        <v>150</v>
      </c>
      <c r="O9" s="27">
        <f t="shared" si="2"/>
        <v>246</v>
      </c>
      <c r="P9" s="28">
        <v>1411</v>
      </c>
      <c r="Q9" s="69"/>
    </row>
    <row r="10" spans="1:17">
      <c r="A10" t="s">
        <v>46</v>
      </c>
      <c r="B10" s="27">
        <v>221</v>
      </c>
      <c r="C10" s="27">
        <v>85</v>
      </c>
      <c r="D10" s="27">
        <v>643</v>
      </c>
      <c r="E10" s="27">
        <v>15</v>
      </c>
      <c r="F10" s="28">
        <f t="shared" si="0"/>
        <v>964</v>
      </c>
      <c r="G10" s="27"/>
      <c r="H10" s="27">
        <v>93</v>
      </c>
      <c r="I10" s="27">
        <v>232</v>
      </c>
      <c r="J10" s="27">
        <v>14.6</v>
      </c>
      <c r="K10" s="27">
        <f t="shared" si="1"/>
        <v>339.6</v>
      </c>
      <c r="L10" s="27"/>
      <c r="M10" s="27">
        <v>98</v>
      </c>
      <c r="N10" s="27">
        <v>157</v>
      </c>
      <c r="O10" s="27">
        <f t="shared" si="2"/>
        <v>255</v>
      </c>
      <c r="P10" s="28">
        <v>1558.6</v>
      </c>
      <c r="Q10" s="69"/>
    </row>
    <row r="11" spans="1:17">
      <c r="A11" t="s">
        <v>47</v>
      </c>
      <c r="B11" s="27">
        <v>201</v>
      </c>
      <c r="C11" s="27">
        <v>80</v>
      </c>
      <c r="D11" s="27">
        <v>595</v>
      </c>
      <c r="E11" s="27">
        <v>12</v>
      </c>
      <c r="F11" s="28">
        <f t="shared" si="0"/>
        <v>888</v>
      </c>
      <c r="G11" s="27"/>
      <c r="H11" s="27">
        <v>87</v>
      </c>
      <c r="I11" s="27">
        <v>252</v>
      </c>
      <c r="J11" s="27">
        <v>12.4</v>
      </c>
      <c r="K11" s="27">
        <f t="shared" si="1"/>
        <v>351.4</v>
      </c>
      <c r="L11" s="27"/>
      <c r="M11" s="27">
        <v>96</v>
      </c>
      <c r="N11" s="27">
        <v>155</v>
      </c>
      <c r="O11" s="27">
        <f t="shared" si="2"/>
        <v>251</v>
      </c>
      <c r="P11" s="28">
        <v>1490.4</v>
      </c>
      <c r="Q11" s="69"/>
    </row>
    <row r="12" spans="1:17">
      <c r="A12" t="s">
        <v>48</v>
      </c>
      <c r="B12" s="27">
        <v>220</v>
      </c>
      <c r="C12" s="27">
        <v>94</v>
      </c>
      <c r="D12" s="27">
        <v>675</v>
      </c>
      <c r="E12" s="27">
        <v>12</v>
      </c>
      <c r="F12" s="28">
        <f t="shared" si="0"/>
        <v>1001</v>
      </c>
      <c r="G12" s="27"/>
      <c r="H12" s="27">
        <v>92</v>
      </c>
      <c r="I12" s="27">
        <v>225</v>
      </c>
      <c r="J12" s="27">
        <v>12.7</v>
      </c>
      <c r="K12" s="27">
        <f t="shared" si="1"/>
        <v>329.7</v>
      </c>
      <c r="L12" s="27"/>
      <c r="M12" s="27">
        <v>89</v>
      </c>
      <c r="N12" s="27">
        <v>145</v>
      </c>
      <c r="O12" s="27">
        <f t="shared" si="2"/>
        <v>234</v>
      </c>
      <c r="P12" s="28">
        <v>1564.7</v>
      </c>
      <c r="Q12" s="69"/>
    </row>
    <row r="13" spans="1:17">
      <c r="A13" t="s">
        <v>49</v>
      </c>
      <c r="B13" s="27">
        <v>221</v>
      </c>
      <c r="C13" s="27">
        <v>91</v>
      </c>
      <c r="D13" s="27">
        <v>635</v>
      </c>
      <c r="E13" s="27">
        <v>13</v>
      </c>
      <c r="F13" s="28">
        <f t="shared" si="0"/>
        <v>960</v>
      </c>
      <c r="G13" s="27"/>
      <c r="H13" s="27">
        <v>100</v>
      </c>
      <c r="I13" s="27">
        <v>254</v>
      </c>
      <c r="J13" s="27">
        <v>12.4</v>
      </c>
      <c r="K13" s="27">
        <f t="shared" si="1"/>
        <v>366.4</v>
      </c>
      <c r="L13" s="27"/>
      <c r="M13" s="27">
        <v>91</v>
      </c>
      <c r="N13" s="27">
        <v>150</v>
      </c>
      <c r="O13" s="27">
        <f t="shared" si="2"/>
        <v>241</v>
      </c>
      <c r="P13" s="28">
        <v>1567.4</v>
      </c>
      <c r="Q13" s="69"/>
    </row>
    <row r="14" spans="1:17">
      <c r="A14" t="s">
        <v>50</v>
      </c>
      <c r="B14" s="27">
        <v>237</v>
      </c>
      <c r="C14" s="27">
        <v>98</v>
      </c>
      <c r="D14" s="27">
        <v>690</v>
      </c>
      <c r="E14" s="27">
        <v>13</v>
      </c>
      <c r="F14" s="28">
        <f t="shared" si="0"/>
        <v>1038</v>
      </c>
      <c r="G14" s="27"/>
      <c r="H14" s="27">
        <v>99</v>
      </c>
      <c r="I14" s="27">
        <v>260</v>
      </c>
      <c r="J14" s="27">
        <v>13.4</v>
      </c>
      <c r="K14" s="27">
        <f t="shared" si="1"/>
        <v>372.4</v>
      </c>
      <c r="L14" s="27"/>
      <c r="M14" s="27">
        <v>92</v>
      </c>
      <c r="N14" s="27">
        <v>155</v>
      </c>
      <c r="O14" s="27">
        <f t="shared" si="2"/>
        <v>247</v>
      </c>
      <c r="P14" s="28">
        <v>1657.4</v>
      </c>
      <c r="Q14" s="69"/>
    </row>
    <row r="15" spans="1:17">
      <c r="A15" t="s">
        <v>51</v>
      </c>
      <c r="B15" s="27">
        <v>240</v>
      </c>
      <c r="C15" s="27">
        <v>95</v>
      </c>
      <c r="D15" s="27">
        <v>690</v>
      </c>
      <c r="E15" s="27">
        <v>13</v>
      </c>
      <c r="F15" s="28">
        <f t="shared" si="0"/>
        <v>1038</v>
      </c>
      <c r="G15" s="27"/>
      <c r="H15" s="27">
        <v>99</v>
      </c>
      <c r="I15" s="27">
        <v>265</v>
      </c>
      <c r="J15" s="27">
        <v>18.2</v>
      </c>
      <c r="K15" s="27">
        <f t="shared" si="1"/>
        <v>382.2</v>
      </c>
      <c r="L15" s="27"/>
      <c r="M15" s="27">
        <v>92</v>
      </c>
      <c r="N15" s="27">
        <v>153</v>
      </c>
      <c r="O15" s="27">
        <f t="shared" si="2"/>
        <v>245</v>
      </c>
      <c r="P15" s="28">
        <v>1665.2</v>
      </c>
      <c r="Q15" s="69"/>
    </row>
    <row r="16" spans="1:17">
      <c r="A16" t="s">
        <v>52</v>
      </c>
      <c r="B16" s="27">
        <v>258</v>
      </c>
      <c r="C16" s="27">
        <v>108</v>
      </c>
      <c r="D16" s="27">
        <v>782</v>
      </c>
      <c r="E16" s="27">
        <v>14</v>
      </c>
      <c r="F16" s="28">
        <f t="shared" si="0"/>
        <v>1162</v>
      </c>
      <c r="G16" s="27"/>
      <c r="H16" s="27">
        <v>107</v>
      </c>
      <c r="I16" s="27">
        <v>295</v>
      </c>
      <c r="J16" s="27">
        <v>20</v>
      </c>
      <c r="K16" s="27">
        <f t="shared" si="1"/>
        <v>422</v>
      </c>
      <c r="L16" s="27"/>
      <c r="M16" s="27">
        <v>97</v>
      </c>
      <c r="N16" s="27">
        <v>165</v>
      </c>
      <c r="O16" s="27">
        <f t="shared" si="2"/>
        <v>262</v>
      </c>
      <c r="P16" s="28">
        <v>1846</v>
      </c>
      <c r="Q16" s="69"/>
    </row>
    <row r="17" spans="1:17">
      <c r="A17" t="s">
        <v>53</v>
      </c>
      <c r="B17" s="27">
        <v>278</v>
      </c>
      <c r="C17" s="27">
        <v>126</v>
      </c>
      <c r="D17" s="27">
        <v>900</v>
      </c>
      <c r="E17" s="27">
        <v>14.5</v>
      </c>
      <c r="F17" s="28">
        <f t="shared" si="0"/>
        <v>1318.5</v>
      </c>
      <c r="G17" s="27"/>
      <c r="H17" s="27">
        <v>110</v>
      </c>
      <c r="I17" s="27">
        <v>330</v>
      </c>
      <c r="J17" s="27">
        <v>22.7</v>
      </c>
      <c r="K17" s="27">
        <f t="shared" si="1"/>
        <v>462.7</v>
      </c>
      <c r="L17" s="27"/>
      <c r="M17" s="27">
        <v>96</v>
      </c>
      <c r="N17" s="27">
        <v>162</v>
      </c>
      <c r="O17" s="27">
        <f t="shared" si="2"/>
        <v>258</v>
      </c>
      <c r="P17" s="28">
        <v>2039.2</v>
      </c>
      <c r="Q17" s="69"/>
    </row>
    <row r="18" spans="1:17">
      <c r="A18" t="s">
        <v>74</v>
      </c>
      <c r="B18" s="27">
        <v>237</v>
      </c>
      <c r="C18" s="27">
        <v>85</v>
      </c>
      <c r="D18" s="27">
        <v>675</v>
      </c>
      <c r="E18" s="27">
        <v>13.5</v>
      </c>
      <c r="F18" s="28">
        <f t="shared" si="0"/>
        <v>1010.5</v>
      </c>
      <c r="G18" s="27"/>
      <c r="H18" s="27">
        <v>100</v>
      </c>
      <c r="I18" s="27">
        <v>308</v>
      </c>
      <c r="J18" s="27">
        <v>21.1</v>
      </c>
      <c r="K18" s="27">
        <f t="shared" si="1"/>
        <v>429.1</v>
      </c>
      <c r="L18" s="27"/>
      <c r="M18" s="27">
        <v>94</v>
      </c>
      <c r="N18" s="27">
        <v>153</v>
      </c>
      <c r="O18" s="27">
        <f t="shared" si="2"/>
        <v>247</v>
      </c>
      <c r="P18" s="28">
        <v>1686.6</v>
      </c>
      <c r="Q18" s="69"/>
    </row>
    <row r="19" spans="1:17">
      <c r="A19" t="s">
        <v>55</v>
      </c>
      <c r="B19" s="27">
        <v>240</v>
      </c>
      <c r="C19" s="27">
        <v>98</v>
      </c>
      <c r="D19" s="27">
        <v>702</v>
      </c>
      <c r="E19" s="27">
        <v>14.5</v>
      </c>
      <c r="F19" s="28">
        <f t="shared" si="0"/>
        <v>1054.5</v>
      </c>
      <c r="G19" s="27"/>
      <c r="H19" s="27">
        <v>105</v>
      </c>
      <c r="I19" s="27">
        <v>305</v>
      </c>
      <c r="J19" s="27">
        <v>22</v>
      </c>
      <c r="K19" s="27">
        <f t="shared" si="1"/>
        <v>432</v>
      </c>
      <c r="L19" s="27"/>
      <c r="M19" s="27">
        <v>95</v>
      </c>
      <c r="N19" s="27">
        <v>152</v>
      </c>
      <c r="O19" s="27">
        <f t="shared" si="2"/>
        <v>247</v>
      </c>
      <c r="P19" s="28">
        <v>1733.5</v>
      </c>
      <c r="Q19" s="69"/>
    </row>
    <row r="20" spans="1:17">
      <c r="A20" t="s">
        <v>56</v>
      </c>
      <c r="B20" s="27">
        <v>223</v>
      </c>
      <c r="C20" s="27">
        <v>92</v>
      </c>
      <c r="D20" s="27">
        <v>652</v>
      </c>
      <c r="E20" s="27">
        <v>13</v>
      </c>
      <c r="F20" s="28">
        <f t="shared" si="0"/>
        <v>980</v>
      </c>
      <c r="G20" s="27"/>
      <c r="H20" s="27">
        <v>102</v>
      </c>
      <c r="I20" s="27">
        <v>295</v>
      </c>
      <c r="J20" s="27">
        <v>21</v>
      </c>
      <c r="K20" s="27">
        <f t="shared" si="1"/>
        <v>418</v>
      </c>
      <c r="L20" s="27"/>
      <c r="M20" s="27">
        <v>92</v>
      </c>
      <c r="N20" s="27">
        <v>151</v>
      </c>
      <c r="O20" s="27">
        <f t="shared" si="2"/>
        <v>243</v>
      </c>
      <c r="P20" s="28">
        <v>1641</v>
      </c>
      <c r="Q20" s="69"/>
    </row>
    <row r="21" spans="1:17">
      <c r="A21" t="s">
        <v>57</v>
      </c>
      <c r="B21" s="27">
        <v>213</v>
      </c>
      <c r="C21" s="27">
        <v>89</v>
      </c>
      <c r="D21" s="27">
        <v>595</v>
      </c>
      <c r="E21" s="27">
        <v>11.5</v>
      </c>
      <c r="F21" s="28">
        <f t="shared" si="0"/>
        <v>908.5</v>
      </c>
      <c r="G21" s="27"/>
      <c r="H21" s="27">
        <v>100</v>
      </c>
      <c r="I21" s="27">
        <v>275</v>
      </c>
      <c r="J21" s="27">
        <v>20</v>
      </c>
      <c r="K21" s="27">
        <f t="shared" si="1"/>
        <v>395</v>
      </c>
      <c r="L21" s="27"/>
      <c r="M21" s="27">
        <v>90</v>
      </c>
      <c r="N21" s="27">
        <v>144</v>
      </c>
      <c r="O21" s="27">
        <f t="shared" si="2"/>
        <v>234</v>
      </c>
      <c r="P21" s="28">
        <v>1537.5</v>
      </c>
      <c r="Q21" s="69"/>
    </row>
    <row r="22" spans="1:17">
      <c r="A22" t="s">
        <v>75</v>
      </c>
      <c r="B22" s="27">
        <v>192</v>
      </c>
      <c r="C22" s="27">
        <v>90</v>
      </c>
      <c r="D22" s="27">
        <v>535</v>
      </c>
      <c r="E22" s="27">
        <v>11</v>
      </c>
      <c r="F22" s="28">
        <f t="shared" si="0"/>
        <v>828</v>
      </c>
      <c r="G22" s="27"/>
      <c r="H22" s="27">
        <v>85</v>
      </c>
      <c r="I22" s="27">
        <v>270</v>
      </c>
      <c r="J22" s="27">
        <v>16.5</v>
      </c>
      <c r="K22" s="27">
        <f t="shared" si="1"/>
        <v>371.5</v>
      </c>
      <c r="L22" s="27"/>
      <c r="M22" s="27">
        <v>77</v>
      </c>
      <c r="N22" s="27">
        <v>125</v>
      </c>
      <c r="O22" s="27">
        <f t="shared" si="2"/>
        <v>202</v>
      </c>
      <c r="P22" s="28">
        <v>1401.5</v>
      </c>
      <c r="Q22" s="69"/>
    </row>
    <row r="23" spans="1:17">
      <c r="A23" t="s">
        <v>59</v>
      </c>
      <c r="B23" s="27">
        <v>194</v>
      </c>
      <c r="C23" s="27">
        <v>92</v>
      </c>
      <c r="D23" s="27">
        <v>520</v>
      </c>
      <c r="E23" s="27">
        <v>11</v>
      </c>
      <c r="F23" s="28">
        <f t="shared" si="0"/>
        <v>817</v>
      </c>
      <c r="G23" s="27"/>
      <c r="H23" s="27">
        <v>79</v>
      </c>
      <c r="I23" s="27">
        <v>320</v>
      </c>
      <c r="J23" s="27">
        <v>18</v>
      </c>
      <c r="K23" s="27">
        <f t="shared" si="1"/>
        <v>417</v>
      </c>
      <c r="L23" s="27"/>
      <c r="M23" s="27">
        <v>76</v>
      </c>
      <c r="N23" s="27">
        <v>124</v>
      </c>
      <c r="O23" s="27">
        <f t="shared" si="2"/>
        <v>200</v>
      </c>
      <c r="P23" s="28">
        <v>1434</v>
      </c>
      <c r="Q23" s="69"/>
    </row>
    <row r="24" spans="1:17">
      <c r="A24" t="s">
        <v>122</v>
      </c>
      <c r="B24" s="27">
        <v>198</v>
      </c>
      <c r="C24" s="27">
        <v>96</v>
      </c>
      <c r="D24" s="27">
        <v>535</v>
      </c>
      <c r="E24" s="27">
        <v>12</v>
      </c>
      <c r="F24" s="28">
        <f t="shared" si="0"/>
        <v>841</v>
      </c>
      <c r="G24" s="27"/>
      <c r="H24" s="27">
        <v>80</v>
      </c>
      <c r="I24" s="27">
        <v>370</v>
      </c>
      <c r="J24" s="27">
        <v>20</v>
      </c>
      <c r="K24" s="27">
        <f t="shared" si="1"/>
        <v>470</v>
      </c>
      <c r="L24" s="27"/>
      <c r="M24" s="27">
        <v>76</v>
      </c>
      <c r="N24" s="27">
        <v>125</v>
      </c>
      <c r="O24" s="27">
        <f t="shared" si="2"/>
        <v>201</v>
      </c>
      <c r="P24" s="28">
        <v>1521</v>
      </c>
      <c r="Q24" s="69"/>
    </row>
    <row r="25" spans="1:17">
      <c r="A25" t="s">
        <v>123</v>
      </c>
      <c r="B25" s="27">
        <v>207</v>
      </c>
      <c r="C25" s="27">
        <v>102</v>
      </c>
      <c r="D25" s="27">
        <v>546</v>
      </c>
      <c r="E25" s="27">
        <v>11.5</v>
      </c>
      <c r="F25" s="28">
        <f t="shared" si="0"/>
        <v>866.5</v>
      </c>
      <c r="G25" s="27"/>
      <c r="H25" s="27">
        <v>83</v>
      </c>
      <c r="I25" s="27">
        <v>360</v>
      </c>
      <c r="J25" s="27">
        <v>22</v>
      </c>
      <c r="K25" s="27">
        <f t="shared" si="1"/>
        <v>465</v>
      </c>
      <c r="L25" s="27"/>
      <c r="M25" s="27">
        <v>77</v>
      </c>
      <c r="N25" s="27">
        <v>126</v>
      </c>
      <c r="O25" s="27">
        <f t="shared" si="2"/>
        <v>203</v>
      </c>
      <c r="P25" s="28">
        <v>1534.5</v>
      </c>
      <c r="Q25" s="69"/>
    </row>
    <row r="26" spans="1:17">
      <c r="A26" t="s">
        <v>399</v>
      </c>
      <c r="B26" s="78">
        <v>190</v>
      </c>
      <c r="C26" s="78">
        <v>94</v>
      </c>
      <c r="D26" s="78">
        <v>494</v>
      </c>
      <c r="E26" s="78">
        <v>10.5</v>
      </c>
      <c r="F26" s="28">
        <f t="shared" si="0"/>
        <v>788.5</v>
      </c>
      <c r="G26" s="78"/>
      <c r="H26" s="78">
        <v>97</v>
      </c>
      <c r="I26" s="90">
        <v>425</v>
      </c>
      <c r="J26" s="78">
        <v>27.3</v>
      </c>
      <c r="K26" s="78">
        <f t="shared" si="1"/>
        <v>549.29999999999995</v>
      </c>
      <c r="L26" s="78"/>
      <c r="M26" s="78">
        <v>76</v>
      </c>
      <c r="N26" s="90">
        <v>123</v>
      </c>
      <c r="O26" s="78">
        <f t="shared" si="2"/>
        <v>199</v>
      </c>
      <c r="P26" s="79">
        <v>1536.8</v>
      </c>
      <c r="Q26" s="69"/>
    </row>
    <row r="27" spans="1:17">
      <c r="A27" t="s">
        <v>747</v>
      </c>
      <c r="B27" s="78">
        <v>200</v>
      </c>
      <c r="C27" s="78">
        <v>90</v>
      </c>
      <c r="D27" s="78">
        <v>515</v>
      </c>
      <c r="E27" s="78">
        <v>11</v>
      </c>
      <c r="F27" s="28">
        <f t="shared" si="0"/>
        <v>816</v>
      </c>
      <c r="G27" s="78"/>
      <c r="H27" s="78">
        <v>80</v>
      </c>
      <c r="I27" s="90">
        <v>425</v>
      </c>
      <c r="J27" s="78">
        <v>22.2</v>
      </c>
      <c r="K27" s="78">
        <f>SUM(H27:J27)</f>
        <v>527.20000000000005</v>
      </c>
      <c r="L27" s="78"/>
      <c r="M27" s="78">
        <v>75</v>
      </c>
      <c r="N27" s="90">
        <v>123</v>
      </c>
      <c r="O27" s="78">
        <f>SUM(M27:N27)</f>
        <v>198</v>
      </c>
      <c r="P27" s="79">
        <v>1541.2</v>
      </c>
      <c r="Q27" s="69"/>
    </row>
    <row r="28" spans="1:17">
      <c r="A28" t="s">
        <v>748</v>
      </c>
      <c r="B28" s="124">
        <v>185</v>
      </c>
      <c r="C28" s="124">
        <v>96</v>
      </c>
      <c r="D28" s="124">
        <v>510</v>
      </c>
      <c r="E28" s="124">
        <v>10</v>
      </c>
      <c r="F28" s="128">
        <f t="shared" si="0"/>
        <v>801</v>
      </c>
      <c r="G28" s="78"/>
      <c r="H28" s="124">
        <v>60</v>
      </c>
      <c r="I28" s="129">
        <v>315</v>
      </c>
      <c r="J28" s="124">
        <v>18</v>
      </c>
      <c r="K28" s="78">
        <f t="shared" si="1"/>
        <v>393</v>
      </c>
      <c r="L28" s="78"/>
      <c r="M28" s="124">
        <v>58</v>
      </c>
      <c r="N28" s="129">
        <v>101</v>
      </c>
      <c r="O28" s="78">
        <f t="shared" si="2"/>
        <v>159</v>
      </c>
      <c r="P28" s="128">
        <f t="shared" ref="P28:P33" si="3">+F28+K28+O28</f>
        <v>1353</v>
      </c>
      <c r="Q28" s="69"/>
    </row>
    <row r="29" spans="1:17">
      <c r="A29" t="s">
        <v>749</v>
      </c>
      <c r="B29" s="124">
        <v>190</v>
      </c>
      <c r="C29" s="124">
        <v>125</v>
      </c>
      <c r="D29" s="124">
        <v>545</v>
      </c>
      <c r="E29" s="124">
        <v>19</v>
      </c>
      <c r="F29" s="128">
        <f>SUM(B29:E29)</f>
        <v>879</v>
      </c>
      <c r="G29" s="124"/>
      <c r="H29" s="124">
        <v>37</v>
      </c>
      <c r="I29" s="129">
        <v>275</v>
      </c>
      <c r="J29" s="124">
        <v>18</v>
      </c>
      <c r="K29" s="124">
        <f t="shared" ref="K29:K34" si="4">SUM(H29:J29)</f>
        <v>330</v>
      </c>
      <c r="L29" s="124"/>
      <c r="M29" s="124">
        <v>34</v>
      </c>
      <c r="N29" s="129">
        <v>101</v>
      </c>
      <c r="O29" s="124">
        <f>SUM(M29:N29)</f>
        <v>135</v>
      </c>
      <c r="P29" s="128">
        <f t="shared" si="3"/>
        <v>1344</v>
      </c>
      <c r="Q29" s="69"/>
    </row>
    <row r="30" spans="1:17">
      <c r="A30" t="s">
        <v>449</v>
      </c>
      <c r="B30" s="124">
        <v>200</v>
      </c>
      <c r="C30" s="124">
        <v>145</v>
      </c>
      <c r="D30" s="124">
        <v>620</v>
      </c>
      <c r="E30" s="124">
        <v>35</v>
      </c>
      <c r="F30" s="128">
        <f>SUM(B30:E30)</f>
        <v>1000</v>
      </c>
      <c r="G30" s="124"/>
      <c r="H30" s="124">
        <v>35</v>
      </c>
      <c r="I30" s="129">
        <v>240</v>
      </c>
      <c r="J30" s="124">
        <v>17</v>
      </c>
      <c r="K30" s="124">
        <f t="shared" si="4"/>
        <v>292</v>
      </c>
      <c r="L30" s="124"/>
      <c r="M30" s="124">
        <v>33</v>
      </c>
      <c r="N30" s="129">
        <v>105</v>
      </c>
      <c r="O30" s="124">
        <f>SUM(M30:N30)</f>
        <v>138</v>
      </c>
      <c r="P30" s="128">
        <f t="shared" si="3"/>
        <v>1430</v>
      </c>
      <c r="Q30" s="69"/>
    </row>
    <row r="31" spans="1:17">
      <c r="A31" t="s">
        <v>750</v>
      </c>
      <c r="B31" s="124">
        <v>225</v>
      </c>
      <c r="C31" s="124">
        <v>160</v>
      </c>
      <c r="D31" s="124">
        <v>755</v>
      </c>
      <c r="E31" s="124">
        <v>63</v>
      </c>
      <c r="F31" s="128">
        <f>SUM(B31:E31)+15</f>
        <v>1218</v>
      </c>
      <c r="G31" s="124"/>
      <c r="H31" s="124">
        <v>35</v>
      </c>
      <c r="I31" s="129">
        <v>265</v>
      </c>
      <c r="J31" s="124">
        <v>19</v>
      </c>
      <c r="K31" s="124">
        <f t="shared" si="4"/>
        <v>319</v>
      </c>
      <c r="L31" s="124"/>
      <c r="M31" s="124">
        <v>23</v>
      </c>
      <c r="N31" s="129">
        <v>97</v>
      </c>
      <c r="O31" s="124">
        <f>SUM(M31:N31)</f>
        <v>120</v>
      </c>
      <c r="P31" s="128">
        <f t="shared" si="3"/>
        <v>1657</v>
      </c>
      <c r="Q31" s="69"/>
    </row>
    <row r="32" spans="1:17">
      <c r="A32" t="s">
        <v>751</v>
      </c>
      <c r="B32" s="124">
        <v>165</v>
      </c>
      <c r="C32" s="124">
        <v>130</v>
      </c>
      <c r="D32" s="124">
        <v>580</v>
      </c>
      <c r="E32" s="124">
        <v>59</v>
      </c>
      <c r="F32" s="128">
        <f>SUM(B32:E32)+17</f>
        <v>951</v>
      </c>
      <c r="G32" s="124"/>
      <c r="H32" s="124">
        <v>23</v>
      </c>
      <c r="I32" s="129">
        <v>155</v>
      </c>
      <c r="J32" s="124">
        <v>12</v>
      </c>
      <c r="K32" s="124">
        <f t="shared" si="4"/>
        <v>190</v>
      </c>
      <c r="L32" s="124"/>
      <c r="M32" s="124">
        <v>17</v>
      </c>
      <c r="N32" s="129">
        <v>85</v>
      </c>
      <c r="O32" s="124">
        <f>+M32+N32</f>
        <v>102</v>
      </c>
      <c r="P32" s="128">
        <f t="shared" si="3"/>
        <v>1243</v>
      </c>
      <c r="Q32" s="69"/>
    </row>
    <row r="33" spans="1:18">
      <c r="A33" t="s">
        <v>752</v>
      </c>
      <c r="B33" s="124">
        <v>160</v>
      </c>
      <c r="C33" s="124">
        <v>130</v>
      </c>
      <c r="D33" s="124">
        <v>530</v>
      </c>
      <c r="E33" s="124">
        <v>59</v>
      </c>
      <c r="F33" s="128">
        <f>SUM(B33:E33)+19</f>
        <v>898</v>
      </c>
      <c r="G33" s="124"/>
      <c r="H33" s="124">
        <v>18</v>
      </c>
      <c r="I33" s="129">
        <v>190</v>
      </c>
      <c r="J33" s="124">
        <v>10</v>
      </c>
      <c r="K33" s="124">
        <f t="shared" si="4"/>
        <v>218</v>
      </c>
      <c r="L33" s="124"/>
      <c r="M33" s="124">
        <v>22</v>
      </c>
      <c r="N33" s="129">
        <v>92</v>
      </c>
      <c r="O33" s="124">
        <f>+M33+N33</f>
        <v>114</v>
      </c>
      <c r="P33" s="128">
        <f t="shared" si="3"/>
        <v>1230</v>
      </c>
      <c r="Q33" s="69"/>
    </row>
    <row r="34" spans="1:18">
      <c r="A34" t="s">
        <v>753</v>
      </c>
      <c r="B34" s="124">
        <v>195</v>
      </c>
      <c r="C34" s="124">
        <v>150</v>
      </c>
      <c r="D34" s="124">
        <v>690</v>
      </c>
      <c r="E34" s="124">
        <v>71</v>
      </c>
      <c r="F34" s="128">
        <f>SUM(B34:E34)+22</f>
        <v>1128</v>
      </c>
      <c r="G34" s="124"/>
      <c r="H34" s="124">
        <v>19</v>
      </c>
      <c r="I34" s="129">
        <v>257</v>
      </c>
      <c r="J34" s="124">
        <v>8</v>
      </c>
      <c r="K34" s="124">
        <f t="shared" si="4"/>
        <v>284</v>
      </c>
      <c r="L34" s="124"/>
      <c r="M34" s="124">
        <v>24</v>
      </c>
      <c r="N34" s="129">
        <v>98</v>
      </c>
      <c r="O34" s="124">
        <f>+M34+N34</f>
        <v>122</v>
      </c>
      <c r="P34" s="128">
        <f t="shared" ref="P34:P39" si="5">+F34+K34+O34</f>
        <v>1534</v>
      </c>
      <c r="Q34" s="69"/>
    </row>
    <row r="35" spans="1:18">
      <c r="A35" t="s">
        <v>754</v>
      </c>
      <c r="B35" s="124">
        <v>155</v>
      </c>
      <c r="C35" s="124">
        <v>115</v>
      </c>
      <c r="D35" s="124">
        <v>510</v>
      </c>
      <c r="E35" s="124">
        <v>50</v>
      </c>
      <c r="F35" s="128">
        <f>SUM(B35:E35)+21</f>
        <v>851</v>
      </c>
      <c r="G35" s="124"/>
      <c r="H35" s="124">
        <v>14</v>
      </c>
      <c r="I35" s="129">
        <v>165</v>
      </c>
      <c r="J35" s="124">
        <v>7</v>
      </c>
      <c r="K35" s="124">
        <f t="shared" ref="K35:K40" si="6">SUM(H35:J35)</f>
        <v>186</v>
      </c>
      <c r="L35" s="124"/>
      <c r="M35" s="124">
        <v>12</v>
      </c>
      <c r="N35" s="129">
        <v>67</v>
      </c>
      <c r="O35" s="124">
        <f>+M35+N35</f>
        <v>79</v>
      </c>
      <c r="P35" s="128">
        <f t="shared" si="5"/>
        <v>1116</v>
      </c>
      <c r="Q35" s="69"/>
    </row>
    <row r="36" spans="1:18">
      <c r="A36" t="s">
        <v>755</v>
      </c>
      <c r="B36" s="124">
        <v>190</v>
      </c>
      <c r="C36" s="124">
        <v>145</v>
      </c>
      <c r="D36" s="124">
        <v>565</v>
      </c>
      <c r="E36" s="124">
        <v>67</v>
      </c>
      <c r="F36" s="128">
        <f>SUM(B36:E36)+19</f>
        <v>986</v>
      </c>
      <c r="G36" s="124"/>
      <c r="H36" s="124">
        <v>22</v>
      </c>
      <c r="I36" s="129">
        <v>165</v>
      </c>
      <c r="J36" s="124">
        <v>10</v>
      </c>
      <c r="K36" s="124">
        <f t="shared" si="6"/>
        <v>197</v>
      </c>
      <c r="L36" s="124"/>
      <c r="M36" s="124">
        <v>18</v>
      </c>
      <c r="N36" s="129">
        <v>87</v>
      </c>
      <c r="O36" s="124">
        <f t="shared" ref="O36:O41" si="7">SUM(M36:N36)</f>
        <v>105</v>
      </c>
      <c r="P36" s="128">
        <f t="shared" si="5"/>
        <v>1288</v>
      </c>
      <c r="Q36" s="69"/>
    </row>
    <row r="37" spans="1:18">
      <c r="A37" t="s">
        <v>756</v>
      </c>
      <c r="B37" s="124">
        <v>170</v>
      </c>
      <c r="C37" s="124">
        <v>170</v>
      </c>
      <c r="D37" s="124">
        <v>475</v>
      </c>
      <c r="E37" s="124">
        <v>77</v>
      </c>
      <c r="F37" s="128">
        <f>SUM(B37:E37)+15</f>
        <v>907</v>
      </c>
      <c r="G37" s="124"/>
      <c r="H37" s="124">
        <v>24</v>
      </c>
      <c r="I37" s="129">
        <v>105</v>
      </c>
      <c r="J37" s="124">
        <v>6.6</v>
      </c>
      <c r="K37" s="124">
        <f t="shared" si="6"/>
        <v>135.6</v>
      </c>
      <c r="L37" s="124"/>
      <c r="M37" s="124">
        <v>16</v>
      </c>
      <c r="N37" s="129">
        <v>82</v>
      </c>
      <c r="O37" s="124">
        <f t="shared" si="7"/>
        <v>98</v>
      </c>
      <c r="P37" s="128">
        <f t="shared" si="5"/>
        <v>1140.5999999999999</v>
      </c>
      <c r="Q37" s="69"/>
    </row>
    <row r="38" spans="1:18">
      <c r="A38" t="s">
        <v>757</v>
      </c>
      <c r="B38" s="124">
        <v>220</v>
      </c>
      <c r="C38" s="124">
        <v>210</v>
      </c>
      <c r="D38" s="124">
        <v>735</v>
      </c>
      <c r="E38" s="124">
        <v>110</v>
      </c>
      <c r="F38" s="128">
        <f>SUM(B38:E38)+52</f>
        <v>1327</v>
      </c>
      <c r="G38" s="124"/>
      <c r="H38" s="124">
        <v>24</v>
      </c>
      <c r="I38" s="129">
        <v>150</v>
      </c>
      <c r="J38" s="124">
        <v>10</v>
      </c>
      <c r="K38" s="124">
        <f t="shared" si="6"/>
        <v>184</v>
      </c>
      <c r="L38" s="124"/>
      <c r="M38" s="124">
        <v>20</v>
      </c>
      <c r="N38" s="129">
        <v>107</v>
      </c>
      <c r="O38" s="124">
        <f t="shared" si="7"/>
        <v>127</v>
      </c>
      <c r="P38" s="128">
        <f t="shared" si="5"/>
        <v>1638</v>
      </c>
      <c r="Q38" s="69"/>
    </row>
    <row r="39" spans="1:18">
      <c r="A39" t="s">
        <v>758</v>
      </c>
      <c r="B39" s="124">
        <v>140</v>
      </c>
      <c r="C39" s="124">
        <v>140</v>
      </c>
      <c r="D39" s="124">
        <v>430</v>
      </c>
      <c r="E39" s="124">
        <v>81</v>
      </c>
      <c r="F39" s="128">
        <f>SUM(B39:E39)+34</f>
        <v>825</v>
      </c>
      <c r="G39" s="124"/>
      <c r="H39" s="124">
        <v>17</v>
      </c>
      <c r="I39" s="129">
        <v>120</v>
      </c>
      <c r="J39" s="124">
        <v>7</v>
      </c>
      <c r="K39" s="124">
        <f t="shared" si="6"/>
        <v>144</v>
      </c>
      <c r="L39" s="124"/>
      <c r="M39" s="124">
        <v>16</v>
      </c>
      <c r="N39" s="129">
        <v>82</v>
      </c>
      <c r="O39" s="124">
        <f t="shared" si="7"/>
        <v>98</v>
      </c>
      <c r="P39" s="128">
        <f t="shared" si="5"/>
        <v>1067</v>
      </c>
      <c r="Q39" s="69"/>
    </row>
    <row r="40" spans="1:18">
      <c r="A40" t="s">
        <v>759</v>
      </c>
      <c r="B40" s="124">
        <v>175</v>
      </c>
      <c r="C40" s="124">
        <v>175</v>
      </c>
      <c r="D40" s="124">
        <v>600</v>
      </c>
      <c r="E40" s="124">
        <v>112</v>
      </c>
      <c r="F40" s="128">
        <f>SUM(B40:E40)+32</f>
        <v>1094</v>
      </c>
      <c r="G40" s="124"/>
      <c r="H40" s="124">
        <v>12</v>
      </c>
      <c r="I40" s="129">
        <v>130</v>
      </c>
      <c r="J40" s="124">
        <v>4.5</v>
      </c>
      <c r="K40" s="124">
        <f t="shared" si="6"/>
        <v>146.5</v>
      </c>
      <c r="L40" s="124"/>
      <c r="M40" s="124">
        <v>19</v>
      </c>
      <c r="N40" s="129">
        <v>94</v>
      </c>
      <c r="O40" s="124">
        <f t="shared" si="7"/>
        <v>113</v>
      </c>
      <c r="P40" s="128">
        <f>+F40+K40+O40</f>
        <v>1353.5</v>
      </c>
      <c r="Q40" s="69"/>
    </row>
    <row r="41" spans="1:18">
      <c r="A41" t="s">
        <v>760</v>
      </c>
      <c r="B41" s="124">
        <v>200</v>
      </c>
      <c r="C41" s="124">
        <v>190</v>
      </c>
      <c r="D41" s="124">
        <v>785</v>
      </c>
      <c r="E41" s="124">
        <v>112</v>
      </c>
      <c r="F41" s="128">
        <f>SUM(B41:E41)+44</f>
        <v>1331</v>
      </c>
      <c r="G41" s="124"/>
      <c r="H41" s="124">
        <v>10</v>
      </c>
      <c r="I41" s="129">
        <v>170</v>
      </c>
      <c r="J41" s="124">
        <v>5</v>
      </c>
      <c r="K41" s="124">
        <f>SUM(H41:J41)</f>
        <v>185</v>
      </c>
      <c r="L41" s="124"/>
      <c r="M41" s="124">
        <v>19</v>
      </c>
      <c r="N41" s="129">
        <v>90</v>
      </c>
      <c r="O41" s="124">
        <f t="shared" si="7"/>
        <v>109</v>
      </c>
      <c r="P41" s="128">
        <f>+F41+K41+O41</f>
        <v>1625</v>
      </c>
      <c r="Q41" s="69"/>
    </row>
    <row r="42" spans="1:18">
      <c r="A42" t="s">
        <v>761</v>
      </c>
      <c r="B42" s="124">
        <v>175</v>
      </c>
      <c r="C42" s="124">
        <v>155</v>
      </c>
      <c r="D42" s="124">
        <v>720</v>
      </c>
      <c r="E42" s="124">
        <v>110</v>
      </c>
      <c r="F42" s="128">
        <f>SUM(B42:E42)+39</f>
        <v>1199</v>
      </c>
      <c r="G42" s="124"/>
      <c r="H42" s="124">
        <v>13</v>
      </c>
      <c r="I42" s="129">
        <v>305</v>
      </c>
      <c r="J42" s="124">
        <v>8</v>
      </c>
      <c r="K42" s="124">
        <f>SUM(H42:J42)+24</f>
        <v>350</v>
      </c>
      <c r="L42" s="124"/>
      <c r="M42" s="124">
        <v>21</v>
      </c>
      <c r="N42" s="129">
        <v>101</v>
      </c>
      <c r="O42" s="124">
        <f>SUM(M42:N42)</f>
        <v>122</v>
      </c>
      <c r="P42" s="128">
        <f>+F42+K42+O42</f>
        <v>1671</v>
      </c>
      <c r="Q42" s="69"/>
    </row>
    <row r="43" spans="1:18">
      <c r="A43" s="130">
        <v>2017</v>
      </c>
      <c r="B43" s="285">
        <v>195</v>
      </c>
      <c r="C43" s="285">
        <v>195</v>
      </c>
      <c r="D43" s="285">
        <v>835</v>
      </c>
      <c r="E43" s="285">
        <v>122</v>
      </c>
      <c r="F43" s="286">
        <f>SUM(B43:E43)+44</f>
        <v>1391</v>
      </c>
      <c r="G43" s="285"/>
      <c r="H43" s="285">
        <v>21</v>
      </c>
      <c r="I43" s="285">
        <v>275</v>
      </c>
      <c r="J43" s="285">
        <v>7.6</v>
      </c>
      <c r="K43" s="285">
        <f>SUM(H43:J43)+30</f>
        <v>333.6</v>
      </c>
      <c r="L43" s="285"/>
      <c r="M43" s="285">
        <v>27</v>
      </c>
      <c r="N43" s="285">
        <v>119</v>
      </c>
      <c r="O43" s="285">
        <f>SUM(M43:N43)</f>
        <v>146</v>
      </c>
      <c r="P43" s="286">
        <f>+F43+K43+O43</f>
        <v>1870.6</v>
      </c>
      <c r="Q43" s="69"/>
    </row>
    <row r="44" spans="1:18">
      <c r="A44" s="142" t="s">
        <v>584</v>
      </c>
      <c r="B44" s="124"/>
      <c r="C44" s="124"/>
      <c r="D44" s="124"/>
      <c r="E44" s="124"/>
      <c r="F44" s="133"/>
      <c r="G44" s="124"/>
      <c r="H44" s="124"/>
      <c r="I44" s="124"/>
      <c r="J44" s="124"/>
      <c r="K44" s="124"/>
      <c r="L44" s="124"/>
      <c r="M44" s="124"/>
      <c r="N44" s="124"/>
      <c r="O44" s="124"/>
      <c r="P44" s="133"/>
      <c r="Q44" s="28"/>
    </row>
    <row r="45" spans="1:18" ht="13.25" customHeight="1">
      <c r="A45" s="117" t="s">
        <v>610</v>
      </c>
      <c r="Q45" s="175"/>
      <c r="R45" s="175"/>
    </row>
    <row r="46" spans="1:18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0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4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6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7">
      <c r="A1" s="126" t="s">
        <v>698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7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7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7">
      <c r="C4" s="303"/>
      <c r="D4" s="303"/>
      <c r="E4" s="303"/>
      <c r="F4" s="303"/>
      <c r="G4" s="303"/>
      <c r="H4" s="303"/>
      <c r="I4" s="303" t="s">
        <v>124</v>
      </c>
      <c r="J4" s="303"/>
      <c r="K4" s="303"/>
      <c r="L4" s="303"/>
      <c r="M4" s="303"/>
      <c r="N4" s="303"/>
      <c r="O4" s="303"/>
      <c r="P4" s="303"/>
    </row>
    <row r="5" spans="1:17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>
      <c r="A6" t="s">
        <v>42</v>
      </c>
      <c r="B6" s="27">
        <v>200</v>
      </c>
      <c r="C6" s="27">
        <v>55</v>
      </c>
      <c r="D6" s="27">
        <v>514</v>
      </c>
      <c r="E6" s="27">
        <v>13</v>
      </c>
      <c r="F6" s="28">
        <f t="shared" ref="F6:F28" si="0">SUM(B6:E6)</f>
        <v>782</v>
      </c>
      <c r="G6" s="27"/>
      <c r="H6" s="27">
        <v>105</v>
      </c>
      <c r="I6" s="27">
        <v>230</v>
      </c>
      <c r="J6" s="27">
        <v>8.8000000000000007</v>
      </c>
      <c r="K6" s="27">
        <f t="shared" ref="K6:K28" si="1">SUM(H6:J6)</f>
        <v>343.8</v>
      </c>
      <c r="L6" s="27"/>
      <c r="M6" s="27">
        <v>101</v>
      </c>
      <c r="N6" s="27">
        <v>166</v>
      </c>
      <c r="O6" s="27">
        <f t="shared" ref="O6:O28" si="2">+M6+N6</f>
        <v>267</v>
      </c>
      <c r="P6" s="28">
        <v>1399.8</v>
      </c>
      <c r="Q6" s="69"/>
    </row>
    <row r="7" spans="1:17">
      <c r="A7" t="s">
        <v>43</v>
      </c>
      <c r="B7" s="27">
        <v>222</v>
      </c>
      <c r="C7" s="27">
        <v>60</v>
      </c>
      <c r="D7" s="27">
        <v>565</v>
      </c>
      <c r="E7" s="27">
        <v>15</v>
      </c>
      <c r="F7" s="28">
        <f t="shared" si="0"/>
        <v>862</v>
      </c>
      <c r="G7" s="27"/>
      <c r="H7" s="27">
        <v>91</v>
      </c>
      <c r="I7" s="27">
        <v>242</v>
      </c>
      <c r="J7" s="27">
        <v>10</v>
      </c>
      <c r="K7" s="27">
        <f t="shared" si="1"/>
        <v>343</v>
      </c>
      <c r="L7" s="27"/>
      <c r="M7" s="27">
        <v>105</v>
      </c>
      <c r="N7" s="27">
        <v>172</v>
      </c>
      <c r="O7" s="27">
        <f t="shared" si="2"/>
        <v>277</v>
      </c>
      <c r="P7" s="28">
        <v>1488.7</v>
      </c>
      <c r="Q7" s="69"/>
    </row>
    <row r="8" spans="1:17">
      <c r="A8" t="s">
        <v>44</v>
      </c>
      <c r="B8" s="27">
        <v>177</v>
      </c>
      <c r="C8" s="27">
        <v>51</v>
      </c>
      <c r="D8" s="27">
        <v>472</v>
      </c>
      <c r="E8" s="27">
        <v>12</v>
      </c>
      <c r="F8" s="28">
        <f t="shared" si="0"/>
        <v>712</v>
      </c>
      <c r="G8" s="27"/>
      <c r="H8" s="27">
        <v>86</v>
      </c>
      <c r="I8" s="27">
        <v>225</v>
      </c>
      <c r="J8" s="27">
        <v>10.4</v>
      </c>
      <c r="K8" s="27">
        <f t="shared" si="1"/>
        <v>321.39999999999998</v>
      </c>
      <c r="L8" s="27"/>
      <c r="M8" s="27">
        <v>95</v>
      </c>
      <c r="N8" s="27">
        <v>149</v>
      </c>
      <c r="O8" s="27">
        <f t="shared" si="2"/>
        <v>244</v>
      </c>
      <c r="P8" s="28">
        <v>1277.4000000000001</v>
      </c>
      <c r="Q8" s="69"/>
    </row>
    <row r="9" spans="1:17">
      <c r="A9" t="s">
        <v>45</v>
      </c>
      <c r="B9" s="27">
        <v>180</v>
      </c>
      <c r="C9" s="27">
        <v>60</v>
      </c>
      <c r="D9" s="27">
        <v>562</v>
      </c>
      <c r="E9" s="27">
        <v>12.5</v>
      </c>
      <c r="F9" s="28">
        <f t="shared" si="0"/>
        <v>814.5</v>
      </c>
      <c r="G9" s="27"/>
      <c r="H9" s="27">
        <v>91</v>
      </c>
      <c r="I9" s="27">
        <v>215</v>
      </c>
      <c r="J9" s="27">
        <v>11</v>
      </c>
      <c r="K9" s="27">
        <f t="shared" si="1"/>
        <v>317</v>
      </c>
      <c r="L9" s="27"/>
      <c r="M9" s="27">
        <v>95</v>
      </c>
      <c r="N9" s="27">
        <v>147</v>
      </c>
      <c r="O9" s="27">
        <f t="shared" si="2"/>
        <v>242</v>
      </c>
      <c r="P9" s="28">
        <v>1373.5</v>
      </c>
      <c r="Q9" s="69"/>
    </row>
    <row r="10" spans="1:17">
      <c r="A10" t="s">
        <v>46</v>
      </c>
      <c r="B10" s="27">
        <v>219</v>
      </c>
      <c r="C10" s="27">
        <v>77</v>
      </c>
      <c r="D10" s="27">
        <v>640</v>
      </c>
      <c r="E10" s="27">
        <v>14.5</v>
      </c>
      <c r="F10" s="28">
        <f t="shared" si="0"/>
        <v>950.5</v>
      </c>
      <c r="G10" s="27"/>
      <c r="H10" s="27">
        <v>88</v>
      </c>
      <c r="I10" s="27">
        <v>223</v>
      </c>
      <c r="J10" s="27">
        <v>14.5</v>
      </c>
      <c r="K10" s="27">
        <f t="shared" si="1"/>
        <v>325.5</v>
      </c>
      <c r="L10" s="27"/>
      <c r="M10" s="27">
        <v>97</v>
      </c>
      <c r="N10" s="27">
        <v>155</v>
      </c>
      <c r="O10" s="27">
        <f t="shared" si="2"/>
        <v>252</v>
      </c>
      <c r="P10" s="28">
        <v>1528</v>
      </c>
      <c r="Q10" s="69"/>
    </row>
    <row r="11" spans="1:17">
      <c r="A11" t="s">
        <v>47</v>
      </c>
      <c r="B11" s="27">
        <v>200</v>
      </c>
      <c r="C11" s="27">
        <v>72</v>
      </c>
      <c r="D11" s="27">
        <v>593</v>
      </c>
      <c r="E11" s="27">
        <v>12</v>
      </c>
      <c r="F11" s="28">
        <f t="shared" si="0"/>
        <v>877</v>
      </c>
      <c r="G11" s="27"/>
      <c r="H11" s="27">
        <v>83</v>
      </c>
      <c r="I11" s="27">
        <v>245</v>
      </c>
      <c r="J11" s="27">
        <v>12.4</v>
      </c>
      <c r="K11" s="27">
        <f t="shared" si="1"/>
        <v>340.4</v>
      </c>
      <c r="L11" s="27"/>
      <c r="M11" s="27">
        <v>96</v>
      </c>
      <c r="N11" s="27">
        <v>154</v>
      </c>
      <c r="O11" s="27">
        <f t="shared" si="2"/>
        <v>250</v>
      </c>
      <c r="P11" s="28">
        <v>1467.4</v>
      </c>
      <c r="Q11" s="69"/>
    </row>
    <row r="12" spans="1:17">
      <c r="A12" t="s">
        <v>48</v>
      </c>
      <c r="B12" s="27">
        <v>219</v>
      </c>
      <c r="C12" s="27">
        <v>87</v>
      </c>
      <c r="D12" s="27">
        <v>665</v>
      </c>
      <c r="E12" s="27">
        <v>11.5</v>
      </c>
      <c r="F12" s="28">
        <f t="shared" si="0"/>
        <v>982.5</v>
      </c>
      <c r="G12" s="27"/>
      <c r="H12" s="27">
        <v>88</v>
      </c>
      <c r="I12" s="27">
        <v>220</v>
      </c>
      <c r="J12" s="27">
        <v>12.7</v>
      </c>
      <c r="K12" s="27">
        <f t="shared" si="1"/>
        <v>320.7</v>
      </c>
      <c r="L12" s="27"/>
      <c r="M12" s="27">
        <v>89</v>
      </c>
      <c r="N12" s="27">
        <v>143</v>
      </c>
      <c r="O12" s="27">
        <f t="shared" si="2"/>
        <v>232</v>
      </c>
      <c r="P12" s="28">
        <v>1535.2</v>
      </c>
      <c r="Q12" s="69"/>
    </row>
    <row r="13" spans="1:17">
      <c r="A13" t="s">
        <v>49</v>
      </c>
      <c r="B13" s="27">
        <v>220</v>
      </c>
      <c r="C13" s="27">
        <v>83</v>
      </c>
      <c r="D13" s="27">
        <v>630</v>
      </c>
      <c r="E13" s="27">
        <v>13</v>
      </c>
      <c r="F13" s="28">
        <f t="shared" si="0"/>
        <v>946</v>
      </c>
      <c r="G13" s="27"/>
      <c r="H13" s="27">
        <v>99</v>
      </c>
      <c r="I13" s="27">
        <v>252</v>
      </c>
      <c r="J13" s="27">
        <v>12.4</v>
      </c>
      <c r="K13" s="27">
        <f t="shared" si="1"/>
        <v>363.4</v>
      </c>
      <c r="L13" s="27"/>
      <c r="M13" s="27">
        <v>90</v>
      </c>
      <c r="N13" s="27">
        <v>148</v>
      </c>
      <c r="O13" s="27">
        <f t="shared" si="2"/>
        <v>238</v>
      </c>
      <c r="P13" s="28">
        <v>1547.4</v>
      </c>
      <c r="Q13" s="69"/>
    </row>
    <row r="14" spans="1:17">
      <c r="A14" t="s">
        <v>50</v>
      </c>
      <c r="B14" s="27">
        <v>236</v>
      </c>
      <c r="C14" s="27">
        <v>90</v>
      </c>
      <c r="D14" s="27">
        <v>685</v>
      </c>
      <c r="E14" s="27">
        <v>13</v>
      </c>
      <c r="F14" s="28">
        <f t="shared" si="0"/>
        <v>1024</v>
      </c>
      <c r="G14" s="27"/>
      <c r="H14" s="27">
        <v>97</v>
      </c>
      <c r="I14" s="27">
        <v>250</v>
      </c>
      <c r="J14" s="27">
        <v>13.4</v>
      </c>
      <c r="K14" s="27">
        <f t="shared" si="1"/>
        <v>360.4</v>
      </c>
      <c r="L14" s="27"/>
      <c r="M14" s="27">
        <v>91</v>
      </c>
      <c r="N14" s="27">
        <v>153</v>
      </c>
      <c r="O14" s="27">
        <f t="shared" si="2"/>
        <v>244</v>
      </c>
      <c r="P14" s="28">
        <v>1628.4</v>
      </c>
      <c r="Q14" s="69"/>
    </row>
    <row r="15" spans="1:17">
      <c r="A15" t="s">
        <v>51</v>
      </c>
      <c r="B15" s="27">
        <v>239</v>
      </c>
      <c r="C15" s="27">
        <v>87</v>
      </c>
      <c r="D15" s="27">
        <v>685</v>
      </c>
      <c r="E15" s="27">
        <v>12.5</v>
      </c>
      <c r="F15" s="28">
        <f t="shared" si="0"/>
        <v>1023.5</v>
      </c>
      <c r="G15" s="27"/>
      <c r="H15" s="27">
        <v>98</v>
      </c>
      <c r="I15" s="27">
        <v>262</v>
      </c>
      <c r="J15" s="27">
        <v>18.2</v>
      </c>
      <c r="K15" s="27">
        <f t="shared" si="1"/>
        <v>378.2</v>
      </c>
      <c r="L15" s="27"/>
      <c r="M15" s="27">
        <v>91</v>
      </c>
      <c r="N15" s="27">
        <v>152</v>
      </c>
      <c r="O15" s="27">
        <f t="shared" si="2"/>
        <v>243</v>
      </c>
      <c r="P15" s="28">
        <v>1644.7</v>
      </c>
      <c r="Q15" s="69"/>
    </row>
    <row r="16" spans="1:17">
      <c r="A16" t="s">
        <v>52</v>
      </c>
      <c r="B16" s="27">
        <v>256</v>
      </c>
      <c r="C16" s="27">
        <v>100</v>
      </c>
      <c r="D16" s="27">
        <v>770</v>
      </c>
      <c r="E16" s="27">
        <v>13.5</v>
      </c>
      <c r="F16" s="28">
        <f t="shared" si="0"/>
        <v>1139.5</v>
      </c>
      <c r="G16" s="27"/>
      <c r="H16" s="27">
        <v>106</v>
      </c>
      <c r="I16" s="27">
        <v>289</v>
      </c>
      <c r="J16" s="27">
        <v>20</v>
      </c>
      <c r="K16" s="27">
        <f t="shared" si="1"/>
        <v>415</v>
      </c>
      <c r="L16" s="27"/>
      <c r="M16" s="27">
        <v>97</v>
      </c>
      <c r="N16" s="27">
        <v>164</v>
      </c>
      <c r="O16" s="27">
        <f t="shared" si="2"/>
        <v>261</v>
      </c>
      <c r="P16" s="28">
        <v>1815.5</v>
      </c>
      <c r="Q16" s="69"/>
    </row>
    <row r="17" spans="1:17">
      <c r="A17" t="s">
        <v>53</v>
      </c>
      <c r="B17" s="27">
        <v>277</v>
      </c>
      <c r="C17" s="27">
        <v>118</v>
      </c>
      <c r="D17" s="27">
        <v>895</v>
      </c>
      <c r="E17" s="27">
        <v>14</v>
      </c>
      <c r="F17" s="28">
        <f t="shared" si="0"/>
        <v>1304</v>
      </c>
      <c r="G17" s="27"/>
      <c r="H17" s="27">
        <v>106</v>
      </c>
      <c r="I17" s="27">
        <v>325</v>
      </c>
      <c r="J17" s="27">
        <v>22.7</v>
      </c>
      <c r="K17" s="27">
        <f t="shared" si="1"/>
        <v>453.7</v>
      </c>
      <c r="L17" s="27"/>
      <c r="M17" s="27">
        <v>96</v>
      </c>
      <c r="N17" s="27">
        <v>162</v>
      </c>
      <c r="O17" s="27">
        <f t="shared" si="2"/>
        <v>258</v>
      </c>
      <c r="P17" s="28">
        <v>2015.7</v>
      </c>
      <c r="Q17" s="69"/>
    </row>
    <row r="18" spans="1:17">
      <c r="A18" t="s">
        <v>74</v>
      </c>
      <c r="B18" s="27">
        <v>236</v>
      </c>
      <c r="C18" s="27">
        <v>77</v>
      </c>
      <c r="D18" s="27">
        <v>673</v>
      </c>
      <c r="E18" s="27">
        <v>13</v>
      </c>
      <c r="F18" s="28">
        <f t="shared" si="0"/>
        <v>999</v>
      </c>
      <c r="G18" s="27"/>
      <c r="H18" s="27">
        <v>98</v>
      </c>
      <c r="I18" s="27">
        <v>305</v>
      </c>
      <c r="J18" s="27">
        <v>21.1</v>
      </c>
      <c r="K18" s="27">
        <f t="shared" si="1"/>
        <v>424.1</v>
      </c>
      <c r="L18" s="27"/>
      <c r="M18" s="27">
        <v>93</v>
      </c>
      <c r="N18" s="27">
        <v>153</v>
      </c>
      <c r="O18" s="27">
        <f t="shared" si="2"/>
        <v>246</v>
      </c>
      <c r="P18" s="28">
        <v>1669.1</v>
      </c>
      <c r="Q18" s="69"/>
    </row>
    <row r="19" spans="1:17">
      <c r="A19" t="s">
        <v>55</v>
      </c>
      <c r="B19" s="27">
        <v>239</v>
      </c>
      <c r="C19" s="27">
        <v>84</v>
      </c>
      <c r="D19" s="27">
        <v>697</v>
      </c>
      <c r="E19" s="27">
        <v>14</v>
      </c>
      <c r="F19" s="28">
        <f t="shared" si="0"/>
        <v>1034</v>
      </c>
      <c r="G19" s="27"/>
      <c r="H19" s="27">
        <v>102</v>
      </c>
      <c r="I19" s="27">
        <v>295</v>
      </c>
      <c r="J19" s="27">
        <v>21.8</v>
      </c>
      <c r="K19" s="27">
        <f t="shared" si="1"/>
        <v>418.8</v>
      </c>
      <c r="L19" s="27"/>
      <c r="M19" s="27">
        <v>94</v>
      </c>
      <c r="N19" s="27">
        <v>143</v>
      </c>
      <c r="O19" s="27">
        <f t="shared" si="2"/>
        <v>237</v>
      </c>
      <c r="P19" s="28">
        <v>1689.8</v>
      </c>
      <c r="Q19" s="69"/>
    </row>
    <row r="20" spans="1:17">
      <c r="A20" t="s">
        <v>56</v>
      </c>
      <c r="B20" s="27">
        <v>222</v>
      </c>
      <c r="C20" s="27">
        <v>84</v>
      </c>
      <c r="D20" s="27">
        <v>649</v>
      </c>
      <c r="E20" s="27">
        <v>12.5</v>
      </c>
      <c r="F20" s="28">
        <f t="shared" si="0"/>
        <v>967.5</v>
      </c>
      <c r="G20" s="27"/>
      <c r="H20" s="27">
        <v>100</v>
      </c>
      <c r="I20" s="27">
        <v>287</v>
      </c>
      <c r="J20" s="27">
        <v>21</v>
      </c>
      <c r="K20" s="27">
        <f t="shared" si="1"/>
        <v>408</v>
      </c>
      <c r="L20" s="27"/>
      <c r="M20" s="27">
        <v>92</v>
      </c>
      <c r="N20" s="27">
        <v>151</v>
      </c>
      <c r="O20" s="27">
        <f t="shared" si="2"/>
        <v>243</v>
      </c>
      <c r="P20" s="28">
        <v>1618.5</v>
      </c>
      <c r="Q20" s="69"/>
    </row>
    <row r="21" spans="1:17">
      <c r="A21" t="s">
        <v>57</v>
      </c>
      <c r="B21" s="27">
        <v>212</v>
      </c>
      <c r="C21" s="27">
        <v>81</v>
      </c>
      <c r="D21" s="27">
        <v>592</v>
      </c>
      <c r="E21" s="27">
        <v>11</v>
      </c>
      <c r="F21" s="28">
        <f t="shared" si="0"/>
        <v>896</v>
      </c>
      <c r="G21" s="27"/>
      <c r="H21" s="27">
        <v>98</v>
      </c>
      <c r="I21" s="27">
        <v>270</v>
      </c>
      <c r="J21" s="27">
        <v>20</v>
      </c>
      <c r="K21" s="27">
        <f t="shared" si="1"/>
        <v>388</v>
      </c>
      <c r="L21" s="27"/>
      <c r="M21" s="27">
        <v>89</v>
      </c>
      <c r="N21" s="27">
        <v>144</v>
      </c>
      <c r="O21" s="27">
        <f t="shared" si="2"/>
        <v>233</v>
      </c>
      <c r="P21" s="28">
        <v>1517</v>
      </c>
      <c r="Q21" s="69"/>
    </row>
    <row r="22" spans="1:17">
      <c r="A22" t="s">
        <v>75</v>
      </c>
      <c r="B22" s="27">
        <v>191</v>
      </c>
      <c r="C22" s="27">
        <v>82</v>
      </c>
      <c r="D22" s="27">
        <v>533</v>
      </c>
      <c r="E22" s="27">
        <v>10.5</v>
      </c>
      <c r="F22" s="28">
        <f t="shared" si="0"/>
        <v>816.5</v>
      </c>
      <c r="G22" s="27"/>
      <c r="H22" s="27">
        <v>81</v>
      </c>
      <c r="I22" s="27">
        <v>265</v>
      </c>
      <c r="J22" s="27">
        <v>16.5</v>
      </c>
      <c r="K22" s="27">
        <f t="shared" si="1"/>
        <v>362.5</v>
      </c>
      <c r="L22" s="27"/>
      <c r="M22" s="27">
        <v>76</v>
      </c>
      <c r="N22" s="27">
        <v>125</v>
      </c>
      <c r="O22" s="27">
        <f t="shared" si="2"/>
        <v>201</v>
      </c>
      <c r="P22" s="28">
        <v>1380</v>
      </c>
      <c r="Q22" s="69"/>
    </row>
    <row r="23" spans="1:17">
      <c r="A23" t="s">
        <v>59</v>
      </c>
      <c r="B23" s="27">
        <v>193</v>
      </c>
      <c r="C23" s="27">
        <v>84</v>
      </c>
      <c r="D23" s="27">
        <v>519</v>
      </c>
      <c r="E23" s="27">
        <v>10.5</v>
      </c>
      <c r="F23" s="28">
        <f t="shared" si="0"/>
        <v>806.5</v>
      </c>
      <c r="G23" s="27"/>
      <c r="H23" s="27">
        <v>77</v>
      </c>
      <c r="I23" s="27">
        <v>315</v>
      </c>
      <c r="J23" s="27">
        <v>17.3</v>
      </c>
      <c r="K23" s="27">
        <f t="shared" si="1"/>
        <v>409.3</v>
      </c>
      <c r="L23" s="27"/>
      <c r="M23" s="27">
        <v>75</v>
      </c>
      <c r="N23" s="27">
        <v>123</v>
      </c>
      <c r="O23" s="27">
        <f t="shared" si="2"/>
        <v>198</v>
      </c>
      <c r="P23" s="28">
        <v>1413.8</v>
      </c>
      <c r="Q23" s="69"/>
    </row>
    <row r="24" spans="1:17">
      <c r="A24" t="s">
        <v>122</v>
      </c>
      <c r="B24" s="27">
        <v>197</v>
      </c>
      <c r="C24" s="27">
        <v>90</v>
      </c>
      <c r="D24" s="27">
        <v>537</v>
      </c>
      <c r="E24" s="27">
        <v>11.5</v>
      </c>
      <c r="F24" s="28">
        <f t="shared" si="0"/>
        <v>835.5</v>
      </c>
      <c r="G24" s="27"/>
      <c r="H24" s="27">
        <v>75</v>
      </c>
      <c r="I24" s="27">
        <v>335</v>
      </c>
      <c r="J24" s="27">
        <v>22</v>
      </c>
      <c r="K24" s="27">
        <f t="shared" si="1"/>
        <v>432</v>
      </c>
      <c r="L24" s="27"/>
      <c r="M24" s="27">
        <v>75</v>
      </c>
      <c r="N24" s="27">
        <v>124.5</v>
      </c>
      <c r="O24" s="27">
        <f t="shared" si="2"/>
        <v>199.5</v>
      </c>
      <c r="P24" s="28">
        <v>1467</v>
      </c>
      <c r="Q24" s="69"/>
    </row>
    <row r="25" spans="1:17">
      <c r="A25" t="s">
        <v>123</v>
      </c>
      <c r="B25" s="27">
        <v>206</v>
      </c>
      <c r="C25" s="27">
        <v>94</v>
      </c>
      <c r="D25" s="27">
        <v>544</v>
      </c>
      <c r="E25" s="27">
        <v>11</v>
      </c>
      <c r="F25" s="28">
        <f t="shared" si="0"/>
        <v>855</v>
      </c>
      <c r="G25" s="27"/>
      <c r="H25" s="27">
        <v>79</v>
      </c>
      <c r="I25" s="27">
        <v>280</v>
      </c>
      <c r="J25" s="27">
        <v>22</v>
      </c>
      <c r="K25" s="27">
        <f t="shared" si="1"/>
        <v>381</v>
      </c>
      <c r="L25" s="27"/>
      <c r="M25" s="27">
        <v>76</v>
      </c>
      <c r="N25" s="27">
        <v>124</v>
      </c>
      <c r="O25" s="27">
        <f t="shared" si="2"/>
        <v>200</v>
      </c>
      <c r="P25" s="28">
        <v>1436</v>
      </c>
      <c r="Q25" s="69"/>
    </row>
    <row r="26" spans="1:17">
      <c r="A26" t="s">
        <v>399</v>
      </c>
      <c r="B26" s="78">
        <v>182</v>
      </c>
      <c r="C26" s="78">
        <v>86</v>
      </c>
      <c r="D26" s="78">
        <v>492</v>
      </c>
      <c r="E26" s="78">
        <v>10</v>
      </c>
      <c r="F26" s="79">
        <f t="shared" si="0"/>
        <v>770</v>
      </c>
      <c r="G26" s="78"/>
      <c r="H26" s="78">
        <v>67</v>
      </c>
      <c r="I26" s="78">
        <v>275</v>
      </c>
      <c r="J26" s="78">
        <v>26</v>
      </c>
      <c r="K26" s="78">
        <f t="shared" si="1"/>
        <v>368</v>
      </c>
      <c r="L26" s="78"/>
      <c r="M26" s="78">
        <v>75</v>
      </c>
      <c r="N26" s="78">
        <v>123</v>
      </c>
      <c r="O26" s="78">
        <f t="shared" si="2"/>
        <v>198</v>
      </c>
      <c r="P26" s="79">
        <v>1336</v>
      </c>
      <c r="Q26" s="69"/>
    </row>
    <row r="27" spans="1:17">
      <c r="A27" t="s">
        <v>747</v>
      </c>
      <c r="B27" s="78">
        <v>199</v>
      </c>
      <c r="C27" s="78">
        <v>82</v>
      </c>
      <c r="D27" s="78">
        <v>514</v>
      </c>
      <c r="E27" s="78">
        <v>10.199999999999999</v>
      </c>
      <c r="F27" s="79">
        <f t="shared" si="0"/>
        <v>805.2</v>
      </c>
      <c r="G27" s="78"/>
      <c r="H27" s="78">
        <v>77</v>
      </c>
      <c r="I27" s="78">
        <v>310</v>
      </c>
      <c r="J27" s="78">
        <v>22.2</v>
      </c>
      <c r="K27" s="78">
        <f t="shared" si="1"/>
        <v>409.2</v>
      </c>
      <c r="L27" s="78"/>
      <c r="M27" s="78">
        <v>75</v>
      </c>
      <c r="N27" s="78">
        <v>122.5</v>
      </c>
      <c r="O27" s="78">
        <f t="shared" si="2"/>
        <v>197.5</v>
      </c>
      <c r="P27" s="79">
        <v>1411.9</v>
      </c>
      <c r="Q27" s="69"/>
    </row>
    <row r="28" spans="1:17">
      <c r="A28" t="s">
        <v>748</v>
      </c>
      <c r="B28" s="124">
        <v>180</v>
      </c>
      <c r="C28" s="124">
        <v>86</v>
      </c>
      <c r="D28" s="124">
        <v>505</v>
      </c>
      <c r="E28" s="124">
        <v>8.6999999999999993</v>
      </c>
      <c r="F28" s="133">
        <f t="shared" si="0"/>
        <v>779.7</v>
      </c>
      <c r="G28" s="78"/>
      <c r="H28" s="124">
        <v>57</v>
      </c>
      <c r="I28" s="124">
        <v>280</v>
      </c>
      <c r="J28" s="124">
        <v>18</v>
      </c>
      <c r="K28" s="78">
        <f t="shared" si="1"/>
        <v>355</v>
      </c>
      <c r="L28" s="78"/>
      <c r="M28" s="124">
        <v>57</v>
      </c>
      <c r="N28" s="124">
        <v>100</v>
      </c>
      <c r="O28" s="78">
        <f t="shared" si="2"/>
        <v>157</v>
      </c>
      <c r="P28" s="128">
        <f t="shared" ref="P28:P33" si="3">+F28+K28+O28</f>
        <v>1291.7</v>
      </c>
      <c r="Q28" s="69"/>
    </row>
    <row r="29" spans="1:17">
      <c r="A29" t="s">
        <v>749</v>
      </c>
      <c r="B29" s="124">
        <v>185</v>
      </c>
      <c r="C29" s="124">
        <v>115</v>
      </c>
      <c r="D29" s="124">
        <v>540</v>
      </c>
      <c r="E29" s="124">
        <v>17</v>
      </c>
      <c r="F29" s="133">
        <f>SUM(B29:E29)</f>
        <v>857</v>
      </c>
      <c r="G29" s="124"/>
      <c r="H29" s="124">
        <v>35</v>
      </c>
      <c r="I29" s="124">
        <v>270</v>
      </c>
      <c r="J29" s="124">
        <v>17</v>
      </c>
      <c r="K29" s="124">
        <f t="shared" ref="K29:K34" si="4">SUM(H29:J29)</f>
        <v>322</v>
      </c>
      <c r="L29" s="124"/>
      <c r="M29" s="124">
        <v>33</v>
      </c>
      <c r="N29" s="124">
        <v>100</v>
      </c>
      <c r="O29" s="124">
        <f t="shared" ref="O29:O34" si="5">+M29+N29</f>
        <v>133</v>
      </c>
      <c r="P29" s="128">
        <f t="shared" si="3"/>
        <v>1312</v>
      </c>
      <c r="Q29" s="69"/>
    </row>
    <row r="30" spans="1:17">
      <c r="A30" t="s">
        <v>449</v>
      </c>
      <c r="B30" s="124">
        <v>199</v>
      </c>
      <c r="C30" s="124">
        <v>130</v>
      </c>
      <c r="D30" s="124">
        <v>610</v>
      </c>
      <c r="E30" s="124">
        <v>33</v>
      </c>
      <c r="F30" s="133">
        <f>SUM(B30:E30)</f>
        <v>972</v>
      </c>
      <c r="G30" s="124"/>
      <c r="H30" s="124">
        <v>33</v>
      </c>
      <c r="I30" s="124">
        <v>235</v>
      </c>
      <c r="J30" s="124">
        <v>17</v>
      </c>
      <c r="K30" s="124">
        <f t="shared" si="4"/>
        <v>285</v>
      </c>
      <c r="L30" s="124"/>
      <c r="M30" s="124">
        <v>32</v>
      </c>
      <c r="N30" s="124">
        <v>105</v>
      </c>
      <c r="O30" s="124">
        <f t="shared" si="5"/>
        <v>137</v>
      </c>
      <c r="P30" s="128">
        <f t="shared" si="3"/>
        <v>1394</v>
      </c>
      <c r="Q30" s="69"/>
    </row>
    <row r="31" spans="1:17">
      <c r="A31" t="s">
        <v>750</v>
      </c>
      <c r="B31" s="124">
        <v>223</v>
      </c>
      <c r="C31" s="124">
        <v>152</v>
      </c>
      <c r="D31" s="124">
        <v>750</v>
      </c>
      <c r="E31" s="124">
        <v>60</v>
      </c>
      <c r="F31" s="133">
        <f>SUM(B31:E31)+14</f>
        <v>1199</v>
      </c>
      <c r="G31" s="124"/>
      <c r="H31" s="124">
        <v>33</v>
      </c>
      <c r="I31" s="124">
        <v>260</v>
      </c>
      <c r="J31" s="124">
        <v>19</v>
      </c>
      <c r="K31" s="124">
        <f t="shared" si="4"/>
        <v>312</v>
      </c>
      <c r="L31" s="124"/>
      <c r="M31" s="124">
        <v>22</v>
      </c>
      <c r="N31" s="124">
        <v>96</v>
      </c>
      <c r="O31" s="124">
        <f t="shared" si="5"/>
        <v>118</v>
      </c>
      <c r="P31" s="128">
        <f t="shared" si="3"/>
        <v>1629</v>
      </c>
      <c r="Q31" s="69"/>
    </row>
    <row r="32" spans="1:17">
      <c r="A32" t="s">
        <v>751</v>
      </c>
      <c r="B32" s="124">
        <v>163</v>
      </c>
      <c r="C32" s="124">
        <v>120</v>
      </c>
      <c r="D32" s="124">
        <v>575</v>
      </c>
      <c r="E32" s="124">
        <v>56</v>
      </c>
      <c r="F32" s="133">
        <f>SUM(B32:E32)+16</f>
        <v>930</v>
      </c>
      <c r="G32" s="124"/>
      <c r="H32" s="124">
        <v>22</v>
      </c>
      <c r="I32" s="124">
        <v>145</v>
      </c>
      <c r="J32" s="124">
        <v>12</v>
      </c>
      <c r="K32" s="124">
        <f t="shared" si="4"/>
        <v>179</v>
      </c>
      <c r="L32" s="124"/>
      <c r="M32" s="124">
        <v>17</v>
      </c>
      <c r="N32" s="124">
        <v>84</v>
      </c>
      <c r="O32" s="124">
        <f t="shared" si="5"/>
        <v>101</v>
      </c>
      <c r="P32" s="128">
        <f t="shared" si="3"/>
        <v>1210</v>
      </c>
      <c r="Q32" s="69"/>
    </row>
    <row r="33" spans="1:17">
      <c r="A33" t="s">
        <v>752</v>
      </c>
      <c r="B33" s="124">
        <v>157</v>
      </c>
      <c r="C33" s="124">
        <v>119</v>
      </c>
      <c r="D33" s="124">
        <v>520</v>
      </c>
      <c r="E33" s="124">
        <v>56</v>
      </c>
      <c r="F33" s="133">
        <f>SUM(B33:E33)+18</f>
        <v>870</v>
      </c>
      <c r="G33" s="124"/>
      <c r="H33" s="124">
        <v>17</v>
      </c>
      <c r="I33" s="124">
        <v>187</v>
      </c>
      <c r="J33" s="124">
        <v>10</v>
      </c>
      <c r="K33" s="124">
        <f t="shared" si="4"/>
        <v>214</v>
      </c>
      <c r="L33" s="124"/>
      <c r="M33" s="124">
        <v>21</v>
      </c>
      <c r="N33" s="124">
        <v>90</v>
      </c>
      <c r="O33" s="124">
        <f t="shared" si="5"/>
        <v>111</v>
      </c>
      <c r="P33" s="128">
        <f t="shared" si="3"/>
        <v>1195</v>
      </c>
      <c r="Q33" s="69"/>
    </row>
    <row r="34" spans="1:17">
      <c r="A34" t="s">
        <v>753</v>
      </c>
      <c r="B34" s="124">
        <v>193</v>
      </c>
      <c r="C34" s="124">
        <v>140</v>
      </c>
      <c r="D34" s="124">
        <v>685</v>
      </c>
      <c r="E34" s="124">
        <v>68</v>
      </c>
      <c r="F34" s="133">
        <f>SUM(B34:E34)+21</f>
        <v>1107</v>
      </c>
      <c r="G34" s="124"/>
      <c r="H34" s="124">
        <v>18</v>
      </c>
      <c r="I34" s="124">
        <v>253</v>
      </c>
      <c r="J34" s="124">
        <v>8</v>
      </c>
      <c r="K34" s="124">
        <f t="shared" si="4"/>
        <v>279</v>
      </c>
      <c r="L34" s="124"/>
      <c r="M34" s="124">
        <v>24</v>
      </c>
      <c r="N34" s="124">
        <v>97</v>
      </c>
      <c r="O34" s="124">
        <f t="shared" si="5"/>
        <v>121</v>
      </c>
      <c r="P34" s="128">
        <f t="shared" ref="P34:P39" si="6">+F34+K34+O34</f>
        <v>1507</v>
      </c>
      <c r="Q34" s="69"/>
    </row>
    <row r="35" spans="1:17">
      <c r="A35" t="s">
        <v>754</v>
      </c>
      <c r="B35" s="124">
        <v>150</v>
      </c>
      <c r="C35" s="124">
        <v>105</v>
      </c>
      <c r="D35" s="124">
        <v>505</v>
      </c>
      <c r="E35" s="124">
        <v>48</v>
      </c>
      <c r="F35" s="133">
        <f>SUM(B35:E35)+18</f>
        <v>826</v>
      </c>
      <c r="G35" s="124"/>
      <c r="H35" s="124">
        <v>13</v>
      </c>
      <c r="I35" s="124">
        <v>155</v>
      </c>
      <c r="J35" s="124">
        <v>7</v>
      </c>
      <c r="K35" s="124">
        <f t="shared" ref="K35:K40" si="7">SUM(H35:J35)</f>
        <v>175</v>
      </c>
      <c r="L35" s="124"/>
      <c r="M35" s="124">
        <v>12</v>
      </c>
      <c r="N35" s="124">
        <v>66</v>
      </c>
      <c r="O35" s="124">
        <f t="shared" ref="O35:O42" si="8">+M35+N35</f>
        <v>78</v>
      </c>
      <c r="P35" s="128">
        <f t="shared" si="6"/>
        <v>1079</v>
      </c>
      <c r="Q35" s="69"/>
    </row>
    <row r="36" spans="1:17">
      <c r="A36" t="s">
        <v>755</v>
      </c>
      <c r="B36" s="124">
        <v>185</v>
      </c>
      <c r="C36" s="124">
        <v>135</v>
      </c>
      <c r="D36" s="124">
        <v>555</v>
      </c>
      <c r="E36" s="124">
        <v>64</v>
      </c>
      <c r="F36" s="133">
        <f>SUM(B36:E36)+18</f>
        <v>957</v>
      </c>
      <c r="G36" s="124"/>
      <c r="H36" s="124">
        <v>21</v>
      </c>
      <c r="I36" s="124">
        <v>163</v>
      </c>
      <c r="J36" s="124">
        <v>10</v>
      </c>
      <c r="K36" s="124">
        <f t="shared" si="7"/>
        <v>194</v>
      </c>
      <c r="L36" s="124"/>
      <c r="M36" s="124">
        <v>18</v>
      </c>
      <c r="N36" s="124">
        <v>86</v>
      </c>
      <c r="O36" s="124">
        <f t="shared" si="8"/>
        <v>104</v>
      </c>
      <c r="P36" s="128">
        <f t="shared" si="6"/>
        <v>1255</v>
      </c>
      <c r="Q36" s="69"/>
    </row>
    <row r="37" spans="1:17">
      <c r="A37" t="s">
        <v>756</v>
      </c>
      <c r="B37" s="124">
        <v>166</v>
      </c>
      <c r="C37" s="124">
        <v>157</v>
      </c>
      <c r="D37" s="124">
        <v>454</v>
      </c>
      <c r="E37" s="124">
        <v>73</v>
      </c>
      <c r="F37" s="133">
        <f>SUM(B37:E37)+14</f>
        <v>864</v>
      </c>
      <c r="G37" s="124"/>
      <c r="H37" s="124">
        <v>21</v>
      </c>
      <c r="I37" s="124">
        <v>93</v>
      </c>
      <c r="J37" s="124">
        <v>6.6</v>
      </c>
      <c r="K37" s="124">
        <f t="shared" si="7"/>
        <v>120.6</v>
      </c>
      <c r="L37" s="124"/>
      <c r="M37" s="124">
        <v>15</v>
      </c>
      <c r="N37" s="124">
        <v>81</v>
      </c>
      <c r="O37" s="124">
        <f t="shared" si="8"/>
        <v>96</v>
      </c>
      <c r="P37" s="128">
        <f t="shared" si="6"/>
        <v>1080.5999999999999</v>
      </c>
      <c r="Q37" s="69"/>
    </row>
    <row r="38" spans="1:17">
      <c r="A38" t="s">
        <v>757</v>
      </c>
      <c r="B38" s="124">
        <v>219</v>
      </c>
      <c r="C38" s="124">
        <v>195</v>
      </c>
      <c r="D38" s="124">
        <v>730</v>
      </c>
      <c r="E38" s="124">
        <v>107</v>
      </c>
      <c r="F38" s="133">
        <f>SUM(B38:E38)+49</f>
        <v>1300</v>
      </c>
      <c r="G38" s="124"/>
      <c r="H38" s="124">
        <v>22</v>
      </c>
      <c r="I38" s="124">
        <v>146</v>
      </c>
      <c r="J38" s="124">
        <v>10</v>
      </c>
      <c r="K38" s="124">
        <f t="shared" si="7"/>
        <v>178</v>
      </c>
      <c r="L38" s="124"/>
      <c r="M38" s="124">
        <v>20</v>
      </c>
      <c r="N38" s="124">
        <v>106</v>
      </c>
      <c r="O38" s="124">
        <f t="shared" si="8"/>
        <v>126</v>
      </c>
      <c r="P38" s="128">
        <f t="shared" si="6"/>
        <v>1604</v>
      </c>
      <c r="Q38" s="69"/>
    </row>
    <row r="39" spans="1:17">
      <c r="A39" t="s">
        <v>758</v>
      </c>
      <c r="B39" s="124">
        <v>138</v>
      </c>
      <c r="C39" s="124">
        <v>131</v>
      </c>
      <c r="D39" s="124">
        <v>426</v>
      </c>
      <c r="E39" s="124">
        <v>78</v>
      </c>
      <c r="F39" s="133">
        <f>SUM(B39:E39)+33</f>
        <v>806</v>
      </c>
      <c r="G39" s="124"/>
      <c r="H39" s="124">
        <v>16</v>
      </c>
      <c r="I39" s="124">
        <v>117</v>
      </c>
      <c r="J39" s="124">
        <v>7</v>
      </c>
      <c r="K39" s="124">
        <f t="shared" si="7"/>
        <v>140</v>
      </c>
      <c r="L39" s="124"/>
      <c r="M39" s="124">
        <v>16</v>
      </c>
      <c r="N39" s="124">
        <v>81</v>
      </c>
      <c r="O39" s="124">
        <f t="shared" si="8"/>
        <v>97</v>
      </c>
      <c r="P39" s="128">
        <f t="shared" si="6"/>
        <v>1043</v>
      </c>
      <c r="Q39" s="69"/>
    </row>
    <row r="40" spans="1:17">
      <c r="A40" t="s">
        <v>759</v>
      </c>
      <c r="B40" s="129">
        <v>173</v>
      </c>
      <c r="C40" s="129">
        <v>167</v>
      </c>
      <c r="D40" s="129">
        <v>589</v>
      </c>
      <c r="E40" s="129">
        <v>108</v>
      </c>
      <c r="F40" s="237">
        <f>SUM(B40:E40)+31</f>
        <v>1068</v>
      </c>
      <c r="G40" s="129"/>
      <c r="H40" s="129">
        <v>11</v>
      </c>
      <c r="I40" s="129">
        <v>127</v>
      </c>
      <c r="J40" s="129">
        <v>4.5</v>
      </c>
      <c r="K40" s="129">
        <f t="shared" si="7"/>
        <v>142.5</v>
      </c>
      <c r="L40" s="129"/>
      <c r="M40" s="129">
        <v>19</v>
      </c>
      <c r="N40" s="129">
        <v>93</v>
      </c>
      <c r="O40" s="124">
        <f t="shared" si="8"/>
        <v>112</v>
      </c>
      <c r="P40" s="128">
        <f>+F40+K40+O40</f>
        <v>1322.5</v>
      </c>
      <c r="Q40" s="69"/>
    </row>
    <row r="41" spans="1:17">
      <c r="A41" t="s">
        <v>760</v>
      </c>
      <c r="B41" s="129">
        <v>196</v>
      </c>
      <c r="C41" s="129">
        <v>180</v>
      </c>
      <c r="D41" s="129">
        <v>777</v>
      </c>
      <c r="E41" s="129">
        <v>82</v>
      </c>
      <c r="F41" s="237">
        <f>SUM(B41:E41)+41</f>
        <v>1276</v>
      </c>
      <c r="G41" s="129"/>
      <c r="H41" s="129">
        <v>9</v>
      </c>
      <c r="I41" s="129">
        <v>165</v>
      </c>
      <c r="J41" s="129">
        <v>4.9000000000000004</v>
      </c>
      <c r="K41" s="129">
        <f>SUM(H41:J41)</f>
        <v>178.9</v>
      </c>
      <c r="L41" s="129"/>
      <c r="M41" s="129">
        <v>19</v>
      </c>
      <c r="N41" s="129">
        <v>87</v>
      </c>
      <c r="O41" s="124">
        <f t="shared" si="8"/>
        <v>106</v>
      </c>
      <c r="P41" s="128">
        <f>+F41+K41+O41</f>
        <v>1560.9</v>
      </c>
      <c r="Q41" s="69"/>
    </row>
    <row r="42" spans="1:17">
      <c r="A42" t="s">
        <v>761</v>
      </c>
      <c r="B42" s="129">
        <v>172</v>
      </c>
      <c r="C42" s="129">
        <v>146</v>
      </c>
      <c r="D42" s="129">
        <v>706</v>
      </c>
      <c r="E42" s="129">
        <v>106</v>
      </c>
      <c r="F42" s="237">
        <f>SUM(B42:E42)+38</f>
        <v>1168</v>
      </c>
      <c r="G42" s="129"/>
      <c r="H42" s="129">
        <v>12</v>
      </c>
      <c r="I42" s="129">
        <v>205</v>
      </c>
      <c r="J42" s="129">
        <v>8</v>
      </c>
      <c r="K42" s="129">
        <f>SUM(H42:J42)+23</f>
        <v>248</v>
      </c>
      <c r="L42" s="129"/>
      <c r="M42" s="129">
        <v>21</v>
      </c>
      <c r="N42" s="129">
        <v>99</v>
      </c>
      <c r="O42" s="124">
        <f t="shared" si="8"/>
        <v>120</v>
      </c>
      <c r="P42" s="128">
        <f>+F42+K42+O42</f>
        <v>1536</v>
      </c>
      <c r="Q42" s="69"/>
    </row>
    <row r="43" spans="1:17">
      <c r="A43" s="130">
        <v>2017</v>
      </c>
      <c r="B43" s="285">
        <v>193</v>
      </c>
      <c r="C43" s="285">
        <v>186</v>
      </c>
      <c r="D43" s="285">
        <v>825</v>
      </c>
      <c r="E43" s="285">
        <v>118</v>
      </c>
      <c r="F43" s="286">
        <f>SUM(B43:E43)+43</f>
        <v>1365</v>
      </c>
      <c r="G43" s="285"/>
      <c r="H43" s="285">
        <v>20</v>
      </c>
      <c r="I43" s="285">
        <v>210</v>
      </c>
      <c r="J43" s="285">
        <v>7.6</v>
      </c>
      <c r="K43" s="285">
        <f>SUM(H43:J43)+29</f>
        <v>266.60000000000002</v>
      </c>
      <c r="L43" s="285"/>
      <c r="M43" s="285">
        <v>27</v>
      </c>
      <c r="N43" s="285">
        <v>117</v>
      </c>
      <c r="O43" s="131">
        <f>+M43+N43</f>
        <v>144</v>
      </c>
      <c r="P43" s="132">
        <f>+F43+K43+O43</f>
        <v>1775.6</v>
      </c>
      <c r="Q43" s="69"/>
    </row>
    <row r="44" spans="1:17">
      <c r="A44" s="142" t="s">
        <v>584</v>
      </c>
      <c r="B44" s="124"/>
      <c r="C44" s="124"/>
      <c r="D44" s="124"/>
      <c r="E44" s="124"/>
      <c r="F44" s="133"/>
      <c r="G44" s="124"/>
      <c r="H44" s="124"/>
      <c r="I44" s="124"/>
      <c r="J44" s="124"/>
      <c r="K44" s="124"/>
      <c r="L44" s="124"/>
      <c r="M44" s="124"/>
      <c r="N44" s="124"/>
      <c r="O44" s="124"/>
      <c r="P44" s="133"/>
      <c r="Q44" s="69"/>
    </row>
    <row r="45" spans="1:17" ht="13.25" customHeight="1">
      <c r="A45" s="117" t="s">
        <v>610</v>
      </c>
    </row>
    <row r="46" spans="1:17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1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4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47"/>
  <sheetViews>
    <sheetView zoomScaleNormal="100" zoomScaleSheetLayoutView="100" workbookViewId="0"/>
  </sheetViews>
  <sheetFormatPr baseColWidth="10" defaultColWidth="8.75" defaultRowHeight="11"/>
  <cols>
    <col min="1" max="1" width="6.5" customWidth="1"/>
    <col min="2" max="3" width="8.5" customWidth="1"/>
    <col min="5" max="5" width="7.75" customWidth="1"/>
    <col min="6" max="6" width="9" customWidth="1"/>
    <col min="7" max="7" width="0.75" customWidth="1"/>
    <col min="8" max="8" width="7.75" customWidth="1"/>
    <col min="9" max="9" width="8.5" customWidth="1"/>
    <col min="10" max="10" width="7.75" customWidth="1"/>
    <col min="12" max="12" width="0.75" customWidth="1"/>
    <col min="13" max="15" width="8.5" customWidth="1"/>
    <col min="17" max="17" width="10.75" bestFit="1" customWidth="1"/>
  </cols>
  <sheetData>
    <row r="1" spans="1:18">
      <c r="A1" s="126" t="s">
        <v>699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8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8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8">
      <c r="C4" s="303"/>
      <c r="D4" s="303"/>
      <c r="E4" s="303"/>
      <c r="F4" s="303"/>
      <c r="G4" s="303"/>
      <c r="H4" s="303"/>
      <c r="I4" s="303" t="s">
        <v>139</v>
      </c>
      <c r="J4" s="303"/>
      <c r="K4" s="303"/>
      <c r="L4" s="303"/>
      <c r="M4" s="303"/>
      <c r="N4" s="303"/>
      <c r="O4" s="303"/>
      <c r="P4" s="303"/>
    </row>
    <row r="5" spans="1:18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>
      <c r="A6" t="s">
        <v>42</v>
      </c>
      <c r="B6" s="29">
        <v>265000</v>
      </c>
      <c r="C6" s="29">
        <v>144480</v>
      </c>
      <c r="D6" s="29">
        <v>994590</v>
      </c>
      <c r="E6" s="29">
        <v>14300</v>
      </c>
      <c r="F6" s="29">
        <f t="shared" ref="F6:F20" si="0">SUM(B6:E6)</f>
        <v>1418370</v>
      </c>
      <c r="G6" s="29"/>
      <c r="H6" s="29">
        <v>140175</v>
      </c>
      <c r="I6" s="29">
        <v>293250</v>
      </c>
      <c r="J6" s="29">
        <v>22352</v>
      </c>
      <c r="K6" s="29">
        <f t="shared" ref="K6:K20" si="1">SUM(H6:J6)</f>
        <v>455777</v>
      </c>
      <c r="L6" s="29"/>
      <c r="M6" s="29">
        <v>136350</v>
      </c>
      <c r="N6" s="29">
        <v>291330</v>
      </c>
      <c r="O6" s="29">
        <f t="shared" ref="O6:O20" si="2">SUM(M6:N6)</f>
        <v>427680</v>
      </c>
      <c r="P6" s="80">
        <v>2302762</v>
      </c>
      <c r="Q6" s="17"/>
      <c r="R6" s="29"/>
    </row>
    <row r="7" spans="1:18">
      <c r="A7" t="s">
        <v>43</v>
      </c>
      <c r="B7" s="29">
        <v>602730</v>
      </c>
      <c r="C7" s="29">
        <v>178200</v>
      </c>
      <c r="D7" s="29">
        <v>1655450</v>
      </c>
      <c r="E7" s="29">
        <v>39000</v>
      </c>
      <c r="F7" s="29">
        <f t="shared" si="0"/>
        <v>2475380</v>
      </c>
      <c r="G7" s="29"/>
      <c r="H7" s="29">
        <v>189280</v>
      </c>
      <c r="I7" s="29">
        <v>393250</v>
      </c>
      <c r="J7" s="29">
        <v>24900</v>
      </c>
      <c r="K7" s="29">
        <f t="shared" si="1"/>
        <v>607430</v>
      </c>
      <c r="L7" s="29"/>
      <c r="M7" s="29">
        <v>330750</v>
      </c>
      <c r="N7" s="29">
        <v>555560</v>
      </c>
      <c r="O7" s="29">
        <f t="shared" si="2"/>
        <v>886310</v>
      </c>
      <c r="P7" s="80">
        <v>3981850</v>
      </c>
      <c r="Q7" s="17"/>
      <c r="R7" s="29"/>
    </row>
    <row r="8" spans="1:18">
      <c r="A8" t="s">
        <v>44</v>
      </c>
      <c r="B8" s="29">
        <v>522150</v>
      </c>
      <c r="C8" s="29">
        <v>153000</v>
      </c>
      <c r="D8" s="29">
        <v>1517480</v>
      </c>
      <c r="E8" s="29">
        <v>30000</v>
      </c>
      <c r="F8" s="29">
        <f t="shared" si="0"/>
        <v>2222630</v>
      </c>
      <c r="G8" s="29"/>
      <c r="H8" s="29">
        <v>174580</v>
      </c>
      <c r="I8" s="29">
        <v>325125</v>
      </c>
      <c r="J8" s="29">
        <v>25220</v>
      </c>
      <c r="K8" s="29">
        <f t="shared" si="1"/>
        <v>524925</v>
      </c>
      <c r="L8" s="29"/>
      <c r="M8" s="29">
        <v>275500</v>
      </c>
      <c r="N8" s="29">
        <v>417200</v>
      </c>
      <c r="O8" s="29">
        <f t="shared" si="2"/>
        <v>692700</v>
      </c>
      <c r="P8" s="80">
        <f t="shared" ref="P8:P26" si="3">+F8+K8+O8</f>
        <v>3440255</v>
      </c>
      <c r="Q8" s="17"/>
      <c r="R8" s="29"/>
    </row>
    <row r="9" spans="1:18">
      <c r="A9" t="s">
        <v>45</v>
      </c>
      <c r="B9" s="29">
        <v>454500</v>
      </c>
      <c r="C9" s="29">
        <v>166800</v>
      </c>
      <c r="D9" s="29">
        <v>1567980</v>
      </c>
      <c r="E9" s="29">
        <v>25000</v>
      </c>
      <c r="F9" s="29">
        <f t="shared" si="0"/>
        <v>2214280</v>
      </c>
      <c r="G9" s="29"/>
      <c r="H9" s="29">
        <v>176540</v>
      </c>
      <c r="I9" s="29">
        <v>362275</v>
      </c>
      <c r="J9" s="29">
        <v>25630</v>
      </c>
      <c r="K9" s="29">
        <f t="shared" si="1"/>
        <v>564445</v>
      </c>
      <c r="L9" s="29"/>
      <c r="M9" s="29">
        <v>198550</v>
      </c>
      <c r="N9" s="29">
        <v>318255</v>
      </c>
      <c r="O9" s="29">
        <f t="shared" si="2"/>
        <v>516805</v>
      </c>
      <c r="P9" s="80">
        <f t="shared" si="3"/>
        <v>3295530</v>
      </c>
      <c r="Q9" s="17"/>
      <c r="R9" s="29"/>
    </row>
    <row r="10" spans="1:18">
      <c r="A10" t="s">
        <v>46</v>
      </c>
      <c r="B10" s="29">
        <v>648550</v>
      </c>
      <c r="C10" s="29">
        <v>246400</v>
      </c>
      <c r="D10" s="29">
        <v>2160000</v>
      </c>
      <c r="E10" s="29">
        <v>39150</v>
      </c>
      <c r="F10" s="29">
        <f t="shared" si="0"/>
        <v>3094100</v>
      </c>
      <c r="G10" s="29"/>
      <c r="H10" s="29">
        <v>189200</v>
      </c>
      <c r="I10" s="29">
        <v>371295</v>
      </c>
      <c r="J10" s="29">
        <v>32190</v>
      </c>
      <c r="K10" s="29">
        <f t="shared" si="1"/>
        <v>592685</v>
      </c>
      <c r="L10" s="29"/>
      <c r="M10" s="29">
        <v>269660</v>
      </c>
      <c r="N10" s="29">
        <v>449500</v>
      </c>
      <c r="O10" s="29">
        <f t="shared" si="2"/>
        <v>719160</v>
      </c>
      <c r="P10" s="80">
        <f t="shared" si="3"/>
        <v>4405945</v>
      </c>
      <c r="Q10" s="17"/>
      <c r="R10" s="29"/>
    </row>
    <row r="11" spans="1:18">
      <c r="A11" t="s">
        <v>47</v>
      </c>
      <c r="B11" s="29">
        <v>590000</v>
      </c>
      <c r="C11" s="29">
        <v>216000</v>
      </c>
      <c r="D11" s="29">
        <v>1921320</v>
      </c>
      <c r="E11" s="29">
        <v>34200</v>
      </c>
      <c r="F11" s="29">
        <f t="shared" si="0"/>
        <v>2761520</v>
      </c>
      <c r="G11" s="29"/>
      <c r="H11" s="29">
        <v>170980</v>
      </c>
      <c r="I11" s="29">
        <v>422625</v>
      </c>
      <c r="J11" s="29">
        <v>31992</v>
      </c>
      <c r="K11" s="29">
        <f t="shared" si="1"/>
        <v>625597</v>
      </c>
      <c r="L11" s="29"/>
      <c r="M11" s="29">
        <v>283680</v>
      </c>
      <c r="N11" s="29">
        <v>451990</v>
      </c>
      <c r="O11" s="29">
        <f t="shared" si="2"/>
        <v>735670</v>
      </c>
      <c r="P11" s="80">
        <f t="shared" si="3"/>
        <v>4122787</v>
      </c>
      <c r="Q11" s="17"/>
      <c r="R11" s="29"/>
    </row>
    <row r="12" spans="1:18">
      <c r="A12" t="s">
        <v>48</v>
      </c>
      <c r="B12" s="29">
        <v>494940</v>
      </c>
      <c r="C12" s="29">
        <v>233160</v>
      </c>
      <c r="D12" s="29">
        <v>1632575</v>
      </c>
      <c r="E12" s="29">
        <v>25530</v>
      </c>
      <c r="F12" s="29">
        <f t="shared" si="0"/>
        <v>2386205</v>
      </c>
      <c r="G12" s="29"/>
      <c r="H12" s="29">
        <v>180840</v>
      </c>
      <c r="I12" s="29">
        <v>385000</v>
      </c>
      <c r="J12" s="29">
        <v>28700</v>
      </c>
      <c r="K12" s="29">
        <f t="shared" si="1"/>
        <v>594540</v>
      </c>
      <c r="L12" s="29"/>
      <c r="M12" s="29">
        <v>275900</v>
      </c>
      <c r="N12" s="29">
        <v>440440</v>
      </c>
      <c r="O12" s="29">
        <f t="shared" si="2"/>
        <v>716340</v>
      </c>
      <c r="P12" s="80">
        <f t="shared" si="3"/>
        <v>3697085</v>
      </c>
      <c r="Q12" s="17"/>
      <c r="R12" s="29"/>
    </row>
    <row r="13" spans="1:18">
      <c r="A13" t="s">
        <v>49</v>
      </c>
      <c r="B13" s="29">
        <v>465300</v>
      </c>
      <c r="C13" s="29">
        <v>215800</v>
      </c>
      <c r="D13" s="29">
        <v>1575000</v>
      </c>
      <c r="E13" s="29">
        <v>31200</v>
      </c>
      <c r="F13" s="29">
        <f t="shared" si="0"/>
        <v>2287300</v>
      </c>
      <c r="G13" s="29"/>
      <c r="H13" s="29">
        <v>222750</v>
      </c>
      <c r="I13" s="29">
        <v>441000</v>
      </c>
      <c r="J13" s="29">
        <v>29760</v>
      </c>
      <c r="K13" s="29">
        <f t="shared" si="1"/>
        <v>693510</v>
      </c>
      <c r="L13" s="29"/>
      <c r="M13" s="29">
        <v>243000</v>
      </c>
      <c r="N13" s="29">
        <v>392200</v>
      </c>
      <c r="O13" s="29">
        <f t="shared" si="2"/>
        <v>635200</v>
      </c>
      <c r="P13" s="80">
        <f t="shared" si="3"/>
        <v>3616010</v>
      </c>
      <c r="Q13" s="17"/>
      <c r="R13" s="29"/>
    </row>
    <row r="14" spans="1:18">
      <c r="A14" t="s">
        <v>50</v>
      </c>
      <c r="B14" s="29">
        <v>561680</v>
      </c>
      <c r="C14" s="29">
        <v>228600</v>
      </c>
      <c r="D14" s="29">
        <v>1801550</v>
      </c>
      <c r="E14" s="29">
        <v>32110</v>
      </c>
      <c r="F14" s="29">
        <f t="shared" si="0"/>
        <v>2623940</v>
      </c>
      <c r="G14" s="29"/>
      <c r="H14" s="29">
        <v>225040</v>
      </c>
      <c r="I14" s="29">
        <v>417500</v>
      </c>
      <c r="J14" s="29">
        <v>30552</v>
      </c>
      <c r="K14" s="29">
        <f t="shared" si="1"/>
        <v>673092</v>
      </c>
      <c r="L14" s="29"/>
      <c r="M14" s="29">
        <v>263900</v>
      </c>
      <c r="N14" s="29">
        <v>419985</v>
      </c>
      <c r="O14" s="29">
        <f t="shared" si="2"/>
        <v>683885</v>
      </c>
      <c r="P14" s="80">
        <f t="shared" si="3"/>
        <v>3980917</v>
      </c>
      <c r="Q14" s="17"/>
      <c r="R14" s="29"/>
    </row>
    <row r="15" spans="1:18">
      <c r="A15" t="s">
        <v>51</v>
      </c>
      <c r="B15" s="29">
        <v>537750</v>
      </c>
      <c r="C15" s="29">
        <v>214890</v>
      </c>
      <c r="D15" s="29">
        <v>1849500</v>
      </c>
      <c r="E15" s="29">
        <v>32500</v>
      </c>
      <c r="F15" s="29">
        <f t="shared" si="0"/>
        <v>2634640</v>
      </c>
      <c r="G15" s="29"/>
      <c r="H15" s="29">
        <v>210700</v>
      </c>
      <c r="I15" s="29">
        <v>484700</v>
      </c>
      <c r="J15" s="29">
        <v>43680</v>
      </c>
      <c r="K15" s="29">
        <f t="shared" si="1"/>
        <v>739080</v>
      </c>
      <c r="L15" s="29"/>
      <c r="M15" s="29">
        <v>246155</v>
      </c>
      <c r="N15" s="29">
        <v>370120</v>
      </c>
      <c r="O15" s="29">
        <f t="shared" si="2"/>
        <v>616275</v>
      </c>
      <c r="P15" s="80">
        <f t="shared" si="3"/>
        <v>3989995</v>
      </c>
      <c r="Q15" s="17"/>
      <c r="R15" s="29"/>
    </row>
    <row r="16" spans="1:18">
      <c r="A16" t="s">
        <v>52</v>
      </c>
      <c r="B16" s="29">
        <v>386560</v>
      </c>
      <c r="C16" s="29">
        <v>234000</v>
      </c>
      <c r="D16" s="29">
        <v>1347500</v>
      </c>
      <c r="E16" s="29">
        <v>30105</v>
      </c>
      <c r="F16" s="29">
        <f t="shared" si="0"/>
        <v>1998165</v>
      </c>
      <c r="G16" s="29"/>
      <c r="H16" s="29">
        <v>235320</v>
      </c>
      <c r="I16" s="29">
        <v>534650</v>
      </c>
      <c r="J16" s="29">
        <v>50000</v>
      </c>
      <c r="K16" s="29">
        <f t="shared" si="1"/>
        <v>819970</v>
      </c>
      <c r="L16" s="29"/>
      <c r="M16" s="29">
        <v>309915</v>
      </c>
      <c r="N16" s="29">
        <v>475600</v>
      </c>
      <c r="O16" s="29">
        <f t="shared" si="2"/>
        <v>785515</v>
      </c>
      <c r="P16" s="80">
        <f t="shared" si="3"/>
        <v>3603650</v>
      </c>
      <c r="Q16" s="17"/>
      <c r="R16" s="29"/>
    </row>
    <row r="17" spans="1:18">
      <c r="A17" t="s">
        <v>53</v>
      </c>
      <c r="B17" s="29">
        <v>638485</v>
      </c>
      <c r="C17" s="29">
        <v>279660</v>
      </c>
      <c r="D17" s="29">
        <v>2228550</v>
      </c>
      <c r="E17" s="29">
        <v>33600</v>
      </c>
      <c r="F17" s="29">
        <f t="shared" si="0"/>
        <v>3180295</v>
      </c>
      <c r="G17" s="29"/>
      <c r="H17" s="29">
        <v>243800</v>
      </c>
      <c r="I17" s="29">
        <v>682500</v>
      </c>
      <c r="J17" s="29">
        <v>51075</v>
      </c>
      <c r="K17" s="29">
        <f t="shared" si="1"/>
        <v>977375</v>
      </c>
      <c r="L17" s="29"/>
      <c r="M17" s="29">
        <v>307200</v>
      </c>
      <c r="N17" s="29">
        <v>461700</v>
      </c>
      <c r="O17" s="29">
        <f t="shared" si="2"/>
        <v>768900</v>
      </c>
      <c r="P17" s="80">
        <f t="shared" si="3"/>
        <v>4926570</v>
      </c>
      <c r="Q17" s="17"/>
      <c r="R17" s="29"/>
    </row>
    <row r="18" spans="1:18">
      <c r="A18" t="s">
        <v>74</v>
      </c>
      <c r="B18" s="29">
        <v>591180</v>
      </c>
      <c r="C18" s="29">
        <v>202510</v>
      </c>
      <c r="D18" s="29">
        <v>1820465</v>
      </c>
      <c r="E18" s="29">
        <v>32500</v>
      </c>
      <c r="F18" s="29">
        <f t="shared" si="0"/>
        <v>2646655</v>
      </c>
      <c r="G18" s="29"/>
      <c r="H18" s="29">
        <v>236180</v>
      </c>
      <c r="I18" s="29">
        <v>680150</v>
      </c>
      <c r="J18" s="29">
        <v>58236</v>
      </c>
      <c r="K18" s="29">
        <f t="shared" si="1"/>
        <v>974566</v>
      </c>
      <c r="L18" s="29"/>
      <c r="M18" s="29">
        <v>256215</v>
      </c>
      <c r="N18" s="29">
        <v>406980</v>
      </c>
      <c r="O18" s="29">
        <f t="shared" si="2"/>
        <v>663195</v>
      </c>
      <c r="P18" s="80">
        <f t="shared" si="3"/>
        <v>4284416</v>
      </c>
      <c r="Q18" s="17"/>
      <c r="R18" s="29"/>
    </row>
    <row r="19" spans="1:18">
      <c r="A19" t="s">
        <v>55</v>
      </c>
      <c r="B19" s="29">
        <v>473220</v>
      </c>
      <c r="C19" s="29">
        <v>194880</v>
      </c>
      <c r="D19" s="29">
        <v>1383545</v>
      </c>
      <c r="E19" s="29">
        <v>24500</v>
      </c>
      <c r="F19" s="29">
        <f t="shared" si="0"/>
        <v>2076145</v>
      </c>
      <c r="G19" s="29"/>
      <c r="H19" s="29">
        <v>233580</v>
      </c>
      <c r="I19" s="29">
        <v>550175</v>
      </c>
      <c r="J19" s="29">
        <v>56680</v>
      </c>
      <c r="K19" s="29">
        <f t="shared" si="1"/>
        <v>840435</v>
      </c>
      <c r="L19" s="29"/>
      <c r="M19" s="29">
        <v>176250</v>
      </c>
      <c r="N19" s="29">
        <v>299585</v>
      </c>
      <c r="O19" s="29">
        <f t="shared" si="2"/>
        <v>475835</v>
      </c>
      <c r="P19" s="80">
        <f t="shared" si="3"/>
        <v>3392415</v>
      </c>
      <c r="Q19" s="17"/>
      <c r="R19" s="29"/>
    </row>
    <row r="20" spans="1:18">
      <c r="A20" t="s">
        <v>56</v>
      </c>
      <c r="B20" s="29">
        <v>446220</v>
      </c>
      <c r="C20" s="29">
        <v>207480</v>
      </c>
      <c r="D20" s="29">
        <v>1862630</v>
      </c>
      <c r="E20" s="29">
        <v>36250</v>
      </c>
      <c r="F20" s="29">
        <f t="shared" si="0"/>
        <v>2552580</v>
      </c>
      <c r="G20" s="29"/>
      <c r="H20" s="29">
        <v>261000</v>
      </c>
      <c r="I20" s="29">
        <v>605570</v>
      </c>
      <c r="J20" s="29">
        <v>51660</v>
      </c>
      <c r="K20" s="29">
        <f t="shared" si="1"/>
        <v>918230</v>
      </c>
      <c r="L20" s="29"/>
      <c r="M20" s="29">
        <v>291180</v>
      </c>
      <c r="N20" s="29">
        <v>485465</v>
      </c>
      <c r="O20" s="29">
        <f t="shared" si="2"/>
        <v>776645</v>
      </c>
      <c r="P20" s="80">
        <f t="shared" si="3"/>
        <v>4247455</v>
      </c>
      <c r="Q20" s="17"/>
      <c r="R20" s="29"/>
    </row>
    <row r="21" spans="1:18">
      <c r="A21" t="s">
        <v>57</v>
      </c>
      <c r="B21" s="29">
        <v>483360</v>
      </c>
      <c r="C21" s="29">
        <v>193590</v>
      </c>
      <c r="D21" s="29">
        <v>1414880</v>
      </c>
      <c r="E21" s="29">
        <v>30800</v>
      </c>
      <c r="F21" s="29">
        <f t="shared" ref="F21:F28" si="4">SUM(B21:E21)</f>
        <v>2122630</v>
      </c>
      <c r="G21" s="29"/>
      <c r="H21" s="29">
        <v>201880</v>
      </c>
      <c r="I21" s="29">
        <v>540000</v>
      </c>
      <c r="J21" s="29">
        <v>43000</v>
      </c>
      <c r="K21" s="29">
        <f t="shared" ref="K21:K28" si="5">SUM(H21:J21)</f>
        <v>784880</v>
      </c>
      <c r="L21" s="29"/>
      <c r="M21" s="29">
        <v>206925</v>
      </c>
      <c r="N21" s="29">
        <v>347040</v>
      </c>
      <c r="O21" s="29">
        <f t="shared" ref="O21:O28" si="6">SUM(M21:N21)</f>
        <v>553965</v>
      </c>
      <c r="P21" s="80">
        <f t="shared" si="3"/>
        <v>3461475</v>
      </c>
      <c r="Q21" s="17"/>
      <c r="R21" s="29"/>
    </row>
    <row r="22" spans="1:18">
      <c r="A22" t="s">
        <v>75</v>
      </c>
      <c r="B22" s="29">
        <v>449805</v>
      </c>
      <c r="C22" s="29">
        <v>236160</v>
      </c>
      <c r="D22" s="29">
        <v>1433770</v>
      </c>
      <c r="E22" s="29">
        <v>32550</v>
      </c>
      <c r="F22" s="29">
        <f t="shared" si="4"/>
        <v>2152285</v>
      </c>
      <c r="G22" s="29"/>
      <c r="H22" s="29">
        <v>195210</v>
      </c>
      <c r="I22" s="29">
        <v>689000</v>
      </c>
      <c r="J22" s="29">
        <v>37950</v>
      </c>
      <c r="K22" s="29">
        <f t="shared" si="5"/>
        <v>922160</v>
      </c>
      <c r="L22" s="29"/>
      <c r="M22" s="29">
        <v>219260</v>
      </c>
      <c r="N22" s="29">
        <v>367500</v>
      </c>
      <c r="O22" s="29">
        <f t="shared" si="6"/>
        <v>586760</v>
      </c>
      <c r="P22" s="80">
        <f t="shared" si="3"/>
        <v>3661205</v>
      </c>
      <c r="Q22" s="17"/>
      <c r="R22" s="29"/>
    </row>
    <row r="23" spans="1:18">
      <c r="A23" t="s">
        <v>59</v>
      </c>
      <c r="B23" s="29">
        <v>372490</v>
      </c>
      <c r="C23" s="29">
        <v>228060</v>
      </c>
      <c r="D23" s="29">
        <v>1333830</v>
      </c>
      <c r="E23" s="29">
        <v>30450</v>
      </c>
      <c r="F23" s="29">
        <f t="shared" si="4"/>
        <v>1964830</v>
      </c>
      <c r="G23" s="29"/>
      <c r="H23" s="29">
        <v>184800</v>
      </c>
      <c r="I23" s="29">
        <v>822150</v>
      </c>
      <c r="J23" s="29">
        <v>46710</v>
      </c>
      <c r="K23" s="29">
        <f t="shared" si="5"/>
        <v>1053660</v>
      </c>
      <c r="L23" s="29"/>
      <c r="M23" s="29">
        <v>191250</v>
      </c>
      <c r="N23" s="29">
        <v>329640</v>
      </c>
      <c r="O23" s="29">
        <f t="shared" si="6"/>
        <v>520890</v>
      </c>
      <c r="P23" s="80">
        <f t="shared" si="3"/>
        <v>3539380</v>
      </c>
      <c r="Q23" s="17"/>
      <c r="R23" s="29"/>
    </row>
    <row r="24" spans="1:18">
      <c r="A24" t="s">
        <v>122</v>
      </c>
      <c r="B24" s="29">
        <v>432415</v>
      </c>
      <c r="C24" s="29">
        <v>233100</v>
      </c>
      <c r="D24" s="29">
        <v>1511655</v>
      </c>
      <c r="E24" s="29">
        <v>28175</v>
      </c>
      <c r="F24" s="29">
        <f t="shared" si="4"/>
        <v>2205345</v>
      </c>
      <c r="G24" s="29"/>
      <c r="H24" s="29">
        <v>159750</v>
      </c>
      <c r="I24" s="29">
        <v>917900</v>
      </c>
      <c r="J24" s="29">
        <v>62040</v>
      </c>
      <c r="K24" s="29">
        <f t="shared" si="5"/>
        <v>1139690</v>
      </c>
      <c r="L24" s="29"/>
      <c r="M24" s="29">
        <v>221250</v>
      </c>
      <c r="N24" s="29">
        <v>397155</v>
      </c>
      <c r="O24" s="29">
        <f t="shared" si="6"/>
        <v>618405</v>
      </c>
      <c r="P24" s="80">
        <f t="shared" si="3"/>
        <v>3963440</v>
      </c>
      <c r="Q24" s="17"/>
      <c r="R24" s="29"/>
    </row>
    <row r="25" spans="1:18">
      <c r="A25" t="s">
        <v>123</v>
      </c>
      <c r="B25" s="29">
        <v>448050</v>
      </c>
      <c r="C25" s="29">
        <v>260380</v>
      </c>
      <c r="D25" s="29">
        <v>1400800</v>
      </c>
      <c r="E25" s="29">
        <v>25300</v>
      </c>
      <c r="F25" s="29">
        <f t="shared" si="4"/>
        <v>2134530</v>
      </c>
      <c r="G25" s="29"/>
      <c r="H25" s="29">
        <v>189600</v>
      </c>
      <c r="I25" s="29">
        <v>926800</v>
      </c>
      <c r="J25" s="29">
        <v>61600</v>
      </c>
      <c r="K25" s="29">
        <f t="shared" si="5"/>
        <v>1178000</v>
      </c>
      <c r="L25" s="29"/>
      <c r="M25" s="29">
        <v>218120</v>
      </c>
      <c r="N25" s="29">
        <v>298840</v>
      </c>
      <c r="O25" s="29">
        <f t="shared" si="6"/>
        <v>516960</v>
      </c>
      <c r="P25" s="80">
        <f t="shared" si="3"/>
        <v>3829490</v>
      </c>
      <c r="Q25" s="17"/>
      <c r="R25" s="29"/>
    </row>
    <row r="26" spans="1:18">
      <c r="A26" s="71">
        <v>2000</v>
      </c>
      <c r="B26" s="80">
        <v>271180</v>
      </c>
      <c r="C26" s="80">
        <v>213710</v>
      </c>
      <c r="D26" s="80">
        <v>1328400</v>
      </c>
      <c r="E26" s="80">
        <v>29500</v>
      </c>
      <c r="F26" s="80">
        <f t="shared" si="4"/>
        <v>1842790</v>
      </c>
      <c r="G26" s="80"/>
      <c r="H26" s="80">
        <v>120600</v>
      </c>
      <c r="I26" s="80">
        <v>698500</v>
      </c>
      <c r="J26" s="80">
        <v>54990</v>
      </c>
      <c r="K26" s="80">
        <f t="shared" si="5"/>
        <v>874090</v>
      </c>
      <c r="L26" s="80"/>
      <c r="M26" s="80">
        <v>210375</v>
      </c>
      <c r="N26" s="80">
        <v>338250</v>
      </c>
      <c r="O26" s="80">
        <f t="shared" si="6"/>
        <v>548625</v>
      </c>
      <c r="P26" s="80">
        <f t="shared" si="3"/>
        <v>3265505</v>
      </c>
      <c r="Q26" s="17"/>
      <c r="R26" s="29"/>
    </row>
    <row r="27" spans="1:18">
      <c r="A27" s="71">
        <v>2001</v>
      </c>
      <c r="B27" s="80">
        <v>532325</v>
      </c>
      <c r="C27" s="80">
        <v>250100</v>
      </c>
      <c r="D27" s="80">
        <v>1711620</v>
      </c>
      <c r="E27" s="80">
        <v>30600</v>
      </c>
      <c r="F27" s="80">
        <f t="shared" si="4"/>
        <v>2524645</v>
      </c>
      <c r="G27" s="80"/>
      <c r="H27" s="80">
        <v>197890</v>
      </c>
      <c r="I27" s="80">
        <v>895900</v>
      </c>
      <c r="J27" s="80">
        <v>67044</v>
      </c>
      <c r="K27" s="80">
        <f t="shared" si="5"/>
        <v>1160834</v>
      </c>
      <c r="L27" s="80"/>
      <c r="M27" s="80">
        <v>234750</v>
      </c>
      <c r="N27" s="80">
        <v>356475</v>
      </c>
      <c r="O27" s="80">
        <f t="shared" si="6"/>
        <v>591225</v>
      </c>
      <c r="P27" s="80">
        <f t="shared" ref="P27:P32" si="7">+F27+K27+O27</f>
        <v>4276704</v>
      </c>
      <c r="Q27" s="17"/>
      <c r="R27" s="29"/>
    </row>
    <row r="28" spans="1:18">
      <c r="A28" s="71">
        <v>2002</v>
      </c>
      <c r="B28" s="135">
        <v>379800</v>
      </c>
      <c r="C28" s="135">
        <v>197800</v>
      </c>
      <c r="D28" s="135">
        <v>1313000</v>
      </c>
      <c r="E28" s="135">
        <v>19140</v>
      </c>
      <c r="F28" s="135">
        <f t="shared" si="4"/>
        <v>1909740</v>
      </c>
      <c r="G28" s="80"/>
      <c r="H28" s="135">
        <v>159600</v>
      </c>
      <c r="I28" s="135">
        <v>868000</v>
      </c>
      <c r="J28" s="135">
        <v>54000</v>
      </c>
      <c r="K28" s="80">
        <f t="shared" si="5"/>
        <v>1081600</v>
      </c>
      <c r="L28" s="80"/>
      <c r="M28" s="135">
        <v>119700</v>
      </c>
      <c r="N28" s="135">
        <v>210000</v>
      </c>
      <c r="O28" s="80">
        <f t="shared" si="6"/>
        <v>329700</v>
      </c>
      <c r="P28" s="80">
        <f t="shared" si="7"/>
        <v>3321040</v>
      </c>
      <c r="Q28" s="17"/>
      <c r="R28" s="29"/>
    </row>
    <row r="29" spans="1:18">
      <c r="A29" s="71">
        <v>2003</v>
      </c>
      <c r="B29" s="135">
        <v>508750</v>
      </c>
      <c r="C29" s="135">
        <v>345000</v>
      </c>
      <c r="D29" s="135">
        <v>1863000</v>
      </c>
      <c r="E29" s="135">
        <v>57800</v>
      </c>
      <c r="F29" s="135">
        <f>SUM(B29:E29)</f>
        <v>2774550</v>
      </c>
      <c r="G29" s="80"/>
      <c r="H29" s="135">
        <v>98000</v>
      </c>
      <c r="I29" s="135">
        <v>810000</v>
      </c>
      <c r="J29" s="135">
        <v>45900</v>
      </c>
      <c r="K29" s="80">
        <f t="shared" ref="K29:K34" si="8">SUM(H29:J29)</f>
        <v>953900</v>
      </c>
      <c r="L29" s="80"/>
      <c r="M29" s="135">
        <v>95700</v>
      </c>
      <c r="N29" s="135">
        <v>320000</v>
      </c>
      <c r="O29" s="80">
        <f t="shared" ref="O29:O34" si="9">SUM(M29:N29)</f>
        <v>415700</v>
      </c>
      <c r="P29" s="80">
        <f t="shared" si="7"/>
        <v>4144150</v>
      </c>
      <c r="Q29" s="17"/>
      <c r="R29" s="29"/>
    </row>
    <row r="30" spans="1:18">
      <c r="A30" s="71">
        <v>2004</v>
      </c>
      <c r="B30" s="135">
        <v>557200</v>
      </c>
      <c r="C30" s="135">
        <v>364000</v>
      </c>
      <c r="D30" s="135">
        <v>1817800</v>
      </c>
      <c r="E30" s="135">
        <v>112200</v>
      </c>
      <c r="F30" s="135">
        <f>SUM(B30:E30)</f>
        <v>2851200</v>
      </c>
      <c r="G30" s="135"/>
      <c r="H30" s="135">
        <v>102300</v>
      </c>
      <c r="I30" s="135">
        <v>803700</v>
      </c>
      <c r="J30" s="135">
        <v>59500</v>
      </c>
      <c r="K30" s="135">
        <f t="shared" si="8"/>
        <v>965500</v>
      </c>
      <c r="L30" s="135"/>
      <c r="M30" s="135">
        <v>104000</v>
      </c>
      <c r="N30" s="135">
        <v>367500</v>
      </c>
      <c r="O30" s="135">
        <f t="shared" si="9"/>
        <v>471500</v>
      </c>
      <c r="P30" s="135">
        <f t="shared" si="7"/>
        <v>4288200</v>
      </c>
      <c r="Q30" s="17"/>
      <c r="R30" s="29"/>
    </row>
    <row r="31" spans="1:18">
      <c r="A31" s="127">
        <v>2005</v>
      </c>
      <c r="B31" s="135">
        <v>613250</v>
      </c>
      <c r="C31" s="135">
        <v>410400</v>
      </c>
      <c r="D31" s="135">
        <v>2130000</v>
      </c>
      <c r="E31" s="135">
        <v>168000</v>
      </c>
      <c r="F31" s="135">
        <f>SUM(B31:E31)+44800</f>
        <v>3366450</v>
      </c>
      <c r="G31" s="135"/>
      <c r="H31" s="135">
        <v>107910</v>
      </c>
      <c r="I31" s="135">
        <v>975000</v>
      </c>
      <c r="J31" s="135">
        <v>66500</v>
      </c>
      <c r="K31" s="135">
        <f t="shared" si="8"/>
        <v>1149410</v>
      </c>
      <c r="L31" s="135"/>
      <c r="M31" s="135">
        <v>66000</v>
      </c>
      <c r="N31" s="135">
        <v>288000</v>
      </c>
      <c r="O31" s="135">
        <f t="shared" si="9"/>
        <v>354000</v>
      </c>
      <c r="P31" s="135">
        <f t="shared" si="7"/>
        <v>4869860</v>
      </c>
      <c r="Q31" s="17"/>
      <c r="R31" s="29"/>
    </row>
    <row r="32" spans="1:18">
      <c r="A32" s="127">
        <v>2006</v>
      </c>
      <c r="B32" s="135">
        <v>407500</v>
      </c>
      <c r="C32" s="135">
        <v>300000</v>
      </c>
      <c r="D32" s="135">
        <v>1598500</v>
      </c>
      <c r="E32" s="135">
        <v>168000</v>
      </c>
      <c r="F32" s="135">
        <f>SUM(B32:E32)+46400</f>
        <v>2520400</v>
      </c>
      <c r="G32" s="135"/>
      <c r="H32" s="135">
        <v>62700</v>
      </c>
      <c r="I32" s="135">
        <v>514750</v>
      </c>
      <c r="J32" s="135">
        <v>43200</v>
      </c>
      <c r="K32" s="135">
        <f t="shared" si="8"/>
        <v>620650</v>
      </c>
      <c r="L32" s="135"/>
      <c r="M32" s="135">
        <v>54400</v>
      </c>
      <c r="N32" s="135">
        <v>268800</v>
      </c>
      <c r="O32" s="135">
        <f t="shared" si="9"/>
        <v>323200</v>
      </c>
      <c r="P32" s="135">
        <f t="shared" si="7"/>
        <v>3464250</v>
      </c>
      <c r="Q32" s="17"/>
      <c r="R32" s="29"/>
    </row>
    <row r="33" spans="1:18">
      <c r="A33" s="127">
        <v>2007</v>
      </c>
      <c r="B33" s="135">
        <v>400350</v>
      </c>
      <c r="C33" s="135">
        <v>321300</v>
      </c>
      <c r="D33" s="135">
        <v>1622400</v>
      </c>
      <c r="E33" s="135">
        <v>173600</v>
      </c>
      <c r="F33" s="135">
        <f>SUM(B33:E33)+59400</f>
        <v>2577050</v>
      </c>
      <c r="G33" s="135"/>
      <c r="H33" s="135">
        <v>57800</v>
      </c>
      <c r="I33" s="135">
        <v>691900</v>
      </c>
      <c r="J33" s="135">
        <v>32000</v>
      </c>
      <c r="K33" s="135">
        <f t="shared" si="8"/>
        <v>781700</v>
      </c>
      <c r="L33" s="135"/>
      <c r="M33" s="135">
        <v>52500</v>
      </c>
      <c r="N33" s="135">
        <v>261000</v>
      </c>
      <c r="O33" s="135">
        <f t="shared" si="9"/>
        <v>313500</v>
      </c>
      <c r="P33" s="135">
        <f t="shared" ref="P33:P38" si="10">+F33+K33+O33</f>
        <v>3672250</v>
      </c>
      <c r="Q33" s="17"/>
      <c r="R33" s="29"/>
    </row>
    <row r="34" spans="1:18">
      <c r="A34" s="127">
        <v>2008</v>
      </c>
      <c r="B34" s="135">
        <v>675500</v>
      </c>
      <c r="C34" s="135">
        <v>448000</v>
      </c>
      <c r="D34" s="135">
        <v>2329000</v>
      </c>
      <c r="E34" s="135">
        <v>265200</v>
      </c>
      <c r="F34" s="135">
        <f>SUM(B34:E34)+81900</f>
        <v>3799600</v>
      </c>
      <c r="G34" s="135"/>
      <c r="H34" s="135">
        <v>63000</v>
      </c>
      <c r="I34" s="135">
        <v>834900</v>
      </c>
      <c r="J34" s="135">
        <v>25600</v>
      </c>
      <c r="K34" s="135">
        <f t="shared" si="8"/>
        <v>923500</v>
      </c>
      <c r="L34" s="135"/>
      <c r="M34" s="135">
        <v>80400</v>
      </c>
      <c r="N34" s="135">
        <v>358900</v>
      </c>
      <c r="O34" s="135">
        <f t="shared" si="9"/>
        <v>439300</v>
      </c>
      <c r="P34" s="135">
        <f t="shared" si="10"/>
        <v>5162400</v>
      </c>
      <c r="Q34" s="17"/>
      <c r="R34" s="29"/>
    </row>
    <row r="35" spans="1:18">
      <c r="A35" s="127">
        <v>2009</v>
      </c>
      <c r="B35" s="135">
        <v>495000</v>
      </c>
      <c r="C35" s="135">
        <v>336000</v>
      </c>
      <c r="D35" s="135">
        <v>1797800</v>
      </c>
      <c r="E35" s="135">
        <v>148800</v>
      </c>
      <c r="F35" s="135">
        <f>SUM(B35:E35)+54000</f>
        <v>2831600</v>
      </c>
      <c r="G35" s="135"/>
      <c r="H35" s="135">
        <v>42900</v>
      </c>
      <c r="I35" s="135">
        <v>506850</v>
      </c>
      <c r="J35" s="135">
        <v>21700</v>
      </c>
      <c r="K35" s="135">
        <f t="shared" ref="K35:K40" si="11">SUM(H35:J35)</f>
        <v>571450</v>
      </c>
      <c r="L35" s="135"/>
      <c r="M35" s="135">
        <v>44400</v>
      </c>
      <c r="N35" s="135">
        <v>244200</v>
      </c>
      <c r="O35" s="135">
        <f t="shared" ref="O35:O40" si="12">SUM(M35:N35)</f>
        <v>288600</v>
      </c>
      <c r="P35" s="135">
        <f t="shared" si="10"/>
        <v>3691650</v>
      </c>
      <c r="Q35" s="17"/>
      <c r="R35" s="29"/>
    </row>
    <row r="36" spans="1:18">
      <c r="A36" s="127">
        <v>2010</v>
      </c>
      <c r="B36" s="135">
        <v>481000</v>
      </c>
      <c r="C36" s="135">
        <v>472500</v>
      </c>
      <c r="D36" s="135">
        <v>1959150</v>
      </c>
      <c r="E36" s="135">
        <v>224000</v>
      </c>
      <c r="F36" s="135">
        <f>SUM(B36:E36)+63000</f>
        <v>3199650</v>
      </c>
      <c r="G36" s="135"/>
      <c r="H36" s="135">
        <v>70350</v>
      </c>
      <c r="I36" s="135">
        <v>586800</v>
      </c>
      <c r="J36" s="135">
        <v>34000</v>
      </c>
      <c r="K36" s="135">
        <f t="shared" si="11"/>
        <v>691150</v>
      </c>
      <c r="L36" s="135"/>
      <c r="M36" s="135">
        <v>33840</v>
      </c>
      <c r="N36" s="135">
        <v>232200</v>
      </c>
      <c r="O36" s="135">
        <f t="shared" si="12"/>
        <v>266040</v>
      </c>
      <c r="P36" s="135">
        <f t="shared" si="10"/>
        <v>4156840</v>
      </c>
      <c r="Q36" s="17"/>
      <c r="R36" s="29"/>
    </row>
    <row r="37" spans="1:18">
      <c r="A37" s="127">
        <v>2011</v>
      </c>
      <c r="B37" s="135">
        <v>489700</v>
      </c>
      <c r="C37" s="135">
        <v>549500</v>
      </c>
      <c r="D37" s="135">
        <v>1645750</v>
      </c>
      <c r="E37" s="135">
        <v>240900</v>
      </c>
      <c r="F37" s="135">
        <f>SUM(B37:E37)+56000</f>
        <v>2981850</v>
      </c>
      <c r="G37" s="135"/>
      <c r="H37" s="135">
        <v>54600</v>
      </c>
      <c r="I37" s="135">
        <v>249240</v>
      </c>
      <c r="J37" s="135">
        <v>19800</v>
      </c>
      <c r="K37" s="135">
        <f t="shared" si="11"/>
        <v>323640</v>
      </c>
      <c r="L37" s="135"/>
      <c r="M37" s="135">
        <v>61500</v>
      </c>
      <c r="N37" s="135">
        <v>291600</v>
      </c>
      <c r="O37" s="135">
        <f t="shared" si="12"/>
        <v>353100</v>
      </c>
      <c r="P37" s="135">
        <f t="shared" si="10"/>
        <v>3658590</v>
      </c>
      <c r="Q37" s="17"/>
      <c r="R37" s="29"/>
    </row>
    <row r="38" spans="1:18">
      <c r="A38" s="127">
        <v>2012</v>
      </c>
      <c r="B38" s="135">
        <v>876000</v>
      </c>
      <c r="C38" s="135">
        <v>760500</v>
      </c>
      <c r="D38" s="135">
        <v>3343400</v>
      </c>
      <c r="E38" s="135">
        <v>417300</v>
      </c>
      <c r="F38" s="135">
        <f>SUM(B38:E38)+215600</f>
        <v>5612800</v>
      </c>
      <c r="G38" s="135"/>
      <c r="H38" s="135">
        <v>80300</v>
      </c>
      <c r="I38" s="135">
        <v>525600</v>
      </c>
      <c r="J38" s="135">
        <v>26000</v>
      </c>
      <c r="K38" s="135">
        <f t="shared" si="11"/>
        <v>631900</v>
      </c>
      <c r="L38" s="135"/>
      <c r="M38" s="135">
        <v>82000</v>
      </c>
      <c r="N38" s="135">
        <v>427180</v>
      </c>
      <c r="O38" s="135">
        <f t="shared" si="12"/>
        <v>509180</v>
      </c>
      <c r="P38" s="135">
        <f t="shared" si="10"/>
        <v>6753880</v>
      </c>
      <c r="Q38" s="17"/>
      <c r="R38" s="29"/>
    </row>
    <row r="39" spans="1:18">
      <c r="A39" s="127">
        <v>2013</v>
      </c>
      <c r="B39" s="135">
        <v>489900</v>
      </c>
      <c r="C39" s="135">
        <v>517450</v>
      </c>
      <c r="D39" s="135">
        <v>1887180</v>
      </c>
      <c r="E39" s="135">
        <v>273000</v>
      </c>
      <c r="F39" s="135">
        <f>SUM(B39:E39)+122100</f>
        <v>3289630</v>
      </c>
      <c r="G39" s="135"/>
      <c r="H39" s="135">
        <v>59200</v>
      </c>
      <c r="I39" s="135">
        <v>423540</v>
      </c>
      <c r="J39" s="135">
        <v>21700</v>
      </c>
      <c r="K39" s="135">
        <f t="shared" si="11"/>
        <v>504440</v>
      </c>
      <c r="L39" s="135"/>
      <c r="M39" s="135">
        <v>63200</v>
      </c>
      <c r="N39" s="135">
        <v>315900</v>
      </c>
      <c r="O39" s="135">
        <f t="shared" si="12"/>
        <v>379100</v>
      </c>
      <c r="P39" s="135">
        <f>+F39+K39+O39</f>
        <v>4173170</v>
      </c>
      <c r="Q39" s="17"/>
      <c r="R39" s="29"/>
    </row>
    <row r="40" spans="1:18">
      <c r="A40" s="127">
        <v>2014</v>
      </c>
      <c r="B40" s="238">
        <v>544950</v>
      </c>
      <c r="C40" s="238">
        <v>668000</v>
      </c>
      <c r="D40" s="238">
        <v>2435515</v>
      </c>
      <c r="E40" s="238">
        <v>410400</v>
      </c>
      <c r="F40" s="238">
        <f>SUM(B40:E40)+124000</f>
        <v>4182865</v>
      </c>
      <c r="G40" s="238"/>
      <c r="H40" s="238">
        <v>44000</v>
      </c>
      <c r="I40" s="238">
        <v>459740</v>
      </c>
      <c r="J40" s="238">
        <v>15750</v>
      </c>
      <c r="K40" s="238">
        <f t="shared" si="11"/>
        <v>519490</v>
      </c>
      <c r="L40" s="238"/>
      <c r="M40" s="238">
        <v>84550</v>
      </c>
      <c r="N40" s="238">
        <v>401760</v>
      </c>
      <c r="O40" s="135">
        <f t="shared" si="12"/>
        <v>486310</v>
      </c>
      <c r="P40" s="135">
        <f>+F40+K40+O40</f>
        <v>5188665</v>
      </c>
      <c r="Q40" s="17"/>
      <c r="R40" s="29"/>
    </row>
    <row r="41" spans="1:18">
      <c r="A41" s="127">
        <v>2015</v>
      </c>
      <c r="B41" s="238">
        <v>637000</v>
      </c>
      <c r="C41" s="238">
        <v>648000</v>
      </c>
      <c r="D41" s="238">
        <v>3364410</v>
      </c>
      <c r="E41" s="238">
        <v>262400</v>
      </c>
      <c r="F41" s="238">
        <f>SUM(B41:E41)+143500</f>
        <v>5055310</v>
      </c>
      <c r="G41" s="238"/>
      <c r="H41" s="238">
        <v>30600</v>
      </c>
      <c r="I41" s="238">
        <v>528000</v>
      </c>
      <c r="J41" s="238">
        <v>15337</v>
      </c>
      <c r="K41" s="238">
        <f>SUM(H41:J41)</f>
        <v>573937</v>
      </c>
      <c r="L41" s="238"/>
      <c r="M41" s="238">
        <v>69350</v>
      </c>
      <c r="N41" s="238">
        <v>302760</v>
      </c>
      <c r="O41" s="135">
        <f>SUM(M41:N41)</f>
        <v>372110</v>
      </c>
      <c r="P41" s="135">
        <f>+F41+K41+O41</f>
        <v>6001357</v>
      </c>
      <c r="Q41" s="17"/>
      <c r="R41" s="29"/>
    </row>
    <row r="42" spans="1:18">
      <c r="A42" s="127">
        <v>2016</v>
      </c>
      <c r="B42" s="238">
        <v>619200</v>
      </c>
      <c r="C42" s="238">
        <v>554800</v>
      </c>
      <c r="D42" s="238">
        <v>2753400</v>
      </c>
      <c r="E42" s="238">
        <v>339200</v>
      </c>
      <c r="F42" s="238">
        <f>SUM(B42:E42)+152000</f>
        <v>4418600</v>
      </c>
      <c r="G42" s="238"/>
      <c r="H42" s="238">
        <v>44400</v>
      </c>
      <c r="I42" s="238">
        <v>559650</v>
      </c>
      <c r="J42" s="238">
        <v>22400</v>
      </c>
      <c r="K42" s="238">
        <f>SUM(H42:J42)+110400</f>
        <v>736850</v>
      </c>
      <c r="L42" s="238"/>
      <c r="M42" s="238">
        <v>76650</v>
      </c>
      <c r="N42" s="238">
        <v>349470</v>
      </c>
      <c r="O42" s="135">
        <v>426120</v>
      </c>
      <c r="P42" s="135">
        <f>+F42+K42+O42</f>
        <v>5581570</v>
      </c>
      <c r="Q42" s="17"/>
      <c r="R42" s="29"/>
    </row>
    <row r="43" spans="1:18">
      <c r="A43" s="130">
        <v>2017</v>
      </c>
      <c r="B43" s="287">
        <v>704450</v>
      </c>
      <c r="C43" s="287">
        <v>660300</v>
      </c>
      <c r="D43" s="287">
        <v>3613500</v>
      </c>
      <c r="E43" s="287">
        <v>472000</v>
      </c>
      <c r="F43" s="287">
        <f>SUM(B43:E43)+176300</f>
        <v>5626550</v>
      </c>
      <c r="G43" s="287"/>
      <c r="H43" s="287">
        <v>74000</v>
      </c>
      <c r="I43" s="287">
        <v>756000</v>
      </c>
      <c r="J43" s="287">
        <v>26600</v>
      </c>
      <c r="K43" s="287">
        <f>SUM(H43:J43)+147900</f>
        <v>1004500</v>
      </c>
      <c r="L43" s="287"/>
      <c r="M43" s="287">
        <v>122850</v>
      </c>
      <c r="N43" s="287">
        <v>479700</v>
      </c>
      <c r="O43" s="120">
        <v>602550</v>
      </c>
      <c r="P43" s="120">
        <f>+F43+K43+O43</f>
        <v>7233600</v>
      </c>
      <c r="Q43" s="17"/>
      <c r="R43" s="29"/>
    </row>
    <row r="44" spans="1:18">
      <c r="A44" s="142" t="s">
        <v>584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77"/>
      <c r="R44" s="29"/>
    </row>
    <row r="45" spans="1:18" ht="13.25" customHeight="1">
      <c r="A45" s="117" t="s">
        <v>610</v>
      </c>
      <c r="Q45" s="77"/>
    </row>
    <row r="46" spans="1:18">
      <c r="N46" s="304"/>
      <c r="O46" s="304"/>
      <c r="P46" s="304" t="s">
        <v>679</v>
      </c>
      <c r="Q46" s="77"/>
    </row>
    <row r="47" spans="1:18">
      <c r="Q47" s="77"/>
    </row>
  </sheetData>
  <phoneticPr fontId="0" type="noConversion"/>
  <pageMargins left="0.7" right="0.7" top="0.75" bottom="0.75" header="0.3" footer="0.3"/>
  <pageSetup scale="95" firstPageNumber="42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25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46"/>
  <sheetViews>
    <sheetView zoomScaleNormal="100" zoomScaleSheetLayoutView="100" workbookViewId="0">
      <selection activeCell="A43" sqref="A43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6">
      <c r="A1" s="126" t="s">
        <v>700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6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6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6">
      <c r="C4" s="303"/>
      <c r="D4" s="303"/>
      <c r="E4" s="303"/>
      <c r="F4" s="303"/>
      <c r="G4" s="303"/>
      <c r="H4" s="303"/>
      <c r="I4" s="303" t="s">
        <v>95</v>
      </c>
      <c r="J4" s="303"/>
      <c r="K4" s="303"/>
      <c r="L4" s="303"/>
      <c r="M4" s="303"/>
      <c r="N4" s="303"/>
      <c r="O4" s="303"/>
      <c r="P4" s="303"/>
    </row>
    <row r="5" spans="1:16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>
      <c r="A6" t="s">
        <v>42</v>
      </c>
      <c r="B6" s="77">
        <f>'tab 14'!B6/'tab 13'!B6</f>
        <v>1325</v>
      </c>
      <c r="C6" s="77">
        <f>'tab 14'!C6/'tab 13'!C6</f>
        <v>2626.909090909091</v>
      </c>
      <c r="D6" s="77">
        <f>'tab 14'!D6/'tab 13'!D6</f>
        <v>1935</v>
      </c>
      <c r="E6" s="77">
        <f>'tab 14'!E6/'tab 13'!E6</f>
        <v>1100</v>
      </c>
      <c r="F6" s="77">
        <f>'tab 14'!F6/'tab 13'!F6</f>
        <v>1813.772378516624</v>
      </c>
      <c r="G6" s="17"/>
      <c r="H6" s="77">
        <f>'tab 14'!H6/'tab 13'!H6</f>
        <v>1335</v>
      </c>
      <c r="I6" s="77">
        <f>'tab 14'!I6/'tab 13'!I6</f>
        <v>1275</v>
      </c>
      <c r="J6" s="77">
        <f>'tab 14'!J6/'tab 13'!J6</f>
        <v>2540</v>
      </c>
      <c r="K6" s="77">
        <f>'tab 14'!K6/'tab 13'!K6</f>
        <v>1325.7038976148924</v>
      </c>
      <c r="L6" s="17"/>
      <c r="M6" s="77">
        <f>'tab 14'!M6/'tab 13'!M6</f>
        <v>1350</v>
      </c>
      <c r="N6" s="77">
        <f>'tab 14'!N6/'tab 13'!N6</f>
        <v>1755</v>
      </c>
      <c r="O6" s="77">
        <f>'tab 14'!O6/'tab 13'!O6</f>
        <v>1601.7977528089887</v>
      </c>
      <c r="P6" s="77">
        <f>'tab 14'!P6/'tab 13'!P6</f>
        <v>1645.065009287041</v>
      </c>
    </row>
    <row r="7" spans="1:16">
      <c r="A7" t="s">
        <v>43</v>
      </c>
      <c r="B7" s="77">
        <f>'tab 14'!B7/'tab 13'!B7</f>
        <v>2715</v>
      </c>
      <c r="C7" s="77">
        <f>'tab 14'!C7/'tab 13'!C7</f>
        <v>2970</v>
      </c>
      <c r="D7" s="77">
        <f>'tab 14'!D7/'tab 13'!D7</f>
        <v>2930</v>
      </c>
      <c r="E7" s="77">
        <f>'tab 14'!E7/'tab 13'!E7</f>
        <v>2600</v>
      </c>
      <c r="F7" s="77">
        <f>'tab 14'!F7/'tab 13'!F7</f>
        <v>2871.6705336426912</v>
      </c>
      <c r="G7" s="17"/>
      <c r="H7" s="77">
        <f>'tab 14'!H7/'tab 13'!H7</f>
        <v>2080</v>
      </c>
      <c r="I7" s="77">
        <f>'tab 14'!I7/'tab 13'!I7</f>
        <v>1625</v>
      </c>
      <c r="J7" s="77">
        <f>'tab 14'!J7/'tab 13'!J7</f>
        <v>2490</v>
      </c>
      <c r="K7" s="77">
        <f>'tab 14'!K7/'tab 13'!K7</f>
        <v>1770.9329446064139</v>
      </c>
      <c r="L7" s="17"/>
      <c r="M7" s="77">
        <f>'tab 14'!M7/'tab 13'!M7</f>
        <v>3150</v>
      </c>
      <c r="N7" s="77">
        <f>'tab 14'!N7/'tab 13'!N7</f>
        <v>3230</v>
      </c>
      <c r="O7" s="77">
        <f>'tab 14'!O7/'tab 13'!O7</f>
        <v>3199.6750902527074</v>
      </c>
      <c r="P7" s="77">
        <f>'tab 14'!P7/'tab 13'!P7</f>
        <v>2674.7161953382147</v>
      </c>
    </row>
    <row r="8" spans="1:16">
      <c r="A8" t="s">
        <v>44</v>
      </c>
      <c r="B8" s="77">
        <f>'tab 14'!B8/'tab 13'!B8</f>
        <v>2950</v>
      </c>
      <c r="C8" s="77">
        <f>'tab 14'!C8/'tab 13'!C8</f>
        <v>3000</v>
      </c>
      <c r="D8" s="77">
        <f>'tab 14'!D8/'tab 13'!D8</f>
        <v>3215</v>
      </c>
      <c r="E8" s="77">
        <f>'tab 14'!E8/'tab 13'!E8</f>
        <v>2500</v>
      </c>
      <c r="F8" s="77">
        <f>'tab 14'!F8/'tab 13'!F8</f>
        <v>3121.6713483146068</v>
      </c>
      <c r="G8" s="17"/>
      <c r="H8" s="77">
        <f>'tab 14'!H8/'tab 13'!H8</f>
        <v>2030</v>
      </c>
      <c r="I8" s="77">
        <f>'tab 14'!I8/'tab 13'!I8</f>
        <v>1445</v>
      </c>
      <c r="J8" s="77">
        <f>'tab 14'!J8/'tab 13'!J8</f>
        <v>2425</v>
      </c>
      <c r="K8" s="77">
        <f>'tab 14'!K8/'tab 13'!K8</f>
        <v>1633.2451773490977</v>
      </c>
      <c r="L8" s="17"/>
      <c r="M8" s="77">
        <f>'tab 14'!M8/'tab 13'!M8</f>
        <v>2900</v>
      </c>
      <c r="N8" s="77">
        <f>'tab 14'!N8/'tab 13'!N8</f>
        <v>2800</v>
      </c>
      <c r="O8" s="77">
        <f>'tab 14'!O8/'tab 13'!O8</f>
        <v>2838.9344262295081</v>
      </c>
      <c r="P8" s="77">
        <f>'tab 14'!P8/'tab 13'!P8</f>
        <v>2693.1697197432281</v>
      </c>
    </row>
    <row r="9" spans="1:16">
      <c r="A9" t="s">
        <v>45</v>
      </c>
      <c r="B9" s="77">
        <f>'tab 14'!B9/'tab 13'!B9</f>
        <v>2525</v>
      </c>
      <c r="C9" s="77">
        <f>'tab 14'!C9/'tab 13'!C9</f>
        <v>2780</v>
      </c>
      <c r="D9" s="77">
        <f>'tab 14'!D9/'tab 13'!D9</f>
        <v>2790</v>
      </c>
      <c r="E9" s="77">
        <f>'tab 14'!E9/'tab 13'!E9</f>
        <v>2000</v>
      </c>
      <c r="F9" s="77">
        <f>'tab 14'!F9/'tab 13'!F9</f>
        <v>2718.5758133824434</v>
      </c>
      <c r="G9" s="17"/>
      <c r="H9" s="77">
        <f>'tab 14'!H9/'tab 13'!H9</f>
        <v>1940</v>
      </c>
      <c r="I9" s="77">
        <f>'tab 14'!I9/'tab 13'!I9</f>
        <v>1685</v>
      </c>
      <c r="J9" s="77">
        <f>'tab 14'!J9/'tab 13'!J9</f>
        <v>2330</v>
      </c>
      <c r="K9" s="77">
        <f>'tab 14'!K9/'tab 13'!K9</f>
        <v>1780.5835962145111</v>
      </c>
      <c r="L9" s="17"/>
      <c r="M9" s="77">
        <f>'tab 14'!M9/'tab 13'!M9</f>
        <v>2090</v>
      </c>
      <c r="N9" s="77">
        <f>'tab 14'!N9/'tab 13'!N9</f>
        <v>2165</v>
      </c>
      <c r="O9" s="77">
        <f>'tab 14'!O9/'tab 13'!O9</f>
        <v>2135.5578512396696</v>
      </c>
      <c r="P9" s="77">
        <f>'tab 14'!P9/'tab 13'!P9</f>
        <v>2399.3665817255187</v>
      </c>
    </row>
    <row r="10" spans="1:16">
      <c r="A10" t="s">
        <v>46</v>
      </c>
      <c r="B10" s="77">
        <f>'tab 14'!B10/'tab 13'!B10</f>
        <v>2961.4155251141551</v>
      </c>
      <c r="C10" s="77">
        <f>'tab 14'!C10/'tab 13'!C10</f>
        <v>3200</v>
      </c>
      <c r="D10" s="77">
        <f>'tab 14'!D10/'tab 13'!D10</f>
        <v>3375</v>
      </c>
      <c r="E10" s="77">
        <f>'tab 14'!E10/'tab 13'!E10</f>
        <v>2700</v>
      </c>
      <c r="F10" s="77">
        <f>'tab 14'!F10/'tab 13'!F10</f>
        <v>3255.2340873224621</v>
      </c>
      <c r="G10" s="17"/>
      <c r="H10" s="77">
        <f>'tab 14'!H10/'tab 13'!H10</f>
        <v>2150</v>
      </c>
      <c r="I10" s="77">
        <f>'tab 14'!I10/'tab 13'!I10</f>
        <v>1665</v>
      </c>
      <c r="J10" s="77">
        <f>'tab 14'!J10/'tab 13'!J10</f>
        <v>2220</v>
      </c>
      <c r="K10" s="77">
        <f>'tab 14'!K10/'tab 13'!K10</f>
        <v>1820.8448540706606</v>
      </c>
      <c r="L10" s="17"/>
      <c r="M10" s="77">
        <f>'tab 14'!M10/'tab 13'!M10</f>
        <v>2780</v>
      </c>
      <c r="N10" s="77">
        <f>'tab 14'!N10/'tab 13'!N10</f>
        <v>2900</v>
      </c>
      <c r="O10" s="77">
        <f>'tab 14'!O10/'tab 13'!O10</f>
        <v>2853.8095238095239</v>
      </c>
      <c r="P10" s="77">
        <f>'tab 14'!P10/'tab 13'!P10</f>
        <v>2883.4718586387435</v>
      </c>
    </row>
    <row r="11" spans="1:16">
      <c r="A11" t="s">
        <v>47</v>
      </c>
      <c r="B11" s="77">
        <f>'tab 14'!B11/'tab 13'!B11</f>
        <v>2950</v>
      </c>
      <c r="C11" s="77">
        <f>'tab 14'!C11/'tab 13'!C11</f>
        <v>3000</v>
      </c>
      <c r="D11" s="77">
        <f>'tab 14'!D11/'tab 13'!D11</f>
        <v>3240</v>
      </c>
      <c r="E11" s="77">
        <f>'tab 14'!E11/'tab 13'!E11</f>
        <v>2850</v>
      </c>
      <c r="F11" s="77">
        <f>'tab 14'!F11/'tab 13'!F11</f>
        <v>3148.8255416191564</v>
      </c>
      <c r="G11" s="17"/>
      <c r="H11" s="77">
        <f>'tab 14'!H11/'tab 13'!H11</f>
        <v>2060</v>
      </c>
      <c r="I11" s="77">
        <f>'tab 14'!I11/'tab 13'!I11</f>
        <v>1725</v>
      </c>
      <c r="J11" s="77">
        <f>'tab 14'!J11/'tab 13'!J11</f>
        <v>2580</v>
      </c>
      <c r="K11" s="77">
        <f>'tab 14'!K11/'tab 13'!K11</f>
        <v>1837.8290246768508</v>
      </c>
      <c r="L11" s="17"/>
      <c r="M11" s="77">
        <f>'tab 14'!M11/'tab 13'!M11</f>
        <v>2955</v>
      </c>
      <c r="N11" s="77">
        <f>'tab 14'!N11/'tab 13'!N11</f>
        <v>2935</v>
      </c>
      <c r="O11" s="77">
        <f>'tab 14'!O11/'tab 13'!O11</f>
        <v>2942.68</v>
      </c>
      <c r="P11" s="77">
        <f>'tab 14'!P11/'tab 13'!P11</f>
        <v>2809.5863431920402</v>
      </c>
    </row>
    <row r="12" spans="1:16">
      <c r="A12" t="s">
        <v>48</v>
      </c>
      <c r="B12" s="77">
        <f>'tab 14'!B12/'tab 13'!B12</f>
        <v>2260</v>
      </c>
      <c r="C12" s="77">
        <f>'tab 14'!C12/'tab 13'!C12</f>
        <v>2680</v>
      </c>
      <c r="D12" s="77">
        <f>'tab 14'!D12/'tab 13'!D12</f>
        <v>2455</v>
      </c>
      <c r="E12" s="77">
        <f>'tab 14'!E12/'tab 13'!E12</f>
        <v>2220</v>
      </c>
      <c r="F12" s="77">
        <f>'tab 14'!F12/'tab 13'!F12</f>
        <v>2428.7073791348603</v>
      </c>
      <c r="G12" s="17"/>
      <c r="H12" s="77">
        <f>'tab 14'!H12/'tab 13'!H12</f>
        <v>2055</v>
      </c>
      <c r="I12" s="77">
        <f>'tab 14'!I12/'tab 13'!I12</f>
        <v>1750</v>
      </c>
      <c r="J12" s="77">
        <f>'tab 14'!J12/'tab 13'!J12</f>
        <v>2259.8425196850394</v>
      </c>
      <c r="K12" s="77">
        <f>'tab 14'!K12/'tab 13'!K12</f>
        <v>1853.8821328344247</v>
      </c>
      <c r="L12" s="17"/>
      <c r="M12" s="77">
        <f>'tab 14'!M12/'tab 13'!M12</f>
        <v>3100</v>
      </c>
      <c r="N12" s="77">
        <f>'tab 14'!N12/'tab 13'!N12</f>
        <v>3080</v>
      </c>
      <c r="O12" s="77">
        <f>'tab 14'!O12/'tab 13'!O12</f>
        <v>3087.6724137931033</v>
      </c>
      <c r="P12" s="77">
        <f>'tab 14'!P12/'tab 13'!P12</f>
        <v>2408.2106565919748</v>
      </c>
    </row>
    <row r="13" spans="1:16">
      <c r="A13" t="s">
        <v>49</v>
      </c>
      <c r="B13" s="77">
        <f>'tab 14'!B13/'tab 13'!B13</f>
        <v>2115</v>
      </c>
      <c r="C13" s="77">
        <f>'tab 14'!C13/'tab 13'!C13</f>
        <v>2600</v>
      </c>
      <c r="D13" s="77">
        <f>'tab 14'!D13/'tab 13'!D13</f>
        <v>2500</v>
      </c>
      <c r="E13" s="77">
        <f>'tab 14'!E13/'tab 13'!E13</f>
        <v>2400</v>
      </c>
      <c r="F13" s="77">
        <f>'tab 14'!F13/'tab 13'!F13</f>
        <v>2417.8646934460889</v>
      </c>
      <c r="G13" s="17"/>
      <c r="H13" s="77">
        <f>'tab 14'!H13/'tab 13'!H13</f>
        <v>2250</v>
      </c>
      <c r="I13" s="77">
        <f>'tab 14'!I13/'tab 13'!I13</f>
        <v>1750</v>
      </c>
      <c r="J13" s="77">
        <f>'tab 14'!J13/'tab 13'!J13</f>
        <v>2400</v>
      </c>
      <c r="K13" s="77">
        <f>'tab 14'!K13/'tab 13'!K13</f>
        <v>1908.3929554210238</v>
      </c>
      <c r="L13" s="17"/>
      <c r="M13" s="77">
        <f>'tab 14'!M13/'tab 13'!M13</f>
        <v>2700</v>
      </c>
      <c r="N13" s="77">
        <f>'tab 14'!N13/'tab 13'!N13</f>
        <v>2650</v>
      </c>
      <c r="O13" s="77">
        <f>'tab 14'!O13/'tab 13'!O13</f>
        <v>2668.90756302521</v>
      </c>
      <c r="P13" s="77">
        <f>'tab 14'!P13/'tab 13'!P13</f>
        <v>2336.8295204859764</v>
      </c>
    </row>
    <row r="14" spans="1:16">
      <c r="A14" t="s">
        <v>50</v>
      </c>
      <c r="B14" s="77">
        <f>'tab 14'!B14/'tab 13'!B14</f>
        <v>2380</v>
      </c>
      <c r="C14" s="77">
        <f>'tab 14'!C14/'tab 13'!C14</f>
        <v>2540</v>
      </c>
      <c r="D14" s="77">
        <f>'tab 14'!D14/'tab 13'!D14</f>
        <v>2630</v>
      </c>
      <c r="E14" s="77">
        <f>'tab 14'!E14/'tab 13'!E14</f>
        <v>2470</v>
      </c>
      <c r="F14" s="77">
        <f>'tab 14'!F14/'tab 13'!F14</f>
        <v>2562.44140625</v>
      </c>
      <c r="G14" s="17"/>
      <c r="H14" s="77">
        <f>'tab 14'!H14/'tab 13'!H14</f>
        <v>2320</v>
      </c>
      <c r="I14" s="77">
        <f>'tab 14'!I14/'tab 13'!I14</f>
        <v>1670</v>
      </c>
      <c r="J14" s="77">
        <f>'tab 14'!J14/'tab 13'!J14</f>
        <v>2280</v>
      </c>
      <c r="K14" s="77">
        <f>'tab 14'!K14/'tab 13'!K14</f>
        <v>1867.624861265261</v>
      </c>
      <c r="L14" s="17"/>
      <c r="M14" s="77">
        <f>'tab 14'!M14/'tab 13'!M14</f>
        <v>2900</v>
      </c>
      <c r="N14" s="77">
        <f>'tab 14'!N14/'tab 13'!N14</f>
        <v>2745</v>
      </c>
      <c r="O14" s="77">
        <f>'tab 14'!O14/'tab 13'!O14</f>
        <v>2802.8073770491801</v>
      </c>
      <c r="P14" s="77">
        <f>'tab 14'!P14/'tab 13'!P14</f>
        <v>2444.6800540407762</v>
      </c>
    </row>
    <row r="15" spans="1:16">
      <c r="A15" t="s">
        <v>51</v>
      </c>
      <c r="B15" s="77">
        <f>'tab 14'!B15/'tab 13'!B15</f>
        <v>2250</v>
      </c>
      <c r="C15" s="77">
        <f>'tab 14'!C15/'tab 13'!C15</f>
        <v>2470</v>
      </c>
      <c r="D15" s="77">
        <f>'tab 14'!D15/'tab 13'!D15</f>
        <v>2700</v>
      </c>
      <c r="E15" s="77">
        <f>'tab 14'!E15/'tab 13'!E15</f>
        <v>2600</v>
      </c>
      <c r="F15" s="77">
        <f>'tab 14'!F15/'tab 13'!F15</f>
        <v>2574.1475329750856</v>
      </c>
      <c r="G15" s="17"/>
      <c r="H15" s="77">
        <f>'tab 14'!H15/'tab 13'!H15</f>
        <v>2150</v>
      </c>
      <c r="I15" s="77">
        <f>'tab 14'!I15/'tab 13'!I15</f>
        <v>1850</v>
      </c>
      <c r="J15" s="77">
        <f>'tab 14'!J15/'tab 13'!J15</f>
        <v>2400</v>
      </c>
      <c r="K15" s="77">
        <f>'tab 14'!K15/'tab 13'!K15</f>
        <v>1954.2041248016924</v>
      </c>
      <c r="L15" s="17"/>
      <c r="M15" s="77">
        <f>'tab 14'!M15/'tab 13'!M15</f>
        <v>2705</v>
      </c>
      <c r="N15" s="77">
        <f>'tab 14'!N15/'tab 13'!N15</f>
        <v>2435</v>
      </c>
      <c r="O15" s="77">
        <f>'tab 14'!O15/'tab 13'!O15</f>
        <v>2536.1111111111113</v>
      </c>
      <c r="P15" s="77">
        <f>'tab 14'!P15/'tab 13'!P15</f>
        <v>2425.9713017571594</v>
      </c>
    </row>
    <row r="16" spans="1:16">
      <c r="A16" t="s">
        <v>52</v>
      </c>
      <c r="B16" s="77">
        <f>'tab 14'!B16/'tab 13'!B16</f>
        <v>1510</v>
      </c>
      <c r="C16" s="77">
        <f>'tab 14'!C16/'tab 13'!C16</f>
        <v>2340</v>
      </c>
      <c r="D16" s="77">
        <f>'tab 14'!D16/'tab 13'!D16</f>
        <v>1750</v>
      </c>
      <c r="E16" s="77">
        <f>'tab 14'!E16/'tab 13'!E16</f>
        <v>2230</v>
      </c>
      <c r="F16" s="77">
        <f>'tab 14'!F16/'tab 13'!F16</f>
        <v>1753.5454146555508</v>
      </c>
      <c r="G16" s="17"/>
      <c r="H16" s="77">
        <f>'tab 14'!H16/'tab 13'!H16</f>
        <v>2220</v>
      </c>
      <c r="I16" s="77">
        <f>'tab 14'!I16/'tab 13'!I16</f>
        <v>1850</v>
      </c>
      <c r="J16" s="77">
        <f>'tab 14'!J16/'tab 13'!J16</f>
        <v>2500</v>
      </c>
      <c r="K16" s="77">
        <f>'tab 14'!K16/'tab 13'!K16</f>
        <v>1975.8313253012047</v>
      </c>
      <c r="L16" s="17"/>
      <c r="M16" s="77">
        <f>'tab 14'!M16/'tab 13'!M16</f>
        <v>3195</v>
      </c>
      <c r="N16" s="77">
        <f>'tab 14'!N16/'tab 13'!N16</f>
        <v>2900</v>
      </c>
      <c r="O16" s="77">
        <f>'tab 14'!O16/'tab 13'!O16</f>
        <v>3009.6360153256705</v>
      </c>
      <c r="P16" s="77">
        <f>'tab 14'!P16/'tab 13'!P16</f>
        <v>1984.9352795373175</v>
      </c>
    </row>
    <row r="17" spans="1:16">
      <c r="A17" t="s">
        <v>53</v>
      </c>
      <c r="B17" s="77">
        <f>'tab 14'!B17/'tab 13'!B17</f>
        <v>2305</v>
      </c>
      <c r="C17" s="77">
        <f>'tab 14'!C17/'tab 13'!C17</f>
        <v>2370</v>
      </c>
      <c r="D17" s="77">
        <f>'tab 14'!D17/'tab 13'!D17</f>
        <v>2490</v>
      </c>
      <c r="E17" s="77">
        <f>'tab 14'!E17/'tab 13'!E17</f>
        <v>2400</v>
      </c>
      <c r="F17" s="77">
        <f>'tab 14'!F17/'tab 13'!F17</f>
        <v>2438.8765337423315</v>
      </c>
      <c r="G17" s="17"/>
      <c r="H17" s="77">
        <f>'tab 14'!H17/'tab 13'!H17</f>
        <v>2300</v>
      </c>
      <c r="I17" s="77">
        <f>'tab 14'!I17/'tab 13'!I17</f>
        <v>2100</v>
      </c>
      <c r="J17" s="77">
        <f>'tab 14'!J17/'tab 13'!J17</f>
        <v>2250</v>
      </c>
      <c r="K17" s="77">
        <f>'tab 14'!K17/'tab 13'!K17</f>
        <v>2154.2318712805818</v>
      </c>
      <c r="L17" s="17"/>
      <c r="M17" s="77">
        <f>'tab 14'!M17/'tab 13'!M17</f>
        <v>3200</v>
      </c>
      <c r="N17" s="77">
        <f>'tab 14'!N17/'tab 13'!N17</f>
        <v>2850</v>
      </c>
      <c r="O17" s="77">
        <f>'tab 14'!O17/'tab 13'!O17</f>
        <v>2980.2325581395348</v>
      </c>
      <c r="P17" s="77">
        <f>'tab 14'!P17/'tab 13'!P17</f>
        <v>2444.0988242297963</v>
      </c>
    </row>
    <row r="18" spans="1:16">
      <c r="A18" t="s">
        <v>74</v>
      </c>
      <c r="B18" s="77">
        <f>'tab 14'!B18/'tab 13'!B18</f>
        <v>2505</v>
      </c>
      <c r="C18" s="77">
        <f>'tab 14'!C18/'tab 13'!C18</f>
        <v>2630</v>
      </c>
      <c r="D18" s="77">
        <f>'tab 14'!D18/'tab 13'!D18</f>
        <v>2705</v>
      </c>
      <c r="E18" s="77">
        <f>'tab 14'!E18/'tab 13'!E18</f>
        <v>2500</v>
      </c>
      <c r="F18" s="77">
        <f>'tab 14'!F18/'tab 13'!F18</f>
        <v>2649.3043043043044</v>
      </c>
      <c r="G18" s="17"/>
      <c r="H18" s="77">
        <f>'tab 14'!H18/'tab 13'!H18</f>
        <v>2410</v>
      </c>
      <c r="I18" s="77">
        <f>'tab 14'!I18/'tab 13'!I18</f>
        <v>2230</v>
      </c>
      <c r="J18" s="77">
        <f>'tab 14'!J18/'tab 13'!J18</f>
        <v>2760</v>
      </c>
      <c r="K18" s="77">
        <f>'tab 14'!K18/'tab 13'!K18</f>
        <v>2297.962744635699</v>
      </c>
      <c r="L18" s="17"/>
      <c r="M18" s="77">
        <f>'tab 14'!M18/'tab 13'!M18</f>
        <v>2755</v>
      </c>
      <c r="N18" s="77">
        <f>'tab 14'!N18/'tab 13'!N18</f>
        <v>2660</v>
      </c>
      <c r="O18" s="77">
        <f>'tab 14'!O18/'tab 13'!O18</f>
        <v>2695.9146341463415</v>
      </c>
      <c r="P18" s="77">
        <f>'tab 14'!P18/'tab 13'!P18</f>
        <v>2566.9019231921397</v>
      </c>
    </row>
    <row r="19" spans="1:16">
      <c r="A19" t="s">
        <v>55</v>
      </c>
      <c r="B19" s="77">
        <f>'tab 14'!B19/'tab 13'!B19</f>
        <v>1980</v>
      </c>
      <c r="C19" s="77">
        <f>'tab 14'!C19/'tab 13'!C19</f>
        <v>2320</v>
      </c>
      <c r="D19" s="77">
        <f>'tab 14'!D19/'tab 13'!D19</f>
        <v>1985</v>
      </c>
      <c r="E19" s="77">
        <f>'tab 14'!E19/'tab 13'!E19</f>
        <v>1750</v>
      </c>
      <c r="F19" s="77">
        <f>'tab 14'!F19/'tab 13'!F19</f>
        <v>2007.8771760154739</v>
      </c>
      <c r="G19" s="17"/>
      <c r="H19" s="77">
        <f>'tab 14'!H19/'tab 13'!H19</f>
        <v>2290</v>
      </c>
      <c r="I19" s="77">
        <f>'tab 14'!I19/'tab 13'!I19</f>
        <v>1865</v>
      </c>
      <c r="J19" s="77">
        <f>'tab 14'!J19/'tab 13'!J19</f>
        <v>2600</v>
      </c>
      <c r="K19" s="77">
        <f>'tab 14'!K19/'tab 13'!K19</f>
        <v>2006.7693409742119</v>
      </c>
      <c r="L19" s="17"/>
      <c r="M19" s="77">
        <f>'tab 14'!M19/'tab 13'!M19</f>
        <v>1875</v>
      </c>
      <c r="N19" s="77">
        <f>'tab 14'!N19/'tab 13'!N19</f>
        <v>2095</v>
      </c>
      <c r="O19" s="77">
        <f>'tab 14'!O19/'tab 13'!O19</f>
        <v>2007.7426160337552</v>
      </c>
      <c r="P19" s="77">
        <f>'tab 14'!P19/'tab 13'!P19</f>
        <v>2007.5837377204402</v>
      </c>
    </row>
    <row r="20" spans="1:16">
      <c r="A20" t="s">
        <v>56</v>
      </c>
      <c r="B20" s="77">
        <f>'tab 14'!B20/'tab 13'!B20</f>
        <v>2010</v>
      </c>
      <c r="C20" s="77">
        <f>'tab 14'!C20/'tab 13'!C20</f>
        <v>2470</v>
      </c>
      <c r="D20" s="77">
        <f>'tab 14'!D20/'tab 13'!D20</f>
        <v>2870</v>
      </c>
      <c r="E20" s="77">
        <f>'tab 14'!E20/'tab 13'!E20</f>
        <v>2900</v>
      </c>
      <c r="F20" s="77">
        <f>'tab 14'!F20/'tab 13'!F20</f>
        <v>2638.3255813953488</v>
      </c>
      <c r="G20" s="17"/>
      <c r="H20" s="77">
        <f>'tab 14'!H20/'tab 13'!H20</f>
        <v>2610</v>
      </c>
      <c r="I20" s="77">
        <f>'tab 14'!I20/'tab 13'!I20</f>
        <v>2110</v>
      </c>
      <c r="J20" s="77">
        <f>'tab 14'!J20/'tab 13'!J20</f>
        <v>2460</v>
      </c>
      <c r="K20" s="77">
        <f>'tab 14'!K20/'tab 13'!K20</f>
        <v>2250.5637254901962</v>
      </c>
      <c r="L20" s="17"/>
      <c r="M20" s="77">
        <f>'tab 14'!M20/'tab 13'!M20</f>
        <v>3165</v>
      </c>
      <c r="N20" s="77">
        <f>'tab 14'!N20/'tab 13'!N20</f>
        <v>3215</v>
      </c>
      <c r="O20" s="77">
        <f>'tab 14'!O20/'tab 13'!O20</f>
        <v>3196.0699588477364</v>
      </c>
      <c r="P20" s="77">
        <f>'tab 14'!P20/'tab 13'!P20</f>
        <v>2624.3157244362064</v>
      </c>
    </row>
    <row r="21" spans="1:16">
      <c r="A21" t="s">
        <v>57</v>
      </c>
      <c r="B21" s="77">
        <f>'tab 14'!B21/'tab 13'!B21</f>
        <v>2280</v>
      </c>
      <c r="C21" s="77">
        <f>'tab 14'!C21/'tab 13'!C21</f>
        <v>2390</v>
      </c>
      <c r="D21" s="77">
        <f>'tab 14'!D21/'tab 13'!D21</f>
        <v>2390</v>
      </c>
      <c r="E21" s="77">
        <f>'tab 14'!E21/'tab 13'!E21</f>
        <v>2800</v>
      </c>
      <c r="F21" s="77">
        <f>'tab 14'!F21/'tab 13'!F21</f>
        <v>2369.0066964285716</v>
      </c>
      <c r="G21" s="17"/>
      <c r="H21" s="77">
        <f>'tab 14'!H21/'tab 13'!H21</f>
        <v>2060</v>
      </c>
      <c r="I21" s="77">
        <f>'tab 14'!I21/'tab 13'!I21</f>
        <v>2000</v>
      </c>
      <c r="J21" s="77">
        <f>'tab 14'!J21/'tab 13'!J21</f>
        <v>2150</v>
      </c>
      <c r="K21" s="77">
        <f>'tab 14'!K21/'tab 13'!K21</f>
        <v>2022.8865979381444</v>
      </c>
      <c r="L21" s="17"/>
      <c r="M21" s="77">
        <f>'tab 14'!M21/'tab 13'!M21</f>
        <v>2325</v>
      </c>
      <c r="N21" s="77">
        <f>'tab 14'!N21/'tab 13'!N21</f>
        <v>2410</v>
      </c>
      <c r="O21" s="77">
        <f>'tab 14'!O21/'tab 13'!O21</f>
        <v>2377.5321888412018</v>
      </c>
      <c r="P21" s="77">
        <f>'tab 14'!P21/'tab 13'!P21</f>
        <v>2281.7897165458139</v>
      </c>
    </row>
    <row r="22" spans="1:16">
      <c r="A22" t="s">
        <v>75</v>
      </c>
      <c r="B22" s="77">
        <f>'tab 14'!B22/'tab 13'!B22</f>
        <v>2355</v>
      </c>
      <c r="C22" s="77">
        <f>'tab 14'!C22/'tab 13'!C22</f>
        <v>2880</v>
      </c>
      <c r="D22" s="77">
        <f>'tab 14'!D22/'tab 13'!D22</f>
        <v>2690</v>
      </c>
      <c r="E22" s="77">
        <f>'tab 14'!E22/'tab 13'!E22</f>
        <v>3100</v>
      </c>
      <c r="F22" s="77">
        <f>'tab 14'!F22/'tab 13'!F22</f>
        <v>2635.9889773423147</v>
      </c>
      <c r="G22" s="17"/>
      <c r="H22" s="77">
        <f>'tab 14'!H22/'tab 13'!H22</f>
        <v>2410</v>
      </c>
      <c r="I22" s="77">
        <f>'tab 14'!I22/'tab 13'!I22</f>
        <v>2600</v>
      </c>
      <c r="J22" s="77">
        <f>'tab 14'!J22/'tab 13'!J22</f>
        <v>2300</v>
      </c>
      <c r="K22" s="77">
        <f>'tab 14'!K22/'tab 13'!K22</f>
        <v>2543.8896551724138</v>
      </c>
      <c r="L22" s="17"/>
      <c r="M22" s="77">
        <f>'tab 14'!M22/'tab 13'!M22</f>
        <v>2885</v>
      </c>
      <c r="N22" s="77">
        <f>'tab 14'!N22/'tab 13'!N22</f>
        <v>2940</v>
      </c>
      <c r="O22" s="77">
        <f>'tab 14'!O22/'tab 13'!O22</f>
        <v>2919.2039800995026</v>
      </c>
      <c r="P22" s="77">
        <f>'tab 14'!P22/'tab 13'!P22</f>
        <v>2653.0471014492755</v>
      </c>
    </row>
    <row r="23" spans="1:16">
      <c r="A23" t="s">
        <v>59</v>
      </c>
      <c r="B23" s="77">
        <f>'tab 14'!B23/'tab 13'!B23</f>
        <v>1930</v>
      </c>
      <c r="C23" s="77">
        <f>'tab 14'!C23/'tab 13'!C23</f>
        <v>2715</v>
      </c>
      <c r="D23" s="77">
        <f>'tab 14'!D23/'tab 13'!D23</f>
        <v>2570</v>
      </c>
      <c r="E23" s="77">
        <f>'tab 14'!E23/'tab 13'!E23</f>
        <v>2900</v>
      </c>
      <c r="F23" s="77">
        <f>'tab 14'!F23/'tab 13'!F23</f>
        <v>2436.2430254184751</v>
      </c>
      <c r="G23" s="17"/>
      <c r="H23" s="77">
        <f>'tab 14'!H23/'tab 13'!H23</f>
        <v>2400</v>
      </c>
      <c r="I23" s="77">
        <f>'tab 14'!I23/'tab 13'!I23</f>
        <v>2610</v>
      </c>
      <c r="J23" s="77">
        <f>'tab 14'!J23/'tab 13'!J23</f>
        <v>2700</v>
      </c>
      <c r="K23" s="77">
        <f>'tab 14'!K23/'tab 13'!K23</f>
        <v>2574.297581236257</v>
      </c>
      <c r="L23" s="17"/>
      <c r="M23" s="77">
        <f>'tab 14'!M23/'tab 13'!M23</f>
        <v>2550</v>
      </c>
      <c r="N23" s="77">
        <f>'tab 14'!N23/'tab 13'!N23</f>
        <v>2680</v>
      </c>
      <c r="O23" s="77">
        <f>'tab 14'!O23/'tab 13'!O23</f>
        <v>2630.757575757576</v>
      </c>
      <c r="P23" s="77">
        <f>'tab 14'!P23/'tab 13'!P23</f>
        <v>2503.4516904795587</v>
      </c>
    </row>
    <row r="24" spans="1:16">
      <c r="A24" t="s">
        <v>122</v>
      </c>
      <c r="B24" s="77">
        <f>'tab 14'!B24/'tab 13'!B24</f>
        <v>2195</v>
      </c>
      <c r="C24" s="77">
        <f>'tab 14'!C24/'tab 13'!C24</f>
        <v>2590</v>
      </c>
      <c r="D24" s="77">
        <f>'tab 14'!D24/'tab 13'!D24</f>
        <v>2815</v>
      </c>
      <c r="E24" s="77">
        <f>'tab 14'!E24/'tab 13'!E24</f>
        <v>2450</v>
      </c>
      <c r="F24" s="77">
        <f>'tab 14'!F24/'tab 13'!F24</f>
        <v>2639.5511669658886</v>
      </c>
      <c r="G24" s="17"/>
      <c r="H24" s="77">
        <f>'tab 14'!H24/'tab 13'!H24</f>
        <v>2130</v>
      </c>
      <c r="I24" s="77">
        <f>'tab 14'!I24/'tab 13'!I24</f>
        <v>2740</v>
      </c>
      <c r="J24" s="77">
        <f>'tab 14'!J24/'tab 13'!J24</f>
        <v>2820</v>
      </c>
      <c r="K24" s="77">
        <f>'tab 14'!K24/'tab 13'!K24</f>
        <v>2638.1712962962961</v>
      </c>
      <c r="L24" s="17"/>
      <c r="M24" s="77">
        <f>'tab 14'!M24/'tab 13'!M24</f>
        <v>2950</v>
      </c>
      <c r="N24" s="77">
        <f>'tab 14'!N24/'tab 13'!N24</f>
        <v>3190</v>
      </c>
      <c r="O24" s="77">
        <f>'tab 14'!O24/'tab 13'!O24</f>
        <v>3099.7744360902257</v>
      </c>
      <c r="P24" s="77">
        <f>'tab 14'!P24/'tab 13'!P24</f>
        <v>2701.7314246762098</v>
      </c>
    </row>
    <row r="25" spans="1:16">
      <c r="A25" t="s">
        <v>123</v>
      </c>
      <c r="B25" s="77">
        <f>'tab 14'!B25/'tab 13'!B25</f>
        <v>2175</v>
      </c>
      <c r="C25" s="77">
        <f>'tab 14'!C25/'tab 13'!C25</f>
        <v>2770</v>
      </c>
      <c r="D25" s="77">
        <f>'tab 14'!D25/'tab 13'!D25</f>
        <v>2575</v>
      </c>
      <c r="E25" s="77">
        <f>'tab 14'!E25/'tab 13'!E25</f>
        <v>2300</v>
      </c>
      <c r="F25" s="77">
        <f>'tab 14'!F25/'tab 13'!F25</f>
        <v>2496.5263157894738</v>
      </c>
      <c r="G25" s="17"/>
      <c r="H25" s="77">
        <f>'tab 14'!H25/'tab 13'!H25</f>
        <v>2400</v>
      </c>
      <c r="I25" s="77">
        <f>'tab 14'!I25/'tab 13'!I25</f>
        <v>3310</v>
      </c>
      <c r="J25" s="77">
        <f>'tab 14'!J25/'tab 13'!J25</f>
        <v>2800</v>
      </c>
      <c r="K25" s="77">
        <f>'tab 14'!K25/'tab 13'!K25</f>
        <v>3091.8635170603675</v>
      </c>
      <c r="L25" s="17"/>
      <c r="M25" s="77">
        <f>'tab 14'!M25/'tab 13'!M25</f>
        <v>2870</v>
      </c>
      <c r="N25" s="77">
        <f>'tab 14'!N25/'tab 13'!N25</f>
        <v>2410</v>
      </c>
      <c r="O25" s="77">
        <f>'tab 14'!O25/'tab 13'!O25</f>
        <v>2584.8000000000002</v>
      </c>
      <c r="P25" s="77">
        <f>'tab 14'!P25/'tab 13'!P25</f>
        <v>2666.7757660167131</v>
      </c>
    </row>
    <row r="26" spans="1:16">
      <c r="A26" s="71">
        <v>2000</v>
      </c>
      <c r="B26" s="77">
        <f>'tab 14'!B26/'tab 13'!B26</f>
        <v>1490</v>
      </c>
      <c r="C26" s="77">
        <f>'tab 14'!C26/'tab 13'!C26</f>
        <v>2485</v>
      </c>
      <c r="D26" s="77">
        <f>'tab 14'!D26/'tab 13'!D26</f>
        <v>2700</v>
      </c>
      <c r="E26" s="77">
        <f>'tab 14'!E26/'tab 13'!E26</f>
        <v>2950</v>
      </c>
      <c r="F26" s="77">
        <f>'tab 14'!F26/'tab 13'!F26</f>
        <v>2393.2337662337663</v>
      </c>
      <c r="G26" s="77"/>
      <c r="H26" s="77">
        <f>'tab 14'!H26/'tab 13'!H26</f>
        <v>1800</v>
      </c>
      <c r="I26" s="77">
        <f>'tab 14'!I26/'tab 13'!I26</f>
        <v>2540</v>
      </c>
      <c r="J26" s="77">
        <f>'tab 14'!J26/'tab 13'!J26</f>
        <v>2115</v>
      </c>
      <c r="K26" s="77">
        <f>'tab 14'!K26/'tab 13'!K26</f>
        <v>2375.2445652173915</v>
      </c>
      <c r="L26" s="77"/>
      <c r="M26" s="77">
        <f>'tab 14'!M26/'tab 13'!M26</f>
        <v>2805</v>
      </c>
      <c r="N26" s="77">
        <f>'tab 14'!N26/'tab 13'!N26</f>
        <v>2750</v>
      </c>
      <c r="O26" s="77">
        <f>'tab 14'!O26/'tab 13'!O26</f>
        <v>2770.8333333333335</v>
      </c>
      <c r="P26" s="77">
        <f>'tab 14'!P26/'tab 13'!P26</f>
        <v>2444.2402694610778</v>
      </c>
    </row>
    <row r="27" spans="1:16">
      <c r="A27" s="71">
        <v>2001</v>
      </c>
      <c r="B27" s="77">
        <f>'tab 14'!B27/'tab 13'!B27</f>
        <v>2675</v>
      </c>
      <c r="C27" s="77">
        <f>'tab 14'!C27/'tab 13'!C27</f>
        <v>3050</v>
      </c>
      <c r="D27" s="77">
        <f>'tab 14'!D27/'tab 13'!D27</f>
        <v>3330</v>
      </c>
      <c r="E27" s="77">
        <f>'tab 14'!E27/'tab 13'!E27</f>
        <v>3000</v>
      </c>
      <c r="F27" s="77">
        <f>'tab 14'!F27/'tab 13'!F27</f>
        <v>3135.4259811227021</v>
      </c>
      <c r="G27" s="77"/>
      <c r="H27" s="77">
        <f>'tab 14'!H27/'tab 13'!H27</f>
        <v>2570</v>
      </c>
      <c r="I27" s="77">
        <f>'tab 14'!I27/'tab 13'!I27</f>
        <v>2890</v>
      </c>
      <c r="J27" s="77">
        <f>'tab 14'!J27/'tab 13'!J27</f>
        <v>3020</v>
      </c>
      <c r="K27" s="77">
        <f>'tab 14'!K27/'tab 13'!K27</f>
        <v>2836.837732160313</v>
      </c>
      <c r="L27" s="77"/>
      <c r="M27" s="77">
        <f>'tab 14'!M27/'tab 13'!M27</f>
        <v>3130</v>
      </c>
      <c r="N27" s="77">
        <f>'tab 14'!N27/'tab 13'!N27</f>
        <v>2910</v>
      </c>
      <c r="O27" s="77">
        <f>'tab 14'!O27/'tab 13'!O27</f>
        <v>2993.5443037974683</v>
      </c>
      <c r="P27" s="77">
        <f>'tab 14'!P27/'tab 13'!P27</f>
        <v>3029.0417168354697</v>
      </c>
    </row>
    <row r="28" spans="1:16">
      <c r="A28" s="71">
        <v>2002</v>
      </c>
      <c r="B28" s="77">
        <f>'tab 14'!B28/'tab 13'!B28</f>
        <v>2110</v>
      </c>
      <c r="C28" s="77">
        <f>'tab 14'!C28/'tab 13'!C28</f>
        <v>2300</v>
      </c>
      <c r="D28" s="77">
        <f>'tab 14'!D28/'tab 13'!D28</f>
        <v>2600</v>
      </c>
      <c r="E28" s="77">
        <f>'tab 14'!E28/'tab 13'!E28</f>
        <v>2200</v>
      </c>
      <c r="F28" s="77">
        <f>'tab 14'!F28/'tab 13'!F28</f>
        <v>2449.3266641015775</v>
      </c>
      <c r="G28" s="77"/>
      <c r="H28" s="77">
        <f>'tab 14'!H28/'tab 13'!H28</f>
        <v>2800</v>
      </c>
      <c r="I28" s="77">
        <f>'tab 14'!I28/'tab 13'!I28</f>
        <v>3100</v>
      </c>
      <c r="J28" s="77">
        <f>'tab 14'!J28/'tab 13'!J28</f>
        <v>3000</v>
      </c>
      <c r="K28" s="77">
        <f>'tab 14'!K28/'tab 13'!K28</f>
        <v>3046.7605633802818</v>
      </c>
      <c r="L28" s="77"/>
      <c r="M28" s="77">
        <f>'tab 14'!M28/'tab 13'!M28</f>
        <v>2100</v>
      </c>
      <c r="N28" s="77">
        <f>'tab 14'!N28/'tab 13'!N28</f>
        <v>2100</v>
      </c>
      <c r="O28" s="77">
        <f>'tab 14'!O28/'tab 13'!O28</f>
        <v>2100</v>
      </c>
      <c r="P28" s="77">
        <f>'tab 14'!P28/'tab 13'!P28</f>
        <v>2571.0613919640782</v>
      </c>
    </row>
    <row r="29" spans="1:16">
      <c r="A29" s="71">
        <v>2003</v>
      </c>
      <c r="B29" s="77">
        <f>'tab 14'!B29/'tab 13'!B29</f>
        <v>2750</v>
      </c>
      <c r="C29" s="77">
        <f>'tab 14'!C29/'tab 13'!C29</f>
        <v>3000</v>
      </c>
      <c r="D29" s="77">
        <f>'tab 14'!D29/'tab 13'!D29</f>
        <v>3450</v>
      </c>
      <c r="E29" s="77">
        <f>'tab 14'!E29/'tab 13'!E29</f>
        <v>3400</v>
      </c>
      <c r="F29" s="77">
        <f>'tab 14'!F29/'tab 13'!F29</f>
        <v>3237.5145857642942</v>
      </c>
      <c r="G29" s="77"/>
      <c r="H29" s="77">
        <f>'tab 14'!H29/'tab 13'!H29</f>
        <v>2800</v>
      </c>
      <c r="I29" s="77">
        <f>'tab 14'!I29/'tab 13'!I29</f>
        <v>3000</v>
      </c>
      <c r="J29" s="77">
        <f>'tab 14'!J29/'tab 13'!J29</f>
        <v>2700</v>
      </c>
      <c r="K29" s="77">
        <f>'tab 14'!K29/'tab 13'!K29</f>
        <v>2962.4223602484471</v>
      </c>
      <c r="L29" s="77"/>
      <c r="M29" s="77">
        <f>'tab 14'!M29/'tab 13'!M29</f>
        <v>2900</v>
      </c>
      <c r="N29" s="77">
        <f>'tab 14'!N29/'tab 13'!N29</f>
        <v>3200</v>
      </c>
      <c r="O29" s="77">
        <f>'tab 14'!O29/'tab 13'!O29</f>
        <v>3125.5639097744361</v>
      </c>
      <c r="P29" s="77">
        <f>'tab 14'!P29/'tab 13'!P29</f>
        <v>3158.6509146341464</v>
      </c>
    </row>
    <row r="30" spans="1:16">
      <c r="A30" s="71">
        <v>2004</v>
      </c>
      <c r="B30" s="77">
        <f>'tab 14'!B30/'tab 13'!B30</f>
        <v>2800</v>
      </c>
      <c r="C30" s="77">
        <f>'tab 14'!C30/'tab 13'!C30</f>
        <v>2800</v>
      </c>
      <c r="D30" s="77">
        <f>'tab 14'!D30/'tab 13'!D30</f>
        <v>2980</v>
      </c>
      <c r="E30" s="77">
        <f>'tab 14'!E30/'tab 13'!E30</f>
        <v>3400</v>
      </c>
      <c r="F30" s="77">
        <f>'tab 14'!F30/'tab 13'!F30</f>
        <v>2933.3333333333335</v>
      </c>
      <c r="G30" s="77"/>
      <c r="H30" s="77">
        <f>'tab 14'!H30/'tab 13'!H30</f>
        <v>3100</v>
      </c>
      <c r="I30" s="77">
        <f>'tab 14'!I30/'tab 13'!I30</f>
        <v>3420</v>
      </c>
      <c r="J30" s="77">
        <f>'tab 14'!J30/'tab 13'!J30</f>
        <v>3500</v>
      </c>
      <c r="K30" s="77">
        <f>'tab 14'!K30/'tab 13'!K30</f>
        <v>3387.719298245614</v>
      </c>
      <c r="L30" s="77"/>
      <c r="M30" s="77">
        <f>'tab 14'!M30/'tab 13'!M30</f>
        <v>3250</v>
      </c>
      <c r="N30" s="77">
        <f>'tab 14'!N30/'tab 13'!N30</f>
        <v>3500</v>
      </c>
      <c r="O30" s="77">
        <f>'tab 14'!O30/'tab 13'!O30</f>
        <v>3441.6058394160582</v>
      </c>
      <c r="P30" s="77">
        <f>'tab 14'!P30/'tab 13'!P30</f>
        <v>3076.1836441893829</v>
      </c>
    </row>
    <row r="31" spans="1:16">
      <c r="A31" s="71">
        <v>2005</v>
      </c>
      <c r="B31" s="77">
        <f>'tab 14'!B31/'tab 13'!B31</f>
        <v>2750</v>
      </c>
      <c r="C31" s="77">
        <f>'tab 14'!C31/'tab 13'!C31</f>
        <v>2700</v>
      </c>
      <c r="D31" s="77">
        <f>'tab 14'!D31/'tab 13'!D31</f>
        <v>2840</v>
      </c>
      <c r="E31" s="77">
        <f>'tab 14'!E31/'tab 13'!E31</f>
        <v>2800</v>
      </c>
      <c r="F31" s="77">
        <f>'tab 14'!F31/'tab 13'!F31</f>
        <v>2807.7147623019182</v>
      </c>
      <c r="G31" s="77"/>
      <c r="H31" s="77">
        <f>'tab 14'!H31/'tab 13'!H31</f>
        <v>3270</v>
      </c>
      <c r="I31" s="77">
        <f>'tab 14'!I31/'tab 13'!I31</f>
        <v>3750</v>
      </c>
      <c r="J31" s="77">
        <f>'tab 14'!J31/'tab 13'!J31</f>
        <v>3500</v>
      </c>
      <c r="K31" s="77">
        <f>'tab 14'!K31/'tab 13'!K31</f>
        <v>3684.0064102564102</v>
      </c>
      <c r="L31" s="77"/>
      <c r="M31" s="77">
        <f>'tab 14'!M31/'tab 13'!M31</f>
        <v>3000</v>
      </c>
      <c r="N31" s="77">
        <f>'tab 14'!N31/'tab 13'!N31</f>
        <v>3000</v>
      </c>
      <c r="O31" s="77">
        <f>'tab 14'!O31/'tab 13'!O31</f>
        <v>3000</v>
      </c>
      <c r="P31" s="77">
        <f>'tab 14'!P31/'tab 13'!P31</f>
        <v>2989.4782074892573</v>
      </c>
    </row>
    <row r="32" spans="1:16">
      <c r="A32" s="71">
        <v>2006</v>
      </c>
      <c r="B32" s="77">
        <f>'tab 14'!B32/'tab 13'!B32</f>
        <v>2500</v>
      </c>
      <c r="C32" s="77">
        <f>'tab 14'!C32/'tab 13'!C32</f>
        <v>2500</v>
      </c>
      <c r="D32" s="77">
        <f>'tab 14'!D32/'tab 13'!D32</f>
        <v>2780</v>
      </c>
      <c r="E32" s="77">
        <f>'tab 14'!E32/'tab 13'!E32</f>
        <v>3000</v>
      </c>
      <c r="F32" s="77">
        <f>'tab 14'!F32/'tab 13'!F32</f>
        <v>2710.1075268817203</v>
      </c>
      <c r="G32" s="77"/>
      <c r="H32" s="77">
        <f>'tab 14'!H32/'tab 13'!H32</f>
        <v>2850</v>
      </c>
      <c r="I32" s="77">
        <f>'tab 14'!I32/'tab 13'!I32</f>
        <v>3550</v>
      </c>
      <c r="J32" s="77">
        <f>'tab 14'!J32/'tab 13'!J32</f>
        <v>3600</v>
      </c>
      <c r="K32" s="77">
        <f>'tab 14'!K32/'tab 13'!K32</f>
        <v>3467.31843575419</v>
      </c>
      <c r="L32" s="77"/>
      <c r="M32" s="77">
        <f>'tab 14'!M32/'tab 13'!M32</f>
        <v>3200</v>
      </c>
      <c r="N32" s="77">
        <f>'tab 14'!N32/'tab 13'!N32</f>
        <v>3200</v>
      </c>
      <c r="O32" s="77">
        <f>'tab 14'!O32/'tab 13'!O32</f>
        <v>3200</v>
      </c>
      <c r="P32" s="77">
        <f>'tab 14'!P32/'tab 13'!P32</f>
        <v>2863.0165289256197</v>
      </c>
    </row>
    <row r="33" spans="1:16">
      <c r="A33" s="71">
        <v>2007</v>
      </c>
      <c r="B33" s="77">
        <f>'tab 14'!B33/'tab 13'!B33</f>
        <v>2550</v>
      </c>
      <c r="C33" s="77">
        <f>'tab 14'!C33/'tab 13'!C33</f>
        <v>2700</v>
      </c>
      <c r="D33" s="77">
        <f>'tab 14'!D33/'tab 13'!D33</f>
        <v>3120</v>
      </c>
      <c r="E33" s="77">
        <f>'tab 14'!E33/'tab 13'!E33</f>
        <v>3100</v>
      </c>
      <c r="F33" s="77">
        <f>'tab 14'!F33/'tab 13'!F33</f>
        <v>2962.1264367816093</v>
      </c>
      <c r="G33" s="77"/>
      <c r="H33" s="77">
        <f>'tab 14'!H33/'tab 13'!H33</f>
        <v>3400</v>
      </c>
      <c r="I33" s="77">
        <f>'tab 14'!I33/'tab 13'!I33</f>
        <v>3700</v>
      </c>
      <c r="J33" s="77">
        <f>'tab 14'!J33/'tab 13'!J33</f>
        <v>3200</v>
      </c>
      <c r="K33" s="77">
        <f>'tab 14'!K33/'tab 13'!K33</f>
        <v>3652.8037383177571</v>
      </c>
      <c r="L33" s="77"/>
      <c r="M33" s="77">
        <f>'tab 14'!M33/'tab 13'!M33</f>
        <v>2500</v>
      </c>
      <c r="N33" s="77">
        <f>'tab 14'!N33/'tab 13'!N33</f>
        <v>2900</v>
      </c>
      <c r="O33" s="77">
        <f>'tab 14'!O33/'tab 13'!O33</f>
        <v>2824.3243243243242</v>
      </c>
      <c r="P33" s="77">
        <f>'tab 14'!P33/'tab 13'!P33</f>
        <v>3073.0125523012553</v>
      </c>
    </row>
    <row r="34" spans="1:16">
      <c r="A34" s="71">
        <v>2008</v>
      </c>
      <c r="B34" s="77">
        <f>'tab 14'!B34/'tab 13'!B34</f>
        <v>3500</v>
      </c>
      <c r="C34" s="77">
        <f>'tab 14'!C34/'tab 13'!C34</f>
        <v>3200</v>
      </c>
      <c r="D34" s="77">
        <f>'tab 14'!D34/'tab 13'!D34</f>
        <v>3400</v>
      </c>
      <c r="E34" s="77">
        <f>'tab 14'!E34/'tab 13'!E34</f>
        <v>3900</v>
      </c>
      <c r="F34" s="77">
        <f>'tab 14'!F34/'tab 13'!F34</f>
        <v>3432.3396567299005</v>
      </c>
      <c r="G34" s="77"/>
      <c r="H34" s="77">
        <f>'tab 14'!H34/'tab 13'!H34</f>
        <v>3500</v>
      </c>
      <c r="I34" s="77">
        <f>'tab 14'!I34/'tab 13'!I34</f>
        <v>3300</v>
      </c>
      <c r="J34" s="77">
        <f>'tab 14'!J34/'tab 13'!J34</f>
        <v>3200</v>
      </c>
      <c r="K34" s="77">
        <f>'tab 14'!K34/'tab 13'!K34</f>
        <v>3310.0358422939066</v>
      </c>
      <c r="L34" s="77"/>
      <c r="M34" s="77">
        <f>'tab 14'!M34/'tab 13'!M34</f>
        <v>3350</v>
      </c>
      <c r="N34" s="77">
        <f>'tab 14'!N34/'tab 13'!N34</f>
        <v>3700</v>
      </c>
      <c r="O34" s="77">
        <f>'tab 14'!O34/'tab 13'!O34</f>
        <v>3630.5785123966944</v>
      </c>
      <c r="P34" s="77">
        <f>'tab 14'!P34/'tab 13'!P34</f>
        <v>3425.6138022561381</v>
      </c>
    </row>
    <row r="35" spans="1:16">
      <c r="A35" s="71">
        <v>2009</v>
      </c>
      <c r="B35" s="77">
        <f>'tab 14'!B35/'tab 13'!B35</f>
        <v>3300</v>
      </c>
      <c r="C35" s="77">
        <f>'tab 14'!C35/'tab 13'!C35</f>
        <v>3200</v>
      </c>
      <c r="D35" s="77">
        <f>'tab 14'!D35/'tab 13'!D35</f>
        <v>3560</v>
      </c>
      <c r="E35" s="77">
        <f>'tab 14'!E35/'tab 13'!E35</f>
        <v>3100</v>
      </c>
      <c r="F35" s="77">
        <f>'tab 14'!F35/'tab 13'!F35</f>
        <v>3428.0871670702181</v>
      </c>
      <c r="G35" s="77"/>
      <c r="H35" s="77">
        <f>'tab 14'!H35/'tab 13'!H35</f>
        <v>3300</v>
      </c>
      <c r="I35" s="77">
        <f>'tab 14'!I35/'tab 13'!I35</f>
        <v>3270</v>
      </c>
      <c r="J35" s="77">
        <f>'tab 14'!J35/'tab 13'!J35</f>
        <v>3100</v>
      </c>
      <c r="K35" s="77">
        <f>'tab 14'!K35/'tab 13'!K35</f>
        <v>3265.4285714285716</v>
      </c>
      <c r="L35" s="77"/>
      <c r="M35" s="77">
        <f>'tab 14'!M35/'tab 13'!M35</f>
        <v>3700</v>
      </c>
      <c r="N35" s="77">
        <f>'tab 14'!N35/'tab 13'!N35</f>
        <v>3700</v>
      </c>
      <c r="O35" s="77">
        <f>'tab 14'!O35/'tab 13'!O35</f>
        <v>3700</v>
      </c>
      <c r="P35" s="77">
        <f>'tab 14'!P35/'tab 13'!P35</f>
        <v>3421.3623725671919</v>
      </c>
    </row>
    <row r="36" spans="1:16">
      <c r="A36" s="71">
        <v>2010</v>
      </c>
      <c r="B36" s="77">
        <f>'tab 14'!B36/'tab 13'!B36</f>
        <v>2600</v>
      </c>
      <c r="C36" s="77">
        <f>'tab 14'!C36/'tab 13'!C36</f>
        <v>3500</v>
      </c>
      <c r="D36" s="77">
        <f>'tab 14'!D36/'tab 13'!D36</f>
        <v>3530</v>
      </c>
      <c r="E36" s="77">
        <f>'tab 14'!E36/'tab 13'!E36</f>
        <v>3500</v>
      </c>
      <c r="F36" s="77">
        <f>'tab 14'!F36/'tab 13'!F36</f>
        <v>3343.4169278996865</v>
      </c>
      <c r="G36" s="77"/>
      <c r="H36" s="77">
        <f>'tab 14'!H36/'tab 13'!H36</f>
        <v>3350</v>
      </c>
      <c r="I36" s="77">
        <f>'tab 14'!I36/'tab 13'!I36</f>
        <v>3600</v>
      </c>
      <c r="J36" s="77">
        <f>'tab 14'!J36/'tab 13'!J36</f>
        <v>3400</v>
      </c>
      <c r="K36" s="77">
        <f>'tab 14'!K36/'tab 13'!K36</f>
        <v>3562.6288659793813</v>
      </c>
      <c r="L36" s="77"/>
      <c r="M36" s="77">
        <f>'tab 14'!M36/'tab 13'!M36</f>
        <v>1880</v>
      </c>
      <c r="N36" s="77">
        <f>'tab 14'!N36/'tab 13'!N36</f>
        <v>2700</v>
      </c>
      <c r="O36" s="77">
        <f>'tab 14'!O36/'tab 13'!O36</f>
        <v>2558.0769230769229</v>
      </c>
      <c r="P36" s="77">
        <f>'tab 14'!P36/'tab 13'!P36</f>
        <v>3312.2231075697209</v>
      </c>
    </row>
    <row r="37" spans="1:16">
      <c r="A37" s="71">
        <v>2011</v>
      </c>
      <c r="B37" s="77">
        <f>'tab 14'!B37/'tab 13'!B37</f>
        <v>2950</v>
      </c>
      <c r="C37" s="77">
        <f>'tab 14'!C37/'tab 13'!C37</f>
        <v>3500</v>
      </c>
      <c r="D37" s="77">
        <f>'tab 14'!D37/'tab 13'!D37</f>
        <v>3625</v>
      </c>
      <c r="E37" s="77">
        <f>'tab 14'!E37/'tab 13'!E37</f>
        <v>3300</v>
      </c>
      <c r="F37" s="77">
        <f>'tab 14'!F37/'tab 13'!F37</f>
        <v>3451.2152777777778</v>
      </c>
      <c r="G37" s="77"/>
      <c r="H37" s="77">
        <f>'tab 14'!H37/'tab 13'!H37</f>
        <v>2600</v>
      </c>
      <c r="I37" s="77">
        <f>'tab 14'!I37/'tab 13'!I37</f>
        <v>2680</v>
      </c>
      <c r="J37" s="77">
        <f>'tab 14'!J37/'tab 13'!J37</f>
        <v>3000</v>
      </c>
      <c r="K37" s="77">
        <f>'tab 14'!K37/'tab 13'!K37</f>
        <v>2683.5820895522388</v>
      </c>
      <c r="L37" s="77"/>
      <c r="M37" s="77">
        <f>'tab 14'!M37/'tab 13'!M37</f>
        <v>4100</v>
      </c>
      <c r="N37" s="77">
        <f>'tab 14'!N37/'tab 13'!N37</f>
        <v>3600</v>
      </c>
      <c r="O37" s="77">
        <f>'tab 14'!O37/'tab 13'!O37</f>
        <v>3678.125</v>
      </c>
      <c r="P37" s="77">
        <f>'tab 14'!P37/'tab 13'!P37</f>
        <v>3385.7023875624654</v>
      </c>
    </row>
    <row r="38" spans="1:16">
      <c r="A38" s="71">
        <v>2012</v>
      </c>
      <c r="B38" s="77">
        <f>'tab 14'!B38/'tab 13'!B38</f>
        <v>4000</v>
      </c>
      <c r="C38" s="77">
        <f>'tab 14'!C38/'tab 13'!C38</f>
        <v>3900</v>
      </c>
      <c r="D38" s="77">
        <f>'tab 14'!D38/'tab 13'!D38</f>
        <v>4580</v>
      </c>
      <c r="E38" s="77">
        <f>'tab 14'!E38/'tab 13'!E38</f>
        <v>3900</v>
      </c>
      <c r="F38" s="77">
        <f>'tab 14'!F38/'tab 13'!F38</f>
        <v>4317.5384615384619</v>
      </c>
      <c r="G38" s="77"/>
      <c r="H38" s="77">
        <f>'tab 14'!H38/'tab 13'!H38</f>
        <v>3650</v>
      </c>
      <c r="I38" s="77">
        <f>'tab 14'!I38/'tab 13'!I38</f>
        <v>3600</v>
      </c>
      <c r="J38" s="77">
        <f>'tab 14'!J38/'tab 13'!J38</f>
        <v>2600</v>
      </c>
      <c r="K38" s="77">
        <f>'tab 14'!K38/'tab 13'!K38</f>
        <v>3550</v>
      </c>
      <c r="L38" s="77"/>
      <c r="M38" s="77">
        <f>'tab 14'!M38/'tab 13'!M38</f>
        <v>4100</v>
      </c>
      <c r="N38" s="77">
        <f>'tab 14'!N38/'tab 13'!N38</f>
        <v>4030</v>
      </c>
      <c r="O38" s="77">
        <f>'tab 14'!O38/'tab 13'!O38</f>
        <v>4041.1111111111113</v>
      </c>
      <c r="P38" s="77">
        <f>'tab 14'!P38/'tab 13'!P38</f>
        <v>4210.6483790523689</v>
      </c>
    </row>
    <row r="39" spans="1:16">
      <c r="A39" s="71">
        <v>2013</v>
      </c>
      <c r="B39" s="77">
        <f>'tab 14'!B39/'tab 13'!B39</f>
        <v>3550</v>
      </c>
      <c r="C39" s="77">
        <f>'tab 14'!C39/'tab 13'!C39</f>
        <v>3950</v>
      </c>
      <c r="D39" s="77">
        <f>'tab 14'!D39/'tab 13'!D39</f>
        <v>4430</v>
      </c>
      <c r="E39" s="77">
        <f>'tab 14'!E39/'tab 13'!E39</f>
        <v>3500</v>
      </c>
      <c r="F39" s="77">
        <f>'tab 14'!F39/'tab 13'!F39</f>
        <v>4081.4267990074441</v>
      </c>
      <c r="G39" s="77"/>
      <c r="H39" s="77">
        <f>'tab 14'!H39/'tab 13'!H39</f>
        <v>3700</v>
      </c>
      <c r="I39" s="77">
        <f>'tab 14'!I39/'tab 13'!I39</f>
        <v>3620</v>
      </c>
      <c r="J39" s="77">
        <f>'tab 14'!J39/'tab 13'!J39</f>
        <v>3100</v>
      </c>
      <c r="K39" s="77">
        <f>'tab 14'!K39/'tab 13'!K39</f>
        <v>3603.1428571428573</v>
      </c>
      <c r="L39" s="77"/>
      <c r="M39" s="77">
        <f>'tab 14'!M39/'tab 13'!M39</f>
        <v>3950</v>
      </c>
      <c r="N39" s="77">
        <f>'tab 14'!N39/'tab 13'!N39</f>
        <v>3900</v>
      </c>
      <c r="O39" s="77">
        <f>'tab 14'!O39/'tab 13'!O39</f>
        <v>3908.2474226804125</v>
      </c>
      <c r="P39" s="77">
        <f>'tab 14'!P39/'tab 13'!P39</f>
        <v>4001.1217641418984</v>
      </c>
    </row>
    <row r="40" spans="1:16">
      <c r="A40" s="71">
        <v>2014</v>
      </c>
      <c r="B40" s="77">
        <f>'tab 14'!B40/'tab 13'!B40</f>
        <v>3150</v>
      </c>
      <c r="C40" s="77">
        <f>'tab 14'!C40/'tab 13'!C40</f>
        <v>4000</v>
      </c>
      <c r="D40" s="77">
        <f>'tab 14'!D40/'tab 13'!D40</f>
        <v>4135</v>
      </c>
      <c r="E40" s="77">
        <f>'tab 14'!E40/'tab 13'!E40</f>
        <v>3800</v>
      </c>
      <c r="F40" s="77">
        <f>'tab 14'!F40/'tab 13'!F40</f>
        <v>3916.5402621722847</v>
      </c>
      <c r="G40" s="77"/>
      <c r="H40" s="77">
        <f>'tab 14'!H40/'tab 13'!H40</f>
        <v>4000</v>
      </c>
      <c r="I40" s="77">
        <f>'tab 14'!I40/'tab 13'!I40</f>
        <v>3620</v>
      </c>
      <c r="J40" s="77">
        <f>'tab 14'!J40/'tab 13'!J40</f>
        <v>3500</v>
      </c>
      <c r="K40" s="77">
        <f>'tab 14'!K40/'tab 13'!K40</f>
        <v>3645.5438596491226</v>
      </c>
      <c r="L40" s="77"/>
      <c r="M40" s="77">
        <f>'tab 14'!M40/'tab 13'!M40</f>
        <v>4450</v>
      </c>
      <c r="N40" s="77">
        <f>'tab 14'!N40/'tab 13'!N40</f>
        <v>4320</v>
      </c>
      <c r="O40" s="77">
        <f>'tab 14'!O40/'tab 13'!O40</f>
        <v>4342.0535714285716</v>
      </c>
      <c r="P40" s="77">
        <f>'tab 14'!P40/'tab 13'!P40</f>
        <v>3923.3761814744803</v>
      </c>
    </row>
    <row r="41" spans="1:16">
      <c r="A41" s="71">
        <v>2015</v>
      </c>
      <c r="B41" s="77">
        <f>'tab 14'!B41/'tab 13'!B41</f>
        <v>3250</v>
      </c>
      <c r="C41" s="77">
        <f>'tab 14'!C41/'tab 13'!C41</f>
        <v>3600</v>
      </c>
      <c r="D41" s="77">
        <f>'tab 14'!D41/'tab 13'!D41</f>
        <v>4330</v>
      </c>
      <c r="E41" s="77">
        <f>'tab 14'!E41/'tab 13'!E41</f>
        <v>3200</v>
      </c>
      <c r="F41" s="77">
        <f>'tab 14'!F41/'tab 13'!F41</f>
        <v>3961.8416927899689</v>
      </c>
      <c r="G41" s="77"/>
      <c r="H41" s="77">
        <f>'tab 14'!H41/'tab 13'!H41</f>
        <v>3400</v>
      </c>
      <c r="I41" s="77">
        <f>'tab 14'!I41/'tab 13'!I41</f>
        <v>3200</v>
      </c>
      <c r="J41" s="77">
        <f>'tab 14'!J41/'tab 13'!J41</f>
        <v>3130</v>
      </c>
      <c r="K41" s="77">
        <f>'tab 14'!K41/'tab 13'!K41</f>
        <v>3208.1442146450531</v>
      </c>
      <c r="L41" s="77"/>
      <c r="M41" s="77">
        <f>'tab 14'!M41/'tab 13'!M41</f>
        <v>3650</v>
      </c>
      <c r="N41" s="77">
        <f>'tab 14'!N41/'tab 13'!N41</f>
        <v>3480</v>
      </c>
      <c r="O41" s="77">
        <f>'tab 14'!O41/'tab 13'!O41</f>
        <v>3510.4716981132074</v>
      </c>
      <c r="P41" s="77">
        <f>'tab 14'!P41/'tab 13'!P41</f>
        <v>3844.8055608943555</v>
      </c>
    </row>
    <row r="42" spans="1:16">
      <c r="A42" s="71">
        <v>2016</v>
      </c>
      <c r="B42" s="77">
        <f>'tab 14'!B42/'tab 13'!B42</f>
        <v>3600</v>
      </c>
      <c r="C42" s="77">
        <f>'tab 14'!C42/'tab 13'!C42</f>
        <v>3800</v>
      </c>
      <c r="D42" s="77">
        <f>'tab 14'!D42/'tab 13'!D42</f>
        <v>3900</v>
      </c>
      <c r="E42" s="77">
        <f>'tab 14'!E42/'tab 13'!E42</f>
        <v>3200</v>
      </c>
      <c r="F42" s="77">
        <f>'tab 14'!F42/'tab 13'!F42</f>
        <v>3783.0479452054797</v>
      </c>
      <c r="G42" s="77"/>
      <c r="H42" s="77">
        <f>'tab 14'!H42/'tab 13'!H42</f>
        <v>3700</v>
      </c>
      <c r="I42" s="77">
        <f>'tab 14'!I42/'tab 13'!I42</f>
        <v>2730</v>
      </c>
      <c r="J42" s="77">
        <f>'tab 14'!J42/'tab 13'!J42</f>
        <v>2800</v>
      </c>
      <c r="K42" s="77">
        <f>'tab 14'!K42/'tab 13'!K42</f>
        <v>2971.1693548387098</v>
      </c>
      <c r="L42" s="77"/>
      <c r="M42" s="77">
        <f>'tab 14'!M42/'tab 13'!M42</f>
        <v>3650</v>
      </c>
      <c r="N42" s="77">
        <f>'tab 14'!N42/'tab 13'!N42</f>
        <v>3530</v>
      </c>
      <c r="O42" s="77">
        <f>'tab 14'!O42/'tab 13'!O42</f>
        <v>3551</v>
      </c>
      <c r="P42" s="77">
        <f>'tab 14'!P42/'tab 13'!P42</f>
        <v>3633.8346354166665</v>
      </c>
    </row>
    <row r="43" spans="1:16">
      <c r="A43" s="11">
        <v>2017</v>
      </c>
      <c r="B43" s="18">
        <f>'tab 14'!B43/'tab 13'!B43</f>
        <v>3650</v>
      </c>
      <c r="C43" s="18">
        <f>'tab 14'!C43/'tab 13'!C43</f>
        <v>3550</v>
      </c>
      <c r="D43" s="18">
        <f>'tab 14'!D43/'tab 13'!D43</f>
        <v>4380</v>
      </c>
      <c r="E43" s="18">
        <f>'tab 14'!E43/'tab 13'!E43</f>
        <v>4000</v>
      </c>
      <c r="F43" s="18">
        <f>'tab 14'!F43/'tab 13'!F43</f>
        <v>4122.0146520146518</v>
      </c>
      <c r="G43" s="18"/>
      <c r="H43" s="18">
        <f>'tab 14'!H43/'tab 13'!H43</f>
        <v>3700</v>
      </c>
      <c r="I43" s="18">
        <f>'tab 14'!I43/'tab 13'!I43</f>
        <v>3600</v>
      </c>
      <c r="J43" s="18">
        <f>'tab 14'!J43/'tab 13'!J43</f>
        <v>3500</v>
      </c>
      <c r="K43" s="18">
        <f>'tab 14'!K43/'tab 13'!K43</f>
        <v>3767.8169542385594</v>
      </c>
      <c r="L43" s="18"/>
      <c r="M43" s="18">
        <f>'tab 14'!M43/'tab 13'!M43</f>
        <v>4550</v>
      </c>
      <c r="N43" s="18">
        <f>'tab 14'!N43/'tab 13'!N43</f>
        <v>4100</v>
      </c>
      <c r="O43" s="18">
        <f>'tab 14'!O43/'tab 13'!O43</f>
        <v>4184.375</v>
      </c>
      <c r="P43" s="18">
        <f>'tab 14'!P43/'tab 13'!P43</f>
        <v>4073.8905158819557</v>
      </c>
    </row>
    <row r="44" spans="1:16">
      <c r="A44" s="142" t="s">
        <v>584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1:16" ht="13.25" customHeight="1">
      <c r="A45" s="117" t="s">
        <v>610</v>
      </c>
    </row>
    <row r="46" spans="1:16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3" orientation="portrait" useFirstPageNumber="1" r:id="rId1"/>
  <headerFooter alignWithMargins="0">
    <oddFooter>&amp;C&amp;P
Oil Crops Yearbook/OCS-2018
March 2018
Economic Research Service, USDA</oddFooter>
  </headerFooter>
  <ignoredErrors>
    <ignoredError sqref="A6:A3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H45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10.25" customWidth="1"/>
    <col min="2" max="6" width="21.75" customWidth="1"/>
  </cols>
  <sheetData>
    <row r="1" spans="1:6">
      <c r="A1" s="126" t="s">
        <v>701</v>
      </c>
      <c r="B1" s="1"/>
      <c r="C1" s="1"/>
      <c r="D1" s="1"/>
      <c r="E1" s="1"/>
      <c r="F1" s="1"/>
    </row>
    <row r="2" spans="1:6">
      <c r="A2" s="1" t="s">
        <v>248</v>
      </c>
      <c r="B2" s="318" t="s">
        <v>62</v>
      </c>
      <c r="C2" s="318" t="s">
        <v>63</v>
      </c>
      <c r="D2" s="318" t="s">
        <v>64</v>
      </c>
      <c r="E2" s="318" t="s">
        <v>66</v>
      </c>
      <c r="F2" s="371" t="s">
        <v>67</v>
      </c>
    </row>
    <row r="3" spans="1:6">
      <c r="B3" s="367" t="s">
        <v>249</v>
      </c>
      <c r="C3" s="38"/>
      <c r="D3" s="7" t="s">
        <v>400</v>
      </c>
      <c r="E3" s="7" t="s">
        <v>202</v>
      </c>
      <c r="F3" s="8">
        <v>1000</v>
      </c>
    </row>
    <row r="4" spans="1:6">
      <c r="B4" s="38"/>
      <c r="C4" s="38"/>
      <c r="D4" s="7"/>
      <c r="E4" s="7"/>
      <c r="F4" s="8"/>
    </row>
    <row r="5" spans="1:6">
      <c r="A5" s="10">
        <v>1980</v>
      </c>
      <c r="B5" s="21">
        <v>14534</v>
      </c>
      <c r="C5" s="21">
        <v>13215</v>
      </c>
      <c r="D5" s="21">
        <f t="shared" ref="D5:D27" si="0">+E5*2000/C5</f>
        <v>676.57964434354903</v>
      </c>
      <c r="E5" s="21">
        <v>4470.5</v>
      </c>
      <c r="F5" s="21">
        <v>574511</v>
      </c>
    </row>
    <row r="6" spans="1:6">
      <c r="A6" s="10">
        <v>1981</v>
      </c>
      <c r="B6" s="21">
        <v>14330</v>
      </c>
      <c r="C6" s="21">
        <v>13841</v>
      </c>
      <c r="D6" s="21">
        <f t="shared" si="0"/>
        <v>924.34072682609633</v>
      </c>
      <c r="E6" s="21">
        <v>6396.9</v>
      </c>
      <c r="F6" s="21">
        <v>549041</v>
      </c>
    </row>
    <row r="7" spans="1:6">
      <c r="A7" s="10">
        <v>1982</v>
      </c>
      <c r="B7" s="21">
        <v>11345</v>
      </c>
      <c r="C7" s="21">
        <v>9734</v>
      </c>
      <c r="D7" s="21">
        <f t="shared" si="0"/>
        <v>974.70721183480589</v>
      </c>
      <c r="E7" s="21">
        <v>4743.8999999999996</v>
      </c>
      <c r="F7" s="21">
        <v>366240</v>
      </c>
    </row>
    <row r="8" spans="1:6">
      <c r="A8" s="10">
        <v>1983</v>
      </c>
      <c r="B8" s="21">
        <v>7926</v>
      </c>
      <c r="C8" s="21">
        <v>7348</v>
      </c>
      <c r="D8" s="21">
        <f t="shared" si="0"/>
        <v>837.15296679368532</v>
      </c>
      <c r="E8" s="21">
        <v>3075.7</v>
      </c>
      <c r="F8" s="21">
        <v>511450</v>
      </c>
    </row>
    <row r="9" spans="1:6">
      <c r="A9" s="10">
        <v>1984</v>
      </c>
      <c r="B9" s="21">
        <v>11145</v>
      </c>
      <c r="C9" s="21">
        <v>10379</v>
      </c>
      <c r="D9" s="21">
        <f t="shared" si="0"/>
        <v>992.17651026110411</v>
      </c>
      <c r="E9" s="21">
        <v>5148.8999999999996</v>
      </c>
      <c r="F9" s="21">
        <v>511953</v>
      </c>
    </row>
    <row r="10" spans="1:6">
      <c r="A10" s="10">
        <v>1985</v>
      </c>
      <c r="B10" s="21">
        <v>10685</v>
      </c>
      <c r="C10" s="21">
        <v>10229</v>
      </c>
      <c r="D10" s="21">
        <f t="shared" si="0"/>
        <v>1032.2025613451951</v>
      </c>
      <c r="E10" s="21">
        <v>5279.2</v>
      </c>
      <c r="F10" s="21">
        <v>348342</v>
      </c>
    </row>
    <row r="11" spans="1:6">
      <c r="A11" s="10">
        <v>1986</v>
      </c>
      <c r="B11" s="21">
        <v>10045</v>
      </c>
      <c r="C11" s="21">
        <v>8468</v>
      </c>
      <c r="D11" s="21">
        <f t="shared" si="0"/>
        <v>897.70902220122821</v>
      </c>
      <c r="E11" s="21">
        <v>3800.9</v>
      </c>
      <c r="F11" s="21">
        <v>303965</v>
      </c>
    </row>
    <row r="12" spans="1:6">
      <c r="A12" s="10">
        <v>1987</v>
      </c>
      <c r="B12" s="21">
        <v>10397</v>
      </c>
      <c r="C12" s="21">
        <v>10030</v>
      </c>
      <c r="D12" s="21">
        <f t="shared" si="0"/>
        <v>1150.3888334995015</v>
      </c>
      <c r="E12" s="21">
        <v>5769.2</v>
      </c>
      <c r="F12" s="21">
        <v>474703</v>
      </c>
    </row>
    <row r="13" spans="1:6">
      <c r="A13" s="10">
        <v>1988</v>
      </c>
      <c r="B13" s="21">
        <v>12515</v>
      </c>
      <c r="C13" s="21">
        <v>11948</v>
      </c>
      <c r="D13" s="21">
        <f t="shared" si="0"/>
        <v>1014.6970204218279</v>
      </c>
      <c r="E13" s="21">
        <v>6061.8</v>
      </c>
      <c r="F13" s="21">
        <v>718255</v>
      </c>
    </row>
    <row r="14" spans="1:6">
      <c r="A14" s="10">
        <v>1989</v>
      </c>
      <c r="B14" s="21">
        <v>10587</v>
      </c>
      <c r="C14" s="21">
        <v>9538</v>
      </c>
      <c r="D14" s="21">
        <f t="shared" si="0"/>
        <v>980.79261899769347</v>
      </c>
      <c r="E14" s="21">
        <v>4677.3999999999996</v>
      </c>
      <c r="F14" s="21">
        <v>492683</v>
      </c>
    </row>
    <row r="15" spans="1:6">
      <c r="A15" s="10">
        <v>1990</v>
      </c>
      <c r="B15" s="21">
        <v>12348</v>
      </c>
      <c r="C15" s="21">
        <v>11732</v>
      </c>
      <c r="D15" s="21">
        <f t="shared" si="0"/>
        <v>1017.4735765427889</v>
      </c>
      <c r="E15" s="21">
        <v>5968.5</v>
      </c>
      <c r="F15" s="21">
        <v>722313</v>
      </c>
    </row>
    <row r="16" spans="1:6">
      <c r="A16" s="10">
        <v>1991</v>
      </c>
      <c r="B16" s="21">
        <v>14052</v>
      </c>
      <c r="C16" s="21">
        <v>12960</v>
      </c>
      <c r="D16" s="21">
        <f t="shared" si="0"/>
        <v>1068.75</v>
      </c>
      <c r="E16" s="21">
        <v>6925.5</v>
      </c>
      <c r="F16" s="21">
        <v>492261</v>
      </c>
    </row>
    <row r="17" spans="1:6">
      <c r="A17" s="10">
        <v>1992</v>
      </c>
      <c r="B17" s="21">
        <v>13240</v>
      </c>
      <c r="C17" s="21">
        <v>11123.3</v>
      </c>
      <c r="D17" s="21">
        <f t="shared" si="0"/>
        <v>1120.1891524997079</v>
      </c>
      <c r="E17" s="21">
        <v>6230.1</v>
      </c>
      <c r="F17" s="21">
        <v>608438</v>
      </c>
    </row>
    <row r="18" spans="1:6">
      <c r="A18" s="10">
        <v>1993</v>
      </c>
      <c r="B18" s="21">
        <v>13438.3</v>
      </c>
      <c r="C18" s="21">
        <v>12783.3</v>
      </c>
      <c r="D18" s="21">
        <f t="shared" si="0"/>
        <v>992.41979770481805</v>
      </c>
      <c r="E18" s="21">
        <v>6343.2</v>
      </c>
      <c r="F18" s="21">
        <v>714389</v>
      </c>
    </row>
    <row r="19" spans="1:6">
      <c r="A19" s="10">
        <v>1994</v>
      </c>
      <c r="B19" s="21">
        <v>13720.1</v>
      </c>
      <c r="C19" s="21">
        <v>13322.3</v>
      </c>
      <c r="D19" s="21">
        <f t="shared" si="0"/>
        <v>1141.529615757039</v>
      </c>
      <c r="E19" s="21">
        <v>7603.9</v>
      </c>
      <c r="F19" s="21">
        <v>771315</v>
      </c>
    </row>
    <row r="20" spans="1:6">
      <c r="A20" s="10">
        <v>1995</v>
      </c>
      <c r="B20" s="21">
        <v>16931.400000000001</v>
      </c>
      <c r="C20" s="21">
        <v>16006.7</v>
      </c>
      <c r="D20" s="21">
        <f t="shared" si="0"/>
        <v>855.72916341282087</v>
      </c>
      <c r="E20" s="21">
        <v>6848.7</v>
      </c>
      <c r="F20" s="21">
        <v>731005</v>
      </c>
    </row>
    <row r="21" spans="1:6">
      <c r="A21" s="10">
        <v>1996</v>
      </c>
      <c r="B21" s="21">
        <v>14652.5</v>
      </c>
      <c r="C21" s="21">
        <v>12888.1</v>
      </c>
      <c r="D21" s="21">
        <f t="shared" si="0"/>
        <v>1108.5419883458385</v>
      </c>
      <c r="E21" s="21">
        <v>7143.5</v>
      </c>
      <c r="F21" s="21">
        <v>914564</v>
      </c>
    </row>
    <row r="22" spans="1:6">
      <c r="A22" s="10">
        <v>1997</v>
      </c>
      <c r="B22" s="21">
        <v>13898</v>
      </c>
      <c r="C22" s="21">
        <v>13406</v>
      </c>
      <c r="D22" s="21">
        <f t="shared" si="0"/>
        <v>1034.5516932716694</v>
      </c>
      <c r="E22" s="21">
        <v>6934.6</v>
      </c>
      <c r="F22" s="21">
        <v>835371</v>
      </c>
    </row>
    <row r="23" spans="1:6">
      <c r="A23" s="10">
        <v>1998</v>
      </c>
      <c r="B23" s="21">
        <v>13393</v>
      </c>
      <c r="C23" s="21">
        <v>10684</v>
      </c>
      <c r="D23" s="21">
        <f t="shared" si="0"/>
        <v>1004.3803818794458</v>
      </c>
      <c r="E23" s="21">
        <v>5365.4</v>
      </c>
      <c r="F23" s="21">
        <v>687179</v>
      </c>
    </row>
    <row r="24" spans="1:6">
      <c r="A24" s="10">
        <v>1999</v>
      </c>
      <c r="B24" s="21">
        <v>14873.5</v>
      </c>
      <c r="C24" s="21">
        <v>13424.9</v>
      </c>
      <c r="D24" s="21">
        <f t="shared" si="0"/>
        <v>946.52474133885539</v>
      </c>
      <c r="E24" s="21">
        <v>6353.5</v>
      </c>
      <c r="F24" s="21">
        <f>+E24*89</f>
        <v>565461.5</v>
      </c>
    </row>
    <row r="25" spans="1:6">
      <c r="A25" s="71">
        <v>2000</v>
      </c>
      <c r="B25" s="75">
        <v>15517.2</v>
      </c>
      <c r="C25" s="75">
        <v>13053</v>
      </c>
      <c r="D25" s="21">
        <f t="shared" si="0"/>
        <v>986.07216731785797</v>
      </c>
      <c r="E25" s="75">
        <v>6435.6</v>
      </c>
      <c r="F25" s="21">
        <f>+E25*105</f>
        <v>675738</v>
      </c>
    </row>
    <row r="26" spans="1:6">
      <c r="A26" s="71">
        <v>2001</v>
      </c>
      <c r="B26" s="75">
        <v>15768.5</v>
      </c>
      <c r="C26" s="75">
        <v>13827.7</v>
      </c>
      <c r="D26" s="21">
        <f t="shared" si="0"/>
        <v>1077.8654440000867</v>
      </c>
      <c r="E26" s="75">
        <v>7452.2</v>
      </c>
      <c r="F26" s="75">
        <f>+E26*92.5</f>
        <v>689328.5</v>
      </c>
    </row>
    <row r="27" spans="1:6">
      <c r="A27" s="71">
        <v>2002</v>
      </c>
      <c r="B27" s="75">
        <v>13957.9</v>
      </c>
      <c r="C27" s="75">
        <v>12416.6</v>
      </c>
      <c r="D27" s="21">
        <f t="shared" si="0"/>
        <v>996.06977755585262</v>
      </c>
      <c r="E27" s="75">
        <v>6183.9</v>
      </c>
      <c r="F27" s="75">
        <v>616352</v>
      </c>
    </row>
    <row r="28" spans="1:6">
      <c r="A28" s="71">
        <v>2003</v>
      </c>
      <c r="B28" s="75">
        <v>13479.6</v>
      </c>
      <c r="C28" s="75">
        <v>12003.4</v>
      </c>
      <c r="D28" s="21">
        <f t="shared" ref="D28:D33" si="1">+E28*2000/C28</f>
        <v>1110.4520385890664</v>
      </c>
      <c r="E28" s="75">
        <v>6664.6</v>
      </c>
      <c r="F28" s="75">
        <v>778994</v>
      </c>
    </row>
    <row r="29" spans="1:6">
      <c r="A29" s="71">
        <v>2004</v>
      </c>
      <c r="B29" s="75">
        <v>13658.6</v>
      </c>
      <c r="C29" s="75">
        <v>13057</v>
      </c>
      <c r="D29" s="21">
        <f t="shared" si="1"/>
        <v>1255.7402159761048</v>
      </c>
      <c r="E29" s="75">
        <v>8198.1</v>
      </c>
      <c r="F29" s="75">
        <v>872796</v>
      </c>
    </row>
    <row r="30" spans="1:6">
      <c r="A30" s="71">
        <v>2005</v>
      </c>
      <c r="B30" s="75">
        <v>14245.4</v>
      </c>
      <c r="C30" s="75">
        <v>13802.6</v>
      </c>
      <c r="D30" s="21">
        <f t="shared" si="1"/>
        <v>1184.1392201469289</v>
      </c>
      <c r="E30" s="75">
        <v>8172.1</v>
      </c>
      <c r="F30" s="75">
        <v>779500</v>
      </c>
    </row>
    <row r="31" spans="1:6">
      <c r="A31" s="71">
        <v>2006</v>
      </c>
      <c r="B31" s="75">
        <v>15274</v>
      </c>
      <c r="C31" s="75">
        <v>12731.5</v>
      </c>
      <c r="D31" s="21">
        <f t="shared" si="1"/>
        <v>1154.2866119467462</v>
      </c>
      <c r="E31" s="75">
        <v>7347.9</v>
      </c>
      <c r="F31" s="75">
        <v>814151</v>
      </c>
    </row>
    <row r="32" spans="1:6">
      <c r="A32" s="71">
        <v>2007</v>
      </c>
      <c r="B32" s="75">
        <v>10827.2</v>
      </c>
      <c r="C32" s="75">
        <v>10489.1</v>
      </c>
      <c r="D32" s="21">
        <f t="shared" si="1"/>
        <v>1256.2946296631742</v>
      </c>
      <c r="E32" s="75">
        <v>6588.7</v>
      </c>
      <c r="F32" s="75">
        <v>1069849</v>
      </c>
    </row>
    <row r="33" spans="1:8">
      <c r="A33" s="71">
        <v>2008</v>
      </c>
      <c r="B33" s="75">
        <v>9471</v>
      </c>
      <c r="C33" s="75">
        <v>7568.7000000000007</v>
      </c>
      <c r="D33" s="21">
        <f t="shared" si="1"/>
        <v>1136.337812305944</v>
      </c>
      <c r="E33" s="75">
        <v>4300.3</v>
      </c>
      <c r="F33" s="75">
        <v>962708</v>
      </c>
    </row>
    <row r="34" spans="1:8">
      <c r="A34" s="71">
        <v>2009</v>
      </c>
      <c r="B34" s="75">
        <v>9149.5</v>
      </c>
      <c r="C34" s="75">
        <v>7533.7000000000007</v>
      </c>
      <c r="D34" s="21">
        <f t="shared" ref="D34:D39" si="2">+E34*2000/C34</f>
        <v>1101.3977195800203</v>
      </c>
      <c r="E34" s="75">
        <v>4148.8</v>
      </c>
      <c r="F34" s="75">
        <v>670027</v>
      </c>
    </row>
    <row r="35" spans="1:8">
      <c r="A35" s="71">
        <v>2010</v>
      </c>
      <c r="B35" s="75">
        <v>10974.2</v>
      </c>
      <c r="C35" s="75">
        <v>10698.7</v>
      </c>
      <c r="D35" s="21">
        <f t="shared" si="2"/>
        <v>1139.5963995625636</v>
      </c>
      <c r="E35" s="75">
        <v>6096.1</v>
      </c>
      <c r="F35" s="75">
        <v>988266</v>
      </c>
    </row>
    <row r="36" spans="1:8">
      <c r="A36" s="71">
        <v>2011</v>
      </c>
      <c r="B36" s="75">
        <v>14735.4</v>
      </c>
      <c r="C36" s="75">
        <v>9460.9</v>
      </c>
      <c r="D36" s="21">
        <f t="shared" si="2"/>
        <v>1135.1985540487692</v>
      </c>
      <c r="E36" s="75">
        <v>5370</v>
      </c>
      <c r="F36" s="75">
        <v>1413343</v>
      </c>
    </row>
    <row r="37" spans="1:8">
      <c r="A37" s="71">
        <v>2012</v>
      </c>
      <c r="B37" s="75">
        <v>12264.4</v>
      </c>
      <c r="C37" s="75">
        <v>9321.7999999999993</v>
      </c>
      <c r="D37" s="21">
        <f t="shared" si="2"/>
        <v>1215.6450470939089</v>
      </c>
      <c r="E37" s="75">
        <v>5666</v>
      </c>
      <c r="F37" s="75">
        <v>1456245</v>
      </c>
    </row>
    <row r="38" spans="1:8">
      <c r="A38" s="71">
        <v>2013</v>
      </c>
      <c r="B38" s="75">
        <v>10407</v>
      </c>
      <c r="C38" s="75">
        <v>7544.4</v>
      </c>
      <c r="D38" s="21">
        <f t="shared" si="2"/>
        <v>1114.2039128360109</v>
      </c>
      <c r="E38" s="75">
        <v>4203</v>
      </c>
      <c r="F38" s="75">
        <v>1054003</v>
      </c>
    </row>
    <row r="39" spans="1:8">
      <c r="A39" s="71">
        <v>2014</v>
      </c>
      <c r="B39" s="239">
        <v>11037.4</v>
      </c>
      <c r="C39" s="239">
        <v>9346.7999999999993</v>
      </c>
      <c r="D39" s="21">
        <f t="shared" si="2"/>
        <v>1096.6320023965422</v>
      </c>
      <c r="E39" s="240">
        <v>5125</v>
      </c>
      <c r="F39" s="240">
        <v>1015607</v>
      </c>
    </row>
    <row r="40" spans="1:8">
      <c r="A40" s="71">
        <v>2015</v>
      </c>
      <c r="B40" s="239">
        <v>8580.5</v>
      </c>
      <c r="C40" s="239">
        <v>8074.9</v>
      </c>
      <c r="D40" s="21">
        <f>+E40*2000/C40</f>
        <v>1001.3746300263781</v>
      </c>
      <c r="E40" s="240">
        <v>4043</v>
      </c>
      <c r="F40" s="240">
        <v>925847</v>
      </c>
    </row>
    <row r="41" spans="1:8">
      <c r="A41" s="71">
        <v>2016</v>
      </c>
      <c r="B41" s="239">
        <v>10072.5</v>
      </c>
      <c r="C41" s="239">
        <v>9507.7999999999993</v>
      </c>
      <c r="D41" s="21">
        <f>+E41*2000/C41</f>
        <v>1129.3885020719831</v>
      </c>
      <c r="E41" s="240">
        <v>5369</v>
      </c>
      <c r="F41" s="240">
        <v>1046955</v>
      </c>
    </row>
    <row r="42" spans="1:8">
      <c r="A42" s="130" t="s">
        <v>665</v>
      </c>
      <c r="B42" s="289">
        <v>12611.5</v>
      </c>
      <c r="C42" s="289">
        <v>11348.9</v>
      </c>
      <c r="D42" s="22">
        <f>+E42*2000/C42</f>
        <v>1185.1368855131334</v>
      </c>
      <c r="E42" s="288">
        <v>6725</v>
      </c>
      <c r="F42" s="288">
        <v>934775</v>
      </c>
    </row>
    <row r="43" spans="1:8" ht="12" customHeight="1">
      <c r="A43" s="117" t="s">
        <v>173</v>
      </c>
    </row>
    <row r="44" spans="1:8" ht="12" customHeight="1">
      <c r="A44" s="117" t="s">
        <v>611</v>
      </c>
      <c r="G44" s="214"/>
      <c r="H44" s="214"/>
    </row>
    <row r="45" spans="1:8" ht="10.25" customHeight="1">
      <c r="F45" s="304" t="s">
        <v>679</v>
      </c>
      <c r="G45" s="176"/>
      <c r="H45" s="176"/>
    </row>
  </sheetData>
  <phoneticPr fontId="0" type="noConversion"/>
  <pageMargins left="0.7" right="0.7" top="0.75" bottom="0.75" header="0.3" footer="0.3"/>
  <pageSetup scale="95" firstPageNumber="4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49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9.75" customWidth="1"/>
    <col min="7" max="11" width="11.75" customWidth="1"/>
    <col min="12" max="12" width="12.75" customWidth="1"/>
    <col min="13" max="13" width="18.75" bestFit="1" customWidth="1"/>
  </cols>
  <sheetData>
    <row r="1" spans="1:13">
      <c r="A1" s="150" t="s">
        <v>702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t="s">
        <v>107</v>
      </c>
      <c r="B2" s="314"/>
      <c r="C2" s="335" t="s">
        <v>119</v>
      </c>
      <c r="D2" s="314"/>
      <c r="E2" s="314"/>
      <c r="G2" s="318"/>
      <c r="H2" s="344" t="s">
        <v>117</v>
      </c>
      <c r="I2" s="318"/>
      <c r="J2" s="318"/>
      <c r="L2" s="9" t="s">
        <v>118</v>
      </c>
    </row>
    <row r="3" spans="1:13">
      <c r="A3" t="s">
        <v>100</v>
      </c>
      <c r="B3" s="7" t="s">
        <v>141</v>
      </c>
      <c r="C3" s="7" t="s">
        <v>66</v>
      </c>
      <c r="D3" s="188" t="s">
        <v>88</v>
      </c>
      <c r="E3" s="187" t="s">
        <v>286</v>
      </c>
      <c r="G3" s="7" t="s">
        <v>111</v>
      </c>
      <c r="H3" s="7" t="s">
        <v>90</v>
      </c>
      <c r="I3" s="188" t="s">
        <v>251</v>
      </c>
      <c r="J3" s="188" t="s">
        <v>3</v>
      </c>
      <c r="K3" s="7" t="s">
        <v>143</v>
      </c>
      <c r="L3" s="7" t="s">
        <v>647</v>
      </c>
    </row>
    <row r="4" spans="1:13">
      <c r="A4" t="s">
        <v>102</v>
      </c>
      <c r="B4" s="7" t="s">
        <v>110</v>
      </c>
      <c r="C4" s="7"/>
      <c r="D4" s="7"/>
      <c r="E4" s="7"/>
      <c r="K4" s="7" t="s">
        <v>110</v>
      </c>
      <c r="L4" s="7" t="s">
        <v>114</v>
      </c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9" t="s">
        <v>169</v>
      </c>
    </row>
    <row r="6" spans="1:13">
      <c r="C6" s="315"/>
      <c r="D6" s="315"/>
      <c r="E6" s="315"/>
      <c r="F6" s="347" t="s">
        <v>202</v>
      </c>
      <c r="H6" s="315"/>
      <c r="I6" s="315"/>
      <c r="J6" s="315"/>
      <c r="K6" s="315"/>
      <c r="L6" s="7" t="s">
        <v>289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7"/>
    </row>
    <row r="8" spans="1:13">
      <c r="A8" s="10" t="s">
        <v>276</v>
      </c>
      <c r="B8" s="39">
        <v>1058.4000000000001</v>
      </c>
      <c r="C8" s="39">
        <f>+'tab 16'!E5</f>
        <v>4470.5</v>
      </c>
      <c r="D8" s="39">
        <v>0</v>
      </c>
      <c r="E8" s="39">
        <f t="shared" ref="E8:E17" si="0">SUM(B8:D8)</f>
        <v>5528.9</v>
      </c>
      <c r="F8" s="39"/>
      <c r="G8" s="39">
        <v>4075.7999999999997</v>
      </c>
      <c r="H8" s="39">
        <v>132.59999999999997</v>
      </c>
      <c r="I8" s="39">
        <f t="shared" ref="I8:I30" si="1">+J8-G8-H8</f>
        <v>923</v>
      </c>
      <c r="J8" s="39">
        <f t="shared" ref="J8:J27" si="2">+E8-K8</f>
        <v>5131.3999999999996</v>
      </c>
      <c r="K8" s="39">
        <v>397.5</v>
      </c>
      <c r="L8" s="35">
        <v>129</v>
      </c>
      <c r="M8" s="39"/>
    </row>
    <row r="9" spans="1:13">
      <c r="A9" s="10" t="s">
        <v>277</v>
      </c>
      <c r="B9" s="39">
        <f t="shared" ref="B9:B29" si="3">+K8</f>
        <v>397.5</v>
      </c>
      <c r="C9" s="39">
        <f>+'tab 16'!E6</f>
        <v>6396.9</v>
      </c>
      <c r="D9" s="39">
        <v>0</v>
      </c>
      <c r="E9" s="39">
        <f t="shared" si="0"/>
        <v>6794.4</v>
      </c>
      <c r="F9" s="39"/>
      <c r="G9" s="39">
        <v>4584.7</v>
      </c>
      <c r="H9" s="39">
        <v>44.8</v>
      </c>
      <c r="I9" s="39">
        <f t="shared" si="1"/>
        <v>1383.5000000000002</v>
      </c>
      <c r="J9" s="39">
        <f t="shared" si="2"/>
        <v>6013</v>
      </c>
      <c r="K9" s="39">
        <v>781.4</v>
      </c>
      <c r="L9" s="35">
        <v>86</v>
      </c>
      <c r="M9" s="39"/>
    </row>
    <row r="10" spans="1:13">
      <c r="A10" s="10" t="s">
        <v>278</v>
      </c>
      <c r="B10" s="39">
        <f t="shared" si="3"/>
        <v>781.4</v>
      </c>
      <c r="C10" s="39">
        <f>+'tab 16'!E7</f>
        <v>4743.8999999999996</v>
      </c>
      <c r="D10" s="39">
        <v>0</v>
      </c>
      <c r="E10" s="39">
        <f t="shared" si="0"/>
        <v>5525.2999999999993</v>
      </c>
      <c r="F10" s="39"/>
      <c r="G10" s="39">
        <v>3799.4999999999995</v>
      </c>
      <c r="H10" s="39">
        <v>12.2</v>
      </c>
      <c r="I10" s="39">
        <f t="shared" si="1"/>
        <v>1342.7999999999995</v>
      </c>
      <c r="J10" s="39">
        <f t="shared" si="2"/>
        <v>5154.4999999999991</v>
      </c>
      <c r="K10" s="39">
        <v>370.8</v>
      </c>
      <c r="L10" s="35">
        <v>77</v>
      </c>
      <c r="M10" s="39"/>
    </row>
    <row r="11" spans="1:13">
      <c r="A11" s="10" t="s">
        <v>279</v>
      </c>
      <c r="B11" s="39">
        <f t="shared" si="3"/>
        <v>370.8</v>
      </c>
      <c r="C11" s="39">
        <f>+'tab 16'!E8</f>
        <v>3075.7</v>
      </c>
      <c r="D11" s="39">
        <v>0</v>
      </c>
      <c r="E11" s="39">
        <f t="shared" si="0"/>
        <v>3446.5</v>
      </c>
      <c r="F11" s="39"/>
      <c r="G11" s="39">
        <v>2583</v>
      </c>
      <c r="H11" s="39">
        <v>49.8</v>
      </c>
      <c r="I11" s="39">
        <f t="shared" si="1"/>
        <v>697.50000000000023</v>
      </c>
      <c r="J11" s="39">
        <f t="shared" si="2"/>
        <v>3330.3</v>
      </c>
      <c r="K11" s="39">
        <v>116.2</v>
      </c>
      <c r="L11" s="35">
        <v>166</v>
      </c>
      <c r="M11" s="39"/>
    </row>
    <row r="12" spans="1:13">
      <c r="A12" s="10" t="s">
        <v>280</v>
      </c>
      <c r="B12" s="39">
        <f t="shared" si="3"/>
        <v>116.2</v>
      </c>
      <c r="C12" s="39">
        <f>+'tab 16'!E9</f>
        <v>5148.8999999999996</v>
      </c>
      <c r="D12" s="39">
        <v>0</v>
      </c>
      <c r="E12" s="39">
        <f t="shared" si="0"/>
        <v>5265.0999999999995</v>
      </c>
      <c r="F12" s="39"/>
      <c r="G12" s="39">
        <v>3514.1000000000004</v>
      </c>
      <c r="H12" s="39">
        <v>59.8</v>
      </c>
      <c r="I12" s="39">
        <f t="shared" si="1"/>
        <v>1285.2999999999995</v>
      </c>
      <c r="J12" s="39">
        <f t="shared" si="2"/>
        <v>4859.2</v>
      </c>
      <c r="K12" s="39">
        <v>405.9</v>
      </c>
      <c r="L12" s="35">
        <v>99.5</v>
      </c>
      <c r="M12" s="39"/>
    </row>
    <row r="13" spans="1:13">
      <c r="A13" s="10" t="s">
        <v>281</v>
      </c>
      <c r="B13" s="39">
        <f t="shared" si="3"/>
        <v>405.9</v>
      </c>
      <c r="C13" s="39">
        <f>+'tab 16'!E10</f>
        <v>5279.2</v>
      </c>
      <c r="D13" s="39">
        <v>0</v>
      </c>
      <c r="E13" s="39">
        <f t="shared" si="0"/>
        <v>5685.0999999999995</v>
      </c>
      <c r="F13" s="39"/>
      <c r="G13" s="39">
        <v>3417.0000000000009</v>
      </c>
      <c r="H13" s="39">
        <v>8.8000000000000007</v>
      </c>
      <c r="I13" s="39">
        <f t="shared" si="1"/>
        <v>1912.6999999999982</v>
      </c>
      <c r="J13" s="39">
        <f t="shared" si="2"/>
        <v>5338.4999999999991</v>
      </c>
      <c r="K13" s="39">
        <v>346.6</v>
      </c>
      <c r="L13" s="35">
        <v>66</v>
      </c>
      <c r="M13" s="39"/>
    </row>
    <row r="14" spans="1:13">
      <c r="A14" s="10" t="s">
        <v>282</v>
      </c>
      <c r="B14" s="39">
        <f t="shared" si="3"/>
        <v>346.6</v>
      </c>
      <c r="C14" s="39">
        <f>+'tab 16'!E11</f>
        <v>3800.9</v>
      </c>
      <c r="D14" s="39">
        <v>2</v>
      </c>
      <c r="E14" s="39">
        <f t="shared" si="0"/>
        <v>4149.5</v>
      </c>
      <c r="F14" s="39"/>
      <c r="G14" s="39">
        <v>2519.7000000000003</v>
      </c>
      <c r="H14" s="39">
        <v>16.899999999999999</v>
      </c>
      <c r="I14" s="39">
        <f t="shared" si="1"/>
        <v>1423.8999999999996</v>
      </c>
      <c r="J14" s="39">
        <f t="shared" si="2"/>
        <v>3960.5</v>
      </c>
      <c r="K14" s="39">
        <v>189</v>
      </c>
      <c r="L14" s="35">
        <v>80</v>
      </c>
      <c r="M14" s="39"/>
    </row>
    <row r="15" spans="1:13">
      <c r="A15" s="10" t="s">
        <v>283</v>
      </c>
      <c r="B15" s="39">
        <f t="shared" si="3"/>
        <v>189</v>
      </c>
      <c r="C15" s="39">
        <f>+'tab 16'!E12</f>
        <v>5769.2</v>
      </c>
      <c r="D15" s="39">
        <v>2</v>
      </c>
      <c r="E15" s="39">
        <f t="shared" si="0"/>
        <v>5960.2</v>
      </c>
      <c r="F15" s="39"/>
      <c r="G15" s="39">
        <v>3396.2999999999997</v>
      </c>
      <c r="H15" s="39">
        <v>50.300000000000004</v>
      </c>
      <c r="I15" s="39">
        <f t="shared" si="1"/>
        <v>2154.7000000000003</v>
      </c>
      <c r="J15" s="39">
        <f t="shared" si="2"/>
        <v>5601.3</v>
      </c>
      <c r="K15" s="39">
        <v>358.9</v>
      </c>
      <c r="L15" s="35">
        <v>82.5</v>
      </c>
      <c r="M15" s="39"/>
    </row>
    <row r="16" spans="1:13">
      <c r="A16" s="10" t="s">
        <v>284</v>
      </c>
      <c r="B16" s="39">
        <f t="shared" si="3"/>
        <v>358.9</v>
      </c>
      <c r="C16" s="39">
        <f>+'tab 16'!E13</f>
        <v>6061.8</v>
      </c>
      <c r="D16" s="39">
        <v>4</v>
      </c>
      <c r="E16" s="39">
        <f t="shared" si="0"/>
        <v>6424.7</v>
      </c>
      <c r="F16" s="39"/>
      <c r="G16" s="39">
        <v>3730.2000000000003</v>
      </c>
      <c r="H16" s="39">
        <v>38.700000000000003</v>
      </c>
      <c r="I16" s="39">
        <f t="shared" si="1"/>
        <v>1990.8999999999999</v>
      </c>
      <c r="J16" s="39">
        <f t="shared" si="2"/>
        <v>5759.8</v>
      </c>
      <c r="K16" s="39">
        <v>664.9</v>
      </c>
      <c r="L16" s="35">
        <v>119</v>
      </c>
      <c r="M16" s="39"/>
    </row>
    <row r="17" spans="1:13">
      <c r="A17" s="10" t="s">
        <v>9</v>
      </c>
      <c r="B17" s="39">
        <f t="shared" si="3"/>
        <v>664.9</v>
      </c>
      <c r="C17" s="39">
        <f>+'tab 16'!E14</f>
        <v>4677.3999999999996</v>
      </c>
      <c r="D17" s="39">
        <v>0.43935911837999997</v>
      </c>
      <c r="E17" s="39">
        <f t="shared" si="0"/>
        <v>5342.7393591183791</v>
      </c>
      <c r="F17" s="39"/>
      <c r="G17" s="39">
        <v>2973.7000000000003</v>
      </c>
      <c r="H17" s="39">
        <v>45.850223701485</v>
      </c>
      <c r="I17" s="39">
        <f t="shared" si="1"/>
        <v>1956.7891354168942</v>
      </c>
      <c r="J17" s="39">
        <f t="shared" si="2"/>
        <v>4976.3393591183794</v>
      </c>
      <c r="K17" s="39">
        <v>366.4</v>
      </c>
      <c r="L17" s="35">
        <v>105</v>
      </c>
      <c r="M17" s="39"/>
    </row>
    <row r="18" spans="1:13">
      <c r="A18" s="10" t="s">
        <v>10</v>
      </c>
      <c r="B18" s="39">
        <f t="shared" si="3"/>
        <v>366.4</v>
      </c>
      <c r="C18" s="39">
        <f>+'tab 16'!E15</f>
        <v>5968.5</v>
      </c>
      <c r="D18" s="39">
        <v>3.1168427749830006</v>
      </c>
      <c r="E18" s="39">
        <f t="shared" ref="E18:E29" si="4">SUM(B18:D18)</f>
        <v>6338.0168427749823</v>
      </c>
      <c r="F18" s="39"/>
      <c r="G18" s="39">
        <v>3368.9</v>
      </c>
      <c r="H18" s="39">
        <v>53.173908539891997</v>
      </c>
      <c r="I18" s="39">
        <f t="shared" si="1"/>
        <v>2264.94293423509</v>
      </c>
      <c r="J18" s="39">
        <f t="shared" si="2"/>
        <v>5687.0168427749823</v>
      </c>
      <c r="K18" s="39">
        <v>651</v>
      </c>
      <c r="L18" s="35">
        <v>121</v>
      </c>
      <c r="M18" s="39"/>
    </row>
    <row r="19" spans="1:13">
      <c r="A19" s="10" t="s">
        <v>11</v>
      </c>
      <c r="B19" s="39">
        <f t="shared" si="3"/>
        <v>651</v>
      </c>
      <c r="C19" s="39">
        <f>+'tab 16'!E16</f>
        <v>6925.5</v>
      </c>
      <c r="D19" s="39">
        <v>1.8814475633309999</v>
      </c>
      <c r="E19" s="39">
        <f t="shared" si="4"/>
        <v>7578.3814475633308</v>
      </c>
      <c r="F19" s="39"/>
      <c r="G19" s="39">
        <v>3981.0000000000005</v>
      </c>
      <c r="H19" s="39">
        <v>161.41153972349704</v>
      </c>
      <c r="I19" s="39">
        <f t="shared" si="1"/>
        <v>2976.0699078398338</v>
      </c>
      <c r="J19" s="39">
        <f t="shared" si="2"/>
        <v>7118.4814475633311</v>
      </c>
      <c r="K19" s="39">
        <v>459.9</v>
      </c>
      <c r="L19" s="35">
        <v>71</v>
      </c>
      <c r="M19" s="39"/>
    </row>
    <row r="20" spans="1:13">
      <c r="A20" s="10" t="s">
        <v>12</v>
      </c>
      <c r="B20" s="39">
        <f t="shared" si="3"/>
        <v>459.9</v>
      </c>
      <c r="C20" s="39">
        <f>+'tab 16'!E17</f>
        <v>6230.1</v>
      </c>
      <c r="D20" s="39">
        <v>0.244662335694</v>
      </c>
      <c r="E20" s="39">
        <f t="shared" si="4"/>
        <v>6690.2446623356936</v>
      </c>
      <c r="F20" s="39"/>
      <c r="G20" s="39">
        <v>3629.2999999999997</v>
      </c>
      <c r="H20" s="39">
        <v>191.82015772875903</v>
      </c>
      <c r="I20" s="39">
        <f t="shared" si="1"/>
        <v>2503.8245046069346</v>
      </c>
      <c r="J20" s="39">
        <f t="shared" si="2"/>
        <v>6324.9446623356935</v>
      </c>
      <c r="K20" s="39">
        <v>365.3</v>
      </c>
      <c r="L20" s="35">
        <v>97.5</v>
      </c>
      <c r="M20" s="39"/>
    </row>
    <row r="21" spans="1:13">
      <c r="A21" s="10" t="s">
        <v>13</v>
      </c>
      <c r="B21" s="39">
        <f t="shared" si="3"/>
        <v>365.3</v>
      </c>
      <c r="C21" s="39">
        <f>+'tab 16'!E18</f>
        <v>6343.2</v>
      </c>
      <c r="D21" s="39">
        <v>3.8790324090000008E-2</v>
      </c>
      <c r="E21" s="39">
        <f t="shared" si="4"/>
        <v>6708.5387903240899</v>
      </c>
      <c r="F21" s="39"/>
      <c r="G21" s="39">
        <v>3470.0999999999995</v>
      </c>
      <c r="H21" s="39">
        <v>157.28252696252699</v>
      </c>
      <c r="I21" s="39">
        <f t="shared" si="1"/>
        <v>2649.0562633615632</v>
      </c>
      <c r="J21" s="39">
        <f t="shared" si="2"/>
        <v>6276.4387903240895</v>
      </c>
      <c r="K21" s="39">
        <v>432.1</v>
      </c>
      <c r="L21" s="35">
        <v>113</v>
      </c>
      <c r="M21" s="39"/>
    </row>
    <row r="22" spans="1:13">
      <c r="A22" s="10" t="s">
        <v>14</v>
      </c>
      <c r="B22" s="39">
        <f t="shared" si="3"/>
        <v>432.1</v>
      </c>
      <c r="C22" s="39">
        <f>+'tab 16'!E19</f>
        <v>7603.9</v>
      </c>
      <c r="D22" s="39">
        <v>2.0035604736000003E-2</v>
      </c>
      <c r="E22" s="39">
        <f t="shared" si="4"/>
        <v>8036.0200356047362</v>
      </c>
      <c r="F22" s="39"/>
      <c r="G22" s="39">
        <v>3947.2000000000003</v>
      </c>
      <c r="H22" s="39">
        <v>232.1</v>
      </c>
      <c r="I22" s="39">
        <f t="shared" si="1"/>
        <v>3308.2060356047359</v>
      </c>
      <c r="J22" s="39">
        <f t="shared" si="2"/>
        <v>7487.5060356047361</v>
      </c>
      <c r="K22" s="39">
        <v>548.51400000000001</v>
      </c>
      <c r="L22" s="35">
        <v>101</v>
      </c>
      <c r="M22" s="39"/>
    </row>
    <row r="23" spans="1:13">
      <c r="A23" s="10" t="s">
        <v>15</v>
      </c>
      <c r="B23" s="39">
        <f t="shared" si="3"/>
        <v>548.51400000000001</v>
      </c>
      <c r="C23" s="39">
        <f>+'tab 16'!E20</f>
        <v>6848.7</v>
      </c>
      <c r="D23" s="39">
        <v>1.8297624051629999</v>
      </c>
      <c r="E23" s="39">
        <f t="shared" si="4"/>
        <v>7399.0437624051629</v>
      </c>
      <c r="F23" s="39"/>
      <c r="G23" s="39">
        <v>3882</v>
      </c>
      <c r="H23" s="39">
        <v>114.19999999999999</v>
      </c>
      <c r="I23" s="39">
        <f t="shared" si="1"/>
        <v>2908.0067624051635</v>
      </c>
      <c r="J23" s="39">
        <f t="shared" si="2"/>
        <v>6904.2067624051633</v>
      </c>
      <c r="K23" s="39">
        <v>494.83699999999999</v>
      </c>
      <c r="L23" s="35">
        <v>106</v>
      </c>
      <c r="M23" s="39"/>
    </row>
    <row r="24" spans="1:13">
      <c r="A24" s="10" t="s">
        <v>16</v>
      </c>
      <c r="B24" s="39">
        <f t="shared" si="3"/>
        <v>494.83699999999999</v>
      </c>
      <c r="C24" s="39">
        <f>+'tab 16'!E21</f>
        <v>7143.5</v>
      </c>
      <c r="D24" s="39">
        <v>20.183158984149003</v>
      </c>
      <c r="E24" s="39">
        <f t="shared" si="4"/>
        <v>7658.5201589841481</v>
      </c>
      <c r="F24" s="39"/>
      <c r="G24" s="39">
        <v>3860.0129999999995</v>
      </c>
      <c r="H24" s="39">
        <v>115.67322150000001</v>
      </c>
      <c r="I24" s="39">
        <f t="shared" si="1"/>
        <v>3160.0339374841483</v>
      </c>
      <c r="J24" s="39">
        <f t="shared" si="2"/>
        <v>7135.7201589841479</v>
      </c>
      <c r="K24" s="39">
        <v>522.79999999999995</v>
      </c>
      <c r="L24" s="35">
        <v>126</v>
      </c>
      <c r="M24" s="39"/>
    </row>
    <row r="25" spans="1:13">
      <c r="A25" s="10" t="s">
        <v>17</v>
      </c>
      <c r="B25" s="39">
        <f t="shared" si="3"/>
        <v>522.79999999999995</v>
      </c>
      <c r="C25" s="39">
        <f>+'tab 16'!E22</f>
        <v>6934.6</v>
      </c>
      <c r="D25" s="39">
        <v>96.007023258741</v>
      </c>
      <c r="E25" s="39">
        <f t="shared" si="4"/>
        <v>7553.4070232587419</v>
      </c>
      <c r="F25" s="39"/>
      <c r="G25" s="39">
        <v>3888.6050000000005</v>
      </c>
      <c r="H25" s="39">
        <v>149.40000000000003</v>
      </c>
      <c r="I25" s="39">
        <f t="shared" si="1"/>
        <v>2952.4340232587415</v>
      </c>
      <c r="J25" s="39">
        <f t="shared" si="2"/>
        <v>6990.4390232587421</v>
      </c>
      <c r="K25" s="39">
        <v>562.96799999999996</v>
      </c>
      <c r="L25" s="35">
        <v>121</v>
      </c>
      <c r="M25" s="39"/>
    </row>
    <row r="26" spans="1:13">
      <c r="A26" s="10" t="s">
        <v>18</v>
      </c>
      <c r="B26" s="39">
        <f t="shared" si="3"/>
        <v>562.96799999999996</v>
      </c>
      <c r="C26" s="39">
        <f>+'tab 16'!E23</f>
        <v>5365.4</v>
      </c>
      <c r="D26" s="39">
        <v>206.82214085427302</v>
      </c>
      <c r="E26" s="39">
        <f t="shared" si="4"/>
        <v>6135.1901408542726</v>
      </c>
      <c r="F26" s="39"/>
      <c r="G26" s="39">
        <v>2719.0469999999996</v>
      </c>
      <c r="H26" s="39">
        <v>68.05054347235199</v>
      </c>
      <c r="I26" s="39">
        <f t="shared" si="1"/>
        <v>2954.8645973819212</v>
      </c>
      <c r="J26" s="39">
        <f t="shared" si="2"/>
        <v>5741.9621408542725</v>
      </c>
      <c r="K26" s="39">
        <v>393.22800000000001</v>
      </c>
      <c r="L26" s="35">
        <v>129</v>
      </c>
      <c r="M26" s="39"/>
    </row>
    <row r="27" spans="1:13">
      <c r="A27" s="10" t="s">
        <v>19</v>
      </c>
      <c r="B27" s="39">
        <f t="shared" si="3"/>
        <v>393.22800000000001</v>
      </c>
      <c r="C27" s="39">
        <f>+'tab 16'!E24</f>
        <v>6353.5</v>
      </c>
      <c r="D27" s="39">
        <v>308.47893348006005</v>
      </c>
      <c r="E27" s="39">
        <f t="shared" si="4"/>
        <v>7055.2069334800599</v>
      </c>
      <c r="F27" s="39"/>
      <c r="G27" s="39">
        <v>3063.9160000000002</v>
      </c>
      <c r="H27" s="39">
        <v>198.19867592101502</v>
      </c>
      <c r="I27" s="39">
        <f t="shared" si="1"/>
        <v>3518.6922575590452</v>
      </c>
      <c r="J27" s="39">
        <f t="shared" si="2"/>
        <v>6780.8069334800603</v>
      </c>
      <c r="K27" s="39">
        <v>274.39999999999998</v>
      </c>
      <c r="L27" s="35">
        <v>89</v>
      </c>
      <c r="M27" s="39"/>
    </row>
    <row r="28" spans="1:13">
      <c r="A28" s="71" t="s">
        <v>392</v>
      </c>
      <c r="B28" s="84">
        <f t="shared" si="3"/>
        <v>274.39999999999998</v>
      </c>
      <c r="C28" s="39">
        <f>+'tab 16'!E25</f>
        <v>6435.6</v>
      </c>
      <c r="D28" s="84">
        <v>373.72520658690001</v>
      </c>
      <c r="E28" s="39">
        <f t="shared" si="4"/>
        <v>7083.7252065868997</v>
      </c>
      <c r="F28" s="84"/>
      <c r="G28" s="84">
        <v>2752.8</v>
      </c>
      <c r="H28" s="84">
        <v>234.794297707704</v>
      </c>
      <c r="I28" s="39">
        <f t="shared" si="1"/>
        <v>3669.0309088791951</v>
      </c>
      <c r="J28" s="84">
        <f t="shared" ref="J28:J33" si="5">+E28-K28</f>
        <v>6656.6252065868994</v>
      </c>
      <c r="K28" s="84">
        <v>427.1</v>
      </c>
      <c r="L28" s="35">
        <v>105</v>
      </c>
      <c r="M28" s="39"/>
    </row>
    <row r="29" spans="1:13">
      <c r="A29" s="71" t="s">
        <v>396</v>
      </c>
      <c r="B29" s="84">
        <f t="shared" si="3"/>
        <v>427.1</v>
      </c>
      <c r="C29" s="39">
        <f>+'tab 16'!E26</f>
        <v>7452.2</v>
      </c>
      <c r="D29" s="84">
        <v>327.02797041994802</v>
      </c>
      <c r="E29" s="84">
        <f t="shared" si="4"/>
        <v>8206.3279704199485</v>
      </c>
      <c r="F29" s="84"/>
      <c r="G29" s="84">
        <v>2791.1570000000002</v>
      </c>
      <c r="H29" s="84">
        <v>273.57759236045695</v>
      </c>
      <c r="I29" s="39">
        <f t="shared" si="1"/>
        <v>4741.9643780594915</v>
      </c>
      <c r="J29" s="84">
        <f t="shared" si="5"/>
        <v>7806.6989704199486</v>
      </c>
      <c r="K29" s="84">
        <v>399.62900000000002</v>
      </c>
      <c r="L29" s="35">
        <v>90.5</v>
      </c>
      <c r="M29" s="39"/>
    </row>
    <row r="30" spans="1:13">
      <c r="A30" s="71" t="s">
        <v>409</v>
      </c>
      <c r="B30" s="84">
        <f t="shared" ref="B30:B35" si="6">+K29</f>
        <v>399.62900000000002</v>
      </c>
      <c r="C30" s="39">
        <f>+'tab 16'!E27</f>
        <v>6183.9</v>
      </c>
      <c r="D30" s="84">
        <v>103.90964624359198</v>
      </c>
      <c r="E30" s="84">
        <f t="shared" ref="E30:E35" si="7">SUM(B30:D30)</f>
        <v>6687.4386462435914</v>
      </c>
      <c r="F30" s="84"/>
      <c r="G30" s="84">
        <v>2494.7009999999996</v>
      </c>
      <c r="H30" s="84">
        <v>369.52324114734</v>
      </c>
      <c r="I30" s="39">
        <f t="shared" si="1"/>
        <v>3476.6504050962517</v>
      </c>
      <c r="J30" s="84">
        <f t="shared" si="5"/>
        <v>6340.8746462435911</v>
      </c>
      <c r="K30" s="84">
        <v>346.56400000000002</v>
      </c>
      <c r="L30" s="35">
        <v>101</v>
      </c>
      <c r="M30" s="39"/>
    </row>
    <row r="31" spans="1:13">
      <c r="A31" s="71" t="s">
        <v>420</v>
      </c>
      <c r="B31" s="84">
        <f t="shared" si="6"/>
        <v>346.56400000000002</v>
      </c>
      <c r="C31" s="39">
        <f>+'tab 16'!E28</f>
        <v>6664.6</v>
      </c>
      <c r="D31" s="84">
        <v>1.5949646506080002</v>
      </c>
      <c r="E31" s="84">
        <f t="shared" si="7"/>
        <v>7012.7589646506085</v>
      </c>
      <c r="F31" s="84"/>
      <c r="G31" s="84">
        <v>2642.68</v>
      </c>
      <c r="H31" s="84">
        <v>354.43291551135297</v>
      </c>
      <c r="I31" s="39">
        <f t="shared" ref="I31:I36" si="8">+J31-G31-H31</f>
        <v>3594.8390491392561</v>
      </c>
      <c r="J31" s="84">
        <f t="shared" si="5"/>
        <v>6591.9519646506087</v>
      </c>
      <c r="K31" s="84">
        <v>420.80700000000002</v>
      </c>
      <c r="L31" s="35">
        <v>117</v>
      </c>
      <c r="M31" s="39"/>
    </row>
    <row r="32" spans="1:13">
      <c r="A32" s="71" t="s">
        <v>422</v>
      </c>
      <c r="B32" s="84">
        <f t="shared" si="6"/>
        <v>420.80700000000002</v>
      </c>
      <c r="C32" s="39">
        <f>+'tab 16'!E29</f>
        <v>8198.1</v>
      </c>
      <c r="D32" s="84">
        <v>1.0722597975179999</v>
      </c>
      <c r="E32" s="84">
        <f t="shared" si="7"/>
        <v>8619.9792597975193</v>
      </c>
      <c r="F32" s="84"/>
      <c r="G32" s="84">
        <v>2922.7440000000001</v>
      </c>
      <c r="H32" s="84">
        <v>378.92510189093707</v>
      </c>
      <c r="I32" s="39">
        <f t="shared" si="8"/>
        <v>4726.1921579065811</v>
      </c>
      <c r="J32" s="84">
        <f t="shared" si="5"/>
        <v>8027.8612597975189</v>
      </c>
      <c r="K32" s="84">
        <v>592.11800000000005</v>
      </c>
      <c r="L32" s="35">
        <v>107</v>
      </c>
      <c r="M32" s="39"/>
    </row>
    <row r="33" spans="1:13">
      <c r="A33" s="71" t="s">
        <v>448</v>
      </c>
      <c r="B33" s="84">
        <f t="shared" si="6"/>
        <v>592.11800000000005</v>
      </c>
      <c r="C33" s="39">
        <f>+'tab 16'!E30</f>
        <v>8172.1</v>
      </c>
      <c r="D33" s="84">
        <v>0.164931078753</v>
      </c>
      <c r="E33" s="84">
        <f t="shared" si="7"/>
        <v>8764.3829310787532</v>
      </c>
      <c r="F33" s="84"/>
      <c r="G33" s="84">
        <v>3009.9070000000002</v>
      </c>
      <c r="H33" s="84">
        <v>522.91839498154206</v>
      </c>
      <c r="I33" s="39">
        <f t="shared" si="8"/>
        <v>4630.0325360972111</v>
      </c>
      <c r="J33" s="84">
        <f t="shared" si="5"/>
        <v>8162.8579310787536</v>
      </c>
      <c r="K33" s="84">
        <v>601.52499999999998</v>
      </c>
      <c r="L33" s="35">
        <v>96</v>
      </c>
      <c r="M33" s="39"/>
    </row>
    <row r="34" spans="1:13">
      <c r="A34" s="71" t="s">
        <v>463</v>
      </c>
      <c r="B34" s="84">
        <f t="shared" si="6"/>
        <v>601.52499999999998</v>
      </c>
      <c r="C34" s="39">
        <f>+'tab 16'!E31</f>
        <v>7347.9</v>
      </c>
      <c r="D34" s="84">
        <v>0.48745845886500005</v>
      </c>
      <c r="E34" s="84">
        <f t="shared" si="7"/>
        <v>7949.9124584588644</v>
      </c>
      <c r="F34" s="84"/>
      <c r="G34" s="84">
        <v>2679.97</v>
      </c>
      <c r="H34" s="84">
        <v>615.80090668767298</v>
      </c>
      <c r="I34" s="39">
        <f t="shared" si="8"/>
        <v>4165.0595517711918</v>
      </c>
      <c r="J34" s="84">
        <f t="shared" ref="J34:J39" si="9">+E34-K34</f>
        <v>7460.8304584588641</v>
      </c>
      <c r="K34" s="84">
        <v>489.08199999999999</v>
      </c>
      <c r="L34" s="35">
        <v>111</v>
      </c>
      <c r="M34" s="39"/>
    </row>
    <row r="35" spans="1:13">
      <c r="A35" s="71" t="s">
        <v>470</v>
      </c>
      <c r="B35" s="84">
        <f t="shared" si="6"/>
        <v>489.08199999999999</v>
      </c>
      <c r="C35" s="39">
        <f>+'tab 16'!E32</f>
        <v>6588.7</v>
      </c>
      <c r="D35" s="84">
        <v>2.5775260951230003</v>
      </c>
      <c r="E35" s="84">
        <f t="shared" si="7"/>
        <v>7080.3595260951233</v>
      </c>
      <c r="F35" s="84"/>
      <c r="G35" s="84">
        <v>2705.8790799999997</v>
      </c>
      <c r="H35" s="84">
        <v>599.28577684321499</v>
      </c>
      <c r="I35" s="39">
        <f t="shared" si="8"/>
        <v>3132.1236692519087</v>
      </c>
      <c r="J35" s="84">
        <f t="shared" si="9"/>
        <v>6437.2885260951234</v>
      </c>
      <c r="K35" s="84">
        <v>643.07100000000003</v>
      </c>
      <c r="L35" s="35">
        <v>162</v>
      </c>
      <c r="M35" s="39"/>
    </row>
    <row r="36" spans="1:13">
      <c r="A36" s="71" t="s">
        <v>477</v>
      </c>
      <c r="B36" s="84">
        <f t="shared" ref="B36:B41" si="10">+K35</f>
        <v>643.07100000000003</v>
      </c>
      <c r="C36" s="39">
        <f>+'tab 16'!E33</f>
        <v>4300.3</v>
      </c>
      <c r="D36" s="84">
        <v>0</v>
      </c>
      <c r="E36" s="84">
        <f t="shared" ref="E36:E41" si="11">SUM(B36:D36)</f>
        <v>4943.3710000000001</v>
      </c>
      <c r="F36" s="84"/>
      <c r="G36" s="84">
        <v>2239.8269</v>
      </c>
      <c r="H36" s="84">
        <v>190.12105996260303</v>
      </c>
      <c r="I36" s="39">
        <f t="shared" si="8"/>
        <v>1999.334040037397</v>
      </c>
      <c r="J36" s="84">
        <f t="shared" si="9"/>
        <v>4429.2820000000002</v>
      </c>
      <c r="K36" s="84">
        <v>514.08900000000006</v>
      </c>
      <c r="L36" s="35">
        <v>223</v>
      </c>
      <c r="M36" s="39"/>
    </row>
    <row r="37" spans="1:13">
      <c r="A37" s="127" t="s">
        <v>488</v>
      </c>
      <c r="B37" s="84">
        <f t="shared" si="10"/>
        <v>514.08900000000006</v>
      </c>
      <c r="C37" s="39">
        <f>+'tab 16'!E34</f>
        <v>4148.8</v>
      </c>
      <c r="D37" s="84">
        <v>24.163759431000003</v>
      </c>
      <c r="E37" s="84">
        <f t="shared" si="11"/>
        <v>4687.0527594309997</v>
      </c>
      <c r="F37" s="84"/>
      <c r="G37" s="84">
        <v>1900.6969299999996</v>
      </c>
      <c r="H37" s="84">
        <v>295.32461539266001</v>
      </c>
      <c r="I37" s="39">
        <f t="shared" ref="I37:I44" si="12">+J37-G37-H37</f>
        <v>2149.4302140383406</v>
      </c>
      <c r="J37" s="84">
        <f t="shared" si="9"/>
        <v>4345.451759431</v>
      </c>
      <c r="K37" s="84">
        <v>341.601</v>
      </c>
      <c r="L37" s="35">
        <v>158</v>
      </c>
      <c r="M37" s="39"/>
    </row>
    <row r="38" spans="1:13">
      <c r="A38" s="127" t="s">
        <v>492</v>
      </c>
      <c r="B38" s="84">
        <f t="shared" si="10"/>
        <v>341.601</v>
      </c>
      <c r="C38" s="39">
        <f>+'tab 16'!E35</f>
        <v>6096.1</v>
      </c>
      <c r="D38" s="84">
        <v>0.27101969401500003</v>
      </c>
      <c r="E38" s="84">
        <f t="shared" si="11"/>
        <v>6437.9720196940152</v>
      </c>
      <c r="F38" s="84"/>
      <c r="G38" s="84">
        <v>2562.5510700000004</v>
      </c>
      <c r="H38" s="84">
        <v>275.15730984531302</v>
      </c>
      <c r="I38" s="39">
        <f t="shared" si="12"/>
        <v>2982.7006398487015</v>
      </c>
      <c r="J38" s="84">
        <f t="shared" si="9"/>
        <v>5820.4090196940151</v>
      </c>
      <c r="K38" s="84">
        <v>617.56299999999999</v>
      </c>
      <c r="L38" s="35">
        <v>161</v>
      </c>
      <c r="M38" s="39"/>
    </row>
    <row r="39" spans="1:13">
      <c r="A39" s="127" t="s">
        <v>493</v>
      </c>
      <c r="B39" s="84">
        <f t="shared" si="10"/>
        <v>617.56299999999999</v>
      </c>
      <c r="C39" s="39">
        <f>+'tab 16'!E36</f>
        <v>5370</v>
      </c>
      <c r="D39" s="84">
        <v>95.292104027337018</v>
      </c>
      <c r="E39" s="84">
        <f t="shared" si="11"/>
        <v>6082.8551040273369</v>
      </c>
      <c r="F39" s="84"/>
      <c r="G39" s="84">
        <v>2400</v>
      </c>
      <c r="H39" s="84">
        <v>132.68900780534699</v>
      </c>
      <c r="I39" s="39">
        <f t="shared" si="12"/>
        <v>3120.1660962219898</v>
      </c>
      <c r="J39" s="84">
        <f t="shared" si="9"/>
        <v>5652.8551040273369</v>
      </c>
      <c r="K39" s="84">
        <v>430</v>
      </c>
      <c r="L39" s="35">
        <v>260</v>
      </c>
      <c r="M39" s="39"/>
    </row>
    <row r="40" spans="1:13">
      <c r="A40" s="127" t="s">
        <v>506</v>
      </c>
      <c r="B40" s="84">
        <f t="shared" si="10"/>
        <v>430</v>
      </c>
      <c r="C40" s="39">
        <f>+'tab 16'!E37</f>
        <v>5666</v>
      </c>
      <c r="D40" s="84">
        <v>91.503199872630006</v>
      </c>
      <c r="E40" s="84">
        <f t="shared" si="11"/>
        <v>6187.5031998726299</v>
      </c>
      <c r="F40" s="84"/>
      <c r="G40" s="84">
        <v>2500</v>
      </c>
      <c r="H40" s="84">
        <v>191.37798110346301</v>
      </c>
      <c r="I40" s="39">
        <f t="shared" si="12"/>
        <v>3004.1252187691671</v>
      </c>
      <c r="J40" s="84">
        <f t="shared" ref="J40:J45" si="13">+E40-K40</f>
        <v>5695.5031998726299</v>
      </c>
      <c r="K40" s="84">
        <v>492</v>
      </c>
      <c r="L40" s="35">
        <v>252</v>
      </c>
      <c r="M40" s="39"/>
    </row>
    <row r="41" spans="1:13">
      <c r="A41" s="127" t="s">
        <v>541</v>
      </c>
      <c r="B41" s="84">
        <f t="shared" si="10"/>
        <v>492</v>
      </c>
      <c r="C41" s="39">
        <f>+'tab 16'!E38</f>
        <v>4203</v>
      </c>
      <c r="D41" s="84">
        <v>90.59926516943402</v>
      </c>
      <c r="E41" s="84">
        <f t="shared" si="11"/>
        <v>4785.5992651694341</v>
      </c>
      <c r="F41" s="84"/>
      <c r="G41" s="84">
        <v>2000</v>
      </c>
      <c r="H41" s="84">
        <v>218.92546272334502</v>
      </c>
      <c r="I41" s="39">
        <f t="shared" si="12"/>
        <v>2141.6738024460892</v>
      </c>
      <c r="J41" s="84">
        <f t="shared" si="13"/>
        <v>4360.5992651694341</v>
      </c>
      <c r="K41" s="84">
        <v>425</v>
      </c>
      <c r="L41" s="35">
        <v>246</v>
      </c>
      <c r="M41" s="39"/>
    </row>
    <row r="42" spans="1:13">
      <c r="A42" s="127" t="s">
        <v>572</v>
      </c>
      <c r="B42" s="84">
        <f>+K41</f>
        <v>425</v>
      </c>
      <c r="C42" s="39">
        <f>+'tab 16'!E39</f>
        <v>5125</v>
      </c>
      <c r="D42" s="227">
        <v>59.993883548361005</v>
      </c>
      <c r="E42" s="84">
        <f>SUM(B42:D42)</f>
        <v>5609.9938835483608</v>
      </c>
      <c r="F42" s="84"/>
      <c r="G42" s="227">
        <v>1900</v>
      </c>
      <c r="H42" s="227">
        <v>228.13998571249201</v>
      </c>
      <c r="I42" s="39">
        <f t="shared" si="12"/>
        <v>3044.8538978358688</v>
      </c>
      <c r="J42" s="84">
        <f t="shared" si="13"/>
        <v>5172.9938835483608</v>
      </c>
      <c r="K42" s="227">
        <v>437</v>
      </c>
      <c r="L42" s="241">
        <v>194</v>
      </c>
      <c r="M42" s="39"/>
    </row>
    <row r="43" spans="1:13">
      <c r="A43" s="127" t="s">
        <v>585</v>
      </c>
      <c r="B43" s="84">
        <f>+K42</f>
        <v>437</v>
      </c>
      <c r="C43" s="39">
        <f>+'tab 16'!E40</f>
        <v>4043</v>
      </c>
      <c r="D43" s="227">
        <v>16.371572575995003</v>
      </c>
      <c r="E43" s="84">
        <f>SUM(B43:D43)</f>
        <v>4496.3715725759948</v>
      </c>
      <c r="F43" s="84"/>
      <c r="G43" s="227">
        <v>1500</v>
      </c>
      <c r="H43" s="227">
        <v>136.11302056359</v>
      </c>
      <c r="I43" s="39">
        <f t="shared" si="12"/>
        <v>2469.2585520124048</v>
      </c>
      <c r="J43" s="84">
        <f t="shared" si="13"/>
        <v>4105.3715725759948</v>
      </c>
      <c r="K43" s="227">
        <v>391</v>
      </c>
      <c r="L43" s="241">
        <v>227</v>
      </c>
      <c r="M43" s="39"/>
    </row>
    <row r="44" spans="1:13">
      <c r="A44" s="127" t="s">
        <v>669</v>
      </c>
      <c r="B44" s="84">
        <f>+K43</f>
        <v>391</v>
      </c>
      <c r="C44" s="39">
        <f>+'tab 16'!E41</f>
        <v>5369</v>
      </c>
      <c r="D44" s="227">
        <v>51.079130728731002</v>
      </c>
      <c r="E44" s="84">
        <f>SUM(B44:D44)</f>
        <v>5811.0791307287309</v>
      </c>
      <c r="F44" s="84"/>
      <c r="G44" s="227">
        <v>1769.4399999999998</v>
      </c>
      <c r="H44" s="227">
        <v>341.65464751467005</v>
      </c>
      <c r="I44" s="39">
        <f t="shared" si="12"/>
        <v>3299.9844832140611</v>
      </c>
      <c r="J44" s="84">
        <f t="shared" si="13"/>
        <v>5411.0791307287309</v>
      </c>
      <c r="K44" s="227">
        <v>400</v>
      </c>
      <c r="L44" s="241">
        <v>195</v>
      </c>
      <c r="M44" s="39"/>
    </row>
    <row r="45" spans="1:13">
      <c r="A45" s="150" t="s">
        <v>666</v>
      </c>
      <c r="B45" s="40">
        <f>+K44</f>
        <v>400</v>
      </c>
      <c r="C45" s="40">
        <f>+'tab 16'!E42</f>
        <v>6725</v>
      </c>
      <c r="D45" s="226">
        <v>0</v>
      </c>
      <c r="E45" s="40">
        <f>SUM(B45:D45)</f>
        <v>7125</v>
      </c>
      <c r="F45" s="40"/>
      <c r="G45" s="226">
        <v>1950</v>
      </c>
      <c r="H45" s="226">
        <v>450</v>
      </c>
      <c r="I45" s="40">
        <f>+J45-G45-H45</f>
        <v>4300</v>
      </c>
      <c r="J45" s="40">
        <f t="shared" si="13"/>
        <v>6700</v>
      </c>
      <c r="K45" s="226">
        <v>425</v>
      </c>
      <c r="L45" s="354" t="s">
        <v>737</v>
      </c>
      <c r="M45" s="39"/>
    </row>
    <row r="46" spans="1:13" ht="12" customHeight="1">
      <c r="A46" s="117" t="s">
        <v>425</v>
      </c>
    </row>
    <row r="47" spans="1:13" ht="12" customHeight="1">
      <c r="A47" s="117" t="s">
        <v>612</v>
      </c>
    </row>
    <row r="48" spans="1:13">
      <c r="A48" s="117" t="s">
        <v>613</v>
      </c>
    </row>
    <row r="49" spans="11:12">
      <c r="K49" s="304"/>
      <c r="L49" s="304" t="s">
        <v>679</v>
      </c>
    </row>
  </sheetData>
  <phoneticPr fontId="0" type="noConversion"/>
  <pageMargins left="0.7" right="0.7" top="0.75" bottom="0.75" header="0.3" footer="0.3"/>
  <pageSetup scale="81" firstPageNumber="45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L49"/>
  <sheetViews>
    <sheetView zoomScaleNormal="100" zoomScaleSheetLayoutView="100" workbookViewId="0">
      <pane ySplit="6" topLeftCell="A8" activePane="bottomLeft" state="frozen"/>
      <selection pane="bottomLeft" activeCell="A46" sqref="A46"/>
    </sheetView>
  </sheetViews>
  <sheetFormatPr baseColWidth="10" defaultColWidth="8.75" defaultRowHeight="11"/>
  <cols>
    <col min="1" max="1" width="12.75" customWidth="1"/>
    <col min="2" max="5" width="11.75" customWidth="1"/>
    <col min="6" max="6" width="0.75" customWidth="1"/>
    <col min="7" max="11" width="11.75" customWidth="1"/>
  </cols>
  <sheetData>
    <row r="1" spans="1:12">
      <c r="A1" s="150" t="s">
        <v>703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107</v>
      </c>
      <c r="B2" s="314"/>
      <c r="C2" s="332" t="s">
        <v>119</v>
      </c>
      <c r="D2" s="314"/>
      <c r="E2" s="314"/>
      <c r="G2" s="3"/>
      <c r="H2" s="306" t="s">
        <v>117</v>
      </c>
      <c r="I2" s="306"/>
      <c r="K2" s="4" t="s">
        <v>118</v>
      </c>
    </row>
    <row r="3" spans="1:12">
      <c r="A3" t="s">
        <v>100</v>
      </c>
      <c r="B3" s="7" t="s">
        <v>141</v>
      </c>
      <c r="C3" s="7" t="s">
        <v>66</v>
      </c>
      <c r="D3" s="188" t="s">
        <v>88</v>
      </c>
      <c r="E3" s="188" t="s">
        <v>3</v>
      </c>
      <c r="G3" s="7" t="s">
        <v>142</v>
      </c>
      <c r="H3" s="7" t="s">
        <v>90</v>
      </c>
      <c r="I3" s="188" t="s">
        <v>3</v>
      </c>
      <c r="J3" s="7" t="s">
        <v>143</v>
      </c>
      <c r="K3" s="7" t="s">
        <v>252</v>
      </c>
    </row>
    <row r="4" spans="1:12">
      <c r="A4" t="s">
        <v>140</v>
      </c>
      <c r="B4" s="7" t="s">
        <v>110</v>
      </c>
      <c r="C4" s="7"/>
      <c r="D4" s="7"/>
      <c r="E4" s="7"/>
      <c r="J4" s="7" t="s">
        <v>110</v>
      </c>
      <c r="K4" s="7" t="s">
        <v>253</v>
      </c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184</v>
      </c>
    </row>
    <row r="6" spans="1:12">
      <c r="C6" s="307"/>
      <c r="D6" s="307"/>
      <c r="E6" s="307"/>
      <c r="F6" s="307"/>
      <c r="G6" s="325" t="s">
        <v>411</v>
      </c>
      <c r="H6" s="307"/>
      <c r="I6" s="307"/>
      <c r="J6" s="307"/>
      <c r="K6" s="7" t="s">
        <v>289</v>
      </c>
    </row>
    <row r="7" spans="1:12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2">
      <c r="A8" s="10" t="s">
        <v>276</v>
      </c>
      <c r="B8" s="39">
        <v>52.5</v>
      </c>
      <c r="C8" s="39">
        <v>1785.8</v>
      </c>
      <c r="D8" s="39">
        <v>0</v>
      </c>
      <c r="E8" s="39">
        <f t="shared" ref="E8:E27" si="0">SUM(B8:D8)</f>
        <v>1838.3</v>
      </c>
      <c r="F8" s="39"/>
      <c r="G8" s="39">
        <f t="shared" ref="G8:G29" si="1">+I8-H8</f>
        <v>1631.3999999999999</v>
      </c>
      <c r="H8" s="39">
        <v>98.9</v>
      </c>
      <c r="I8" s="39">
        <f t="shared" ref="I8:I27" si="2">+E8-J8</f>
        <v>1730.3</v>
      </c>
      <c r="J8" s="39">
        <v>108</v>
      </c>
      <c r="K8" s="35">
        <v>197.0625</v>
      </c>
      <c r="L8" s="147"/>
    </row>
    <row r="9" spans="1:12">
      <c r="A9" s="10" t="s">
        <v>277</v>
      </c>
      <c r="B9" s="39">
        <f t="shared" ref="B9:B27" si="3">+J8</f>
        <v>108</v>
      </c>
      <c r="C9" s="39">
        <v>2189.8000000000002</v>
      </c>
      <c r="D9" s="39">
        <v>0.2</v>
      </c>
      <c r="E9" s="39">
        <f t="shared" si="0"/>
        <v>2298</v>
      </c>
      <c r="F9" s="39"/>
      <c r="G9" s="39">
        <f t="shared" si="1"/>
        <v>2036.8</v>
      </c>
      <c r="H9" s="39">
        <v>107.2</v>
      </c>
      <c r="I9" s="39">
        <f t="shared" si="2"/>
        <v>2144</v>
      </c>
      <c r="J9" s="39">
        <v>154</v>
      </c>
      <c r="K9" s="35">
        <v>156.15</v>
      </c>
      <c r="L9" s="147"/>
    </row>
    <row r="10" spans="1:12">
      <c r="A10" s="10" t="s">
        <v>278</v>
      </c>
      <c r="B10" s="39">
        <f t="shared" si="3"/>
        <v>154</v>
      </c>
      <c r="C10" s="39">
        <v>1588.3</v>
      </c>
      <c r="D10" s="39">
        <v>0</v>
      </c>
      <c r="E10" s="39">
        <f t="shared" si="0"/>
        <v>1742.3</v>
      </c>
      <c r="F10" s="39"/>
      <c r="G10" s="39">
        <f t="shared" si="1"/>
        <v>1647.8999999999999</v>
      </c>
      <c r="H10" s="39">
        <v>1.4</v>
      </c>
      <c r="I10" s="39">
        <f t="shared" si="2"/>
        <v>1649.3</v>
      </c>
      <c r="J10" s="39">
        <v>93</v>
      </c>
      <c r="K10" s="35">
        <v>176.5625</v>
      </c>
      <c r="L10" s="147"/>
    </row>
    <row r="11" spans="1:12">
      <c r="A11" s="10" t="s">
        <v>279</v>
      </c>
      <c r="B11" s="39">
        <f t="shared" si="3"/>
        <v>93</v>
      </c>
      <c r="C11" s="39">
        <v>1133.7</v>
      </c>
      <c r="D11" s="39">
        <v>0</v>
      </c>
      <c r="E11" s="39">
        <f t="shared" si="0"/>
        <v>1226.7</v>
      </c>
      <c r="F11" s="39"/>
      <c r="G11" s="39">
        <f t="shared" si="1"/>
        <v>1125.8000000000002</v>
      </c>
      <c r="H11" s="39">
        <v>1.1000000000000001</v>
      </c>
      <c r="I11" s="39">
        <f t="shared" si="2"/>
        <v>1126.9000000000001</v>
      </c>
      <c r="J11" s="39">
        <v>99.8</v>
      </c>
      <c r="K11" s="35">
        <v>190.21666666666667</v>
      </c>
      <c r="L11" s="147"/>
    </row>
    <row r="12" spans="1:12">
      <c r="A12" s="10" t="s">
        <v>280</v>
      </c>
      <c r="B12" s="39">
        <f t="shared" si="3"/>
        <v>99.8</v>
      </c>
      <c r="C12" s="39">
        <v>1731.8</v>
      </c>
      <c r="D12" s="39">
        <v>0</v>
      </c>
      <c r="E12" s="39">
        <f t="shared" si="0"/>
        <v>1831.6</v>
      </c>
      <c r="F12" s="39"/>
      <c r="G12" s="39">
        <f t="shared" si="1"/>
        <v>1757.6999999999998</v>
      </c>
      <c r="H12" s="39">
        <v>5.7</v>
      </c>
      <c r="I12" s="39">
        <f t="shared" si="2"/>
        <v>1763.3999999999999</v>
      </c>
      <c r="J12" s="39">
        <v>68.2</v>
      </c>
      <c r="K12" s="35">
        <v>99.354166666666671</v>
      </c>
      <c r="L12" s="147"/>
    </row>
    <row r="13" spans="1:12">
      <c r="A13" s="10" t="s">
        <v>281</v>
      </c>
      <c r="B13" s="39">
        <f t="shared" si="3"/>
        <v>68.2</v>
      </c>
      <c r="C13" s="39">
        <v>1526.3</v>
      </c>
      <c r="D13" s="39">
        <v>0</v>
      </c>
      <c r="E13" s="39">
        <f t="shared" si="0"/>
        <v>1594.5</v>
      </c>
      <c r="F13" s="39"/>
      <c r="G13" s="39">
        <f t="shared" si="1"/>
        <v>1521.2</v>
      </c>
      <c r="H13" s="39">
        <v>4.7</v>
      </c>
      <c r="I13" s="39">
        <f t="shared" si="2"/>
        <v>1525.9</v>
      </c>
      <c r="J13" s="39">
        <v>68.599999999999994</v>
      </c>
      <c r="K13" s="35">
        <v>133.27250000000001</v>
      </c>
      <c r="L13" s="147"/>
    </row>
    <row r="14" spans="1:12">
      <c r="A14" s="10" t="s">
        <v>282</v>
      </c>
      <c r="B14" s="39">
        <f t="shared" si="3"/>
        <v>68.599999999999994</v>
      </c>
      <c r="C14" s="39">
        <v>1111.5</v>
      </c>
      <c r="D14" s="39">
        <v>0</v>
      </c>
      <c r="E14" s="39">
        <f t="shared" si="0"/>
        <v>1180.0999999999999</v>
      </c>
      <c r="F14" s="39"/>
      <c r="G14" s="39">
        <f t="shared" si="1"/>
        <v>1130.8999999999999</v>
      </c>
      <c r="H14" s="39">
        <v>17.7</v>
      </c>
      <c r="I14" s="39">
        <f t="shared" si="2"/>
        <v>1148.5999999999999</v>
      </c>
      <c r="J14" s="39">
        <v>31.5</v>
      </c>
      <c r="K14" s="35">
        <v>148.52500000000001</v>
      </c>
      <c r="L14" s="147"/>
    </row>
    <row r="15" spans="1:12">
      <c r="A15" s="10" t="s">
        <v>283</v>
      </c>
      <c r="B15" s="39">
        <f t="shared" si="3"/>
        <v>31.5</v>
      </c>
      <c r="C15" s="39">
        <v>1647.3</v>
      </c>
      <c r="D15" s="39">
        <v>0</v>
      </c>
      <c r="E15" s="39">
        <f t="shared" si="0"/>
        <v>1678.8</v>
      </c>
      <c r="F15" s="39"/>
      <c r="G15" s="39">
        <f t="shared" si="1"/>
        <v>1589.8</v>
      </c>
      <c r="H15" s="39">
        <v>44.9</v>
      </c>
      <c r="I15" s="39">
        <f t="shared" si="2"/>
        <v>1634.7</v>
      </c>
      <c r="J15" s="39">
        <v>44.1</v>
      </c>
      <c r="K15" s="35">
        <v>178.49583333333331</v>
      </c>
      <c r="L15" s="147"/>
    </row>
    <row r="16" spans="1:12">
      <c r="A16" s="10" t="s">
        <v>284</v>
      </c>
      <c r="B16" s="39">
        <f t="shared" si="3"/>
        <v>44.1</v>
      </c>
      <c r="C16" s="39">
        <v>1688.9</v>
      </c>
      <c r="D16" s="39">
        <v>3.1</v>
      </c>
      <c r="E16" s="39">
        <f t="shared" si="0"/>
        <v>1736.1</v>
      </c>
      <c r="F16" s="39"/>
      <c r="G16" s="39">
        <f t="shared" si="1"/>
        <v>1633.6999999999998</v>
      </c>
      <c r="H16" s="39">
        <v>21.5</v>
      </c>
      <c r="I16" s="39">
        <f t="shared" si="2"/>
        <v>1655.1999999999998</v>
      </c>
      <c r="J16" s="39">
        <v>80.900000000000006</v>
      </c>
      <c r="K16" s="35">
        <v>186.80000000000004</v>
      </c>
      <c r="L16" s="147"/>
    </row>
    <row r="17" spans="1:12">
      <c r="A17" s="10" t="s">
        <v>9</v>
      </c>
      <c r="B17" s="39">
        <f t="shared" si="3"/>
        <v>80.900000000000006</v>
      </c>
      <c r="C17" s="39">
        <v>1327.1</v>
      </c>
      <c r="D17" s="39">
        <v>22.414154877135001</v>
      </c>
      <c r="E17" s="39">
        <f t="shared" si="0"/>
        <v>1430.4141548771349</v>
      </c>
      <c r="F17" s="39"/>
      <c r="G17" s="39">
        <f t="shared" si="1"/>
        <v>1366.2940585709198</v>
      </c>
      <c r="H17" s="39">
        <v>16.420096306215004</v>
      </c>
      <c r="I17" s="39">
        <f t="shared" si="2"/>
        <v>1382.7141548771349</v>
      </c>
      <c r="J17" s="39">
        <v>47.7</v>
      </c>
      <c r="K17" s="35">
        <v>163.32083333333333</v>
      </c>
      <c r="L17" s="147"/>
    </row>
    <row r="18" spans="1:12">
      <c r="A18" s="10" t="s">
        <v>10</v>
      </c>
      <c r="B18" s="39">
        <f t="shared" si="3"/>
        <v>47.7</v>
      </c>
      <c r="C18" s="39">
        <v>1695.6</v>
      </c>
      <c r="D18" s="39">
        <v>7.4732441902650004</v>
      </c>
      <c r="E18" s="39">
        <f t="shared" si="0"/>
        <v>1750.7732441902649</v>
      </c>
      <c r="F18" s="39"/>
      <c r="G18" s="39">
        <f t="shared" si="1"/>
        <v>1625.2086872023369</v>
      </c>
      <c r="H18" s="39">
        <v>31.864556987928005</v>
      </c>
      <c r="I18" s="39">
        <f t="shared" si="2"/>
        <v>1657.0732441902649</v>
      </c>
      <c r="J18" s="39">
        <v>93.7</v>
      </c>
      <c r="K18" s="35">
        <v>130.99166666666667</v>
      </c>
      <c r="L18" s="147"/>
    </row>
    <row r="19" spans="1:12">
      <c r="A19" s="10" t="s">
        <v>11</v>
      </c>
      <c r="B19" s="39">
        <f t="shared" si="3"/>
        <v>93.7</v>
      </c>
      <c r="C19" s="39">
        <v>1765.3</v>
      </c>
      <c r="D19" s="39">
        <v>1.8739970432820001</v>
      </c>
      <c r="E19" s="39">
        <f t="shared" si="0"/>
        <v>1860.8739970432821</v>
      </c>
      <c r="F19" s="39"/>
      <c r="G19" s="39">
        <f t="shared" si="1"/>
        <v>1746.0239523480641</v>
      </c>
      <c r="H19" s="39">
        <v>72.150044695218014</v>
      </c>
      <c r="I19" s="39">
        <f t="shared" si="2"/>
        <v>1818.173997043282</v>
      </c>
      <c r="J19" s="39">
        <v>42.7</v>
      </c>
      <c r="K19" s="35">
        <v>140.49166666666667</v>
      </c>
      <c r="L19" s="147"/>
    </row>
    <row r="20" spans="1:12">
      <c r="A20" s="10" t="s">
        <v>12</v>
      </c>
      <c r="B20" s="39">
        <f t="shared" si="3"/>
        <v>42.7</v>
      </c>
      <c r="C20" s="39">
        <v>1532.8</v>
      </c>
      <c r="D20" s="39">
        <v>0</v>
      </c>
      <c r="E20" s="39">
        <f t="shared" si="0"/>
        <v>1575.5</v>
      </c>
      <c r="F20" s="39"/>
      <c r="G20" s="39">
        <f t="shared" si="1"/>
        <v>1418.2881815432888</v>
      </c>
      <c r="H20" s="39">
        <v>128.01181845671101</v>
      </c>
      <c r="I20" s="39">
        <f t="shared" si="2"/>
        <v>1546.3</v>
      </c>
      <c r="J20" s="39">
        <v>29.2</v>
      </c>
      <c r="K20" s="35">
        <v>161.77916666666664</v>
      </c>
      <c r="L20" s="147"/>
    </row>
    <row r="21" spans="1:12">
      <c r="A21" s="10" t="s">
        <v>13</v>
      </c>
      <c r="B21" s="39">
        <f t="shared" si="3"/>
        <v>29.2</v>
      </c>
      <c r="C21" s="39">
        <v>1562.5</v>
      </c>
      <c r="D21" s="39">
        <v>0</v>
      </c>
      <c r="E21" s="39">
        <f t="shared" si="0"/>
        <v>1591.7</v>
      </c>
      <c r="F21" s="39"/>
      <c r="G21" s="39">
        <f t="shared" si="1"/>
        <v>1418.9</v>
      </c>
      <c r="H21" s="39">
        <v>119.6</v>
      </c>
      <c r="I21" s="39">
        <f t="shared" si="2"/>
        <v>1538.5</v>
      </c>
      <c r="J21" s="39">
        <v>53.2</v>
      </c>
      <c r="K21" s="35">
        <v>164.29999999999998</v>
      </c>
      <c r="L21" s="147"/>
    </row>
    <row r="22" spans="1:12">
      <c r="A22" s="10" t="s">
        <v>14</v>
      </c>
      <c r="B22" s="39">
        <f t="shared" si="3"/>
        <v>53.2</v>
      </c>
      <c r="C22" s="39">
        <v>1829.7</v>
      </c>
      <c r="D22" s="39">
        <v>0</v>
      </c>
      <c r="E22" s="39">
        <f t="shared" si="0"/>
        <v>1882.9</v>
      </c>
      <c r="F22" s="39"/>
      <c r="G22" s="39">
        <f t="shared" si="1"/>
        <v>1748.2000000000003</v>
      </c>
      <c r="H22" s="39">
        <v>88.1</v>
      </c>
      <c r="I22" s="39">
        <f t="shared" si="2"/>
        <v>1836.3000000000002</v>
      </c>
      <c r="J22" s="39">
        <v>46.6</v>
      </c>
      <c r="K22" s="35">
        <v>112.02083333333333</v>
      </c>
      <c r="L22" s="147"/>
    </row>
    <row r="23" spans="1:12">
      <c r="A23" s="10" t="s">
        <v>15</v>
      </c>
      <c r="B23" s="39">
        <f t="shared" si="3"/>
        <v>46.6</v>
      </c>
      <c r="C23" s="39">
        <v>1748.1</v>
      </c>
      <c r="D23" s="39">
        <v>0.28106395184699995</v>
      </c>
      <c r="E23" s="39">
        <f t="shared" si="0"/>
        <v>1794.9810639518469</v>
      </c>
      <c r="F23" s="39"/>
      <c r="G23" s="39">
        <f t="shared" si="1"/>
        <v>1632.4810639518469</v>
      </c>
      <c r="H23" s="39">
        <v>111.3</v>
      </c>
      <c r="I23" s="39">
        <f t="shared" si="2"/>
        <v>1743.7810639518468</v>
      </c>
      <c r="J23" s="39">
        <v>51.2</v>
      </c>
      <c r="K23" s="35">
        <v>191.87166666666667</v>
      </c>
      <c r="L23" s="147"/>
    </row>
    <row r="24" spans="1:12">
      <c r="A24" s="10" t="s">
        <v>16</v>
      </c>
      <c r="B24" s="39">
        <f t="shared" si="3"/>
        <v>51.2</v>
      </c>
      <c r="C24" s="39">
        <v>1752</v>
      </c>
      <c r="D24" s="39">
        <v>3.7450586323709998</v>
      </c>
      <c r="E24" s="39">
        <f t="shared" si="0"/>
        <v>1806.945058632371</v>
      </c>
      <c r="F24" s="39"/>
      <c r="G24" s="39">
        <f t="shared" si="1"/>
        <v>1648.945058632371</v>
      </c>
      <c r="H24" s="39">
        <v>132</v>
      </c>
      <c r="I24" s="39">
        <f t="shared" si="2"/>
        <v>1780.945058632371</v>
      </c>
      <c r="J24" s="39">
        <v>26</v>
      </c>
      <c r="K24" s="35">
        <v>191.37916666666663</v>
      </c>
      <c r="L24" s="147"/>
    </row>
    <row r="25" spans="1:12">
      <c r="A25" s="10" t="s">
        <v>17</v>
      </c>
      <c r="B25" s="39">
        <f t="shared" si="3"/>
        <v>26</v>
      </c>
      <c r="C25" s="39">
        <v>1769.0719999999999</v>
      </c>
      <c r="D25" s="39">
        <v>0.13170081134700001</v>
      </c>
      <c r="E25" s="39">
        <f t="shared" si="0"/>
        <v>1795.2037008113468</v>
      </c>
      <c r="F25" s="39"/>
      <c r="G25" s="39">
        <f t="shared" si="1"/>
        <v>1598.3966774891219</v>
      </c>
      <c r="H25" s="39">
        <v>108.90202332222501</v>
      </c>
      <c r="I25" s="39">
        <f t="shared" si="2"/>
        <v>1707.2987008113469</v>
      </c>
      <c r="J25" s="39">
        <v>87.905000000000001</v>
      </c>
      <c r="K25" s="35">
        <v>144.02916666666667</v>
      </c>
      <c r="L25" s="147"/>
    </row>
    <row r="26" spans="1:12">
      <c r="A26" s="10" t="s">
        <v>18</v>
      </c>
      <c r="B26" s="39">
        <f t="shared" si="3"/>
        <v>87.905000000000001</v>
      </c>
      <c r="C26" s="39">
        <v>1231.6080000000002</v>
      </c>
      <c r="D26" s="39">
        <v>26.808203520000003</v>
      </c>
      <c r="E26" s="39">
        <f t="shared" si="0"/>
        <v>1346.3212035200002</v>
      </c>
      <c r="F26" s="39"/>
      <c r="G26" s="39">
        <f t="shared" si="1"/>
        <v>1201.3671907086223</v>
      </c>
      <c r="H26" s="39">
        <v>120.87501281137801</v>
      </c>
      <c r="I26" s="39">
        <f t="shared" si="2"/>
        <v>1322.2422035200002</v>
      </c>
      <c r="J26" s="39">
        <v>24.079000000000001</v>
      </c>
      <c r="K26" s="35">
        <v>109.55000000000001</v>
      </c>
      <c r="L26" s="147"/>
    </row>
    <row r="27" spans="1:12">
      <c r="A27" s="10" t="s">
        <v>19</v>
      </c>
      <c r="B27" s="39">
        <f t="shared" si="3"/>
        <v>24.079000000000001</v>
      </c>
      <c r="C27" s="39">
        <v>1389.8070000000002</v>
      </c>
      <c r="D27" s="39">
        <v>9.5746733459999997E-2</v>
      </c>
      <c r="E27" s="39">
        <f t="shared" si="0"/>
        <v>1413.9817467334601</v>
      </c>
      <c r="F27" s="39"/>
      <c r="G27" s="39">
        <f t="shared" si="1"/>
        <v>1288.4916140034081</v>
      </c>
      <c r="H27" s="39">
        <v>104.69213273005201</v>
      </c>
      <c r="I27" s="39">
        <f t="shared" si="2"/>
        <v>1393.1837467334601</v>
      </c>
      <c r="J27" s="39">
        <v>20.797999999999998</v>
      </c>
      <c r="K27" s="35">
        <v>127.42916666666667</v>
      </c>
      <c r="L27" s="147"/>
    </row>
    <row r="28" spans="1:12">
      <c r="A28" s="71" t="s">
        <v>392</v>
      </c>
      <c r="B28" s="84">
        <f t="shared" ref="B28:B33" si="4">+J27</f>
        <v>20.797999999999998</v>
      </c>
      <c r="C28" s="84">
        <v>1337.6</v>
      </c>
      <c r="D28" s="84">
        <v>0.42176843944200004</v>
      </c>
      <c r="E28" s="84">
        <f t="shared" ref="E28:E33" si="5">SUM(B28:D28)</f>
        <v>1358.819768439442</v>
      </c>
      <c r="F28" s="84"/>
      <c r="G28" s="84">
        <f t="shared" si="1"/>
        <v>1165.379817236902</v>
      </c>
      <c r="H28" s="84">
        <v>153.53995120254001</v>
      </c>
      <c r="I28" s="84">
        <f t="shared" ref="I28:I33" si="6">+E28-J28</f>
        <v>1318.9197684394419</v>
      </c>
      <c r="J28" s="84">
        <v>39.9</v>
      </c>
      <c r="K28" s="35">
        <v>142.93000000000004</v>
      </c>
      <c r="L28" s="147"/>
    </row>
    <row r="29" spans="1:12">
      <c r="A29" s="71" t="s">
        <v>396</v>
      </c>
      <c r="B29" s="84">
        <f t="shared" si="4"/>
        <v>39.9</v>
      </c>
      <c r="C29" s="84">
        <v>1293.9359999999999</v>
      </c>
      <c r="D29" s="84">
        <v>0.195911529408</v>
      </c>
      <c r="E29" s="84">
        <f t="shared" si="5"/>
        <v>1334.031911529408</v>
      </c>
      <c r="F29" s="84"/>
      <c r="G29" s="84">
        <f t="shared" si="1"/>
        <v>1160.5539013805749</v>
      </c>
      <c r="H29" s="84">
        <v>111.050010148833</v>
      </c>
      <c r="I29" s="84">
        <f t="shared" si="6"/>
        <v>1271.6039115294079</v>
      </c>
      <c r="J29" s="84">
        <v>62.427999999999997</v>
      </c>
      <c r="K29" s="35">
        <v>136.15583333333333</v>
      </c>
      <c r="L29" s="147"/>
    </row>
    <row r="30" spans="1:12">
      <c r="A30" s="71" t="s">
        <v>409</v>
      </c>
      <c r="B30" s="84">
        <f t="shared" si="4"/>
        <v>62.427999999999997</v>
      </c>
      <c r="C30" s="84">
        <v>1115.0350000000001</v>
      </c>
      <c r="D30" s="84">
        <v>0</v>
      </c>
      <c r="E30" s="84">
        <f t="shared" si="5"/>
        <v>1177.4630000000002</v>
      </c>
      <c r="F30" s="84"/>
      <c r="G30" s="84">
        <f t="shared" ref="G30:G35" si="7">+I30-H30</f>
        <v>1091.0850757511121</v>
      </c>
      <c r="H30" s="84">
        <v>50.977924248887994</v>
      </c>
      <c r="I30" s="84">
        <f t="shared" si="6"/>
        <v>1142.0630000000001</v>
      </c>
      <c r="J30" s="84">
        <v>35.4</v>
      </c>
      <c r="K30" s="35">
        <v>147.10416666666666</v>
      </c>
      <c r="L30" s="147"/>
    </row>
    <row r="31" spans="1:12">
      <c r="A31" s="71" t="s">
        <v>420</v>
      </c>
      <c r="B31" s="84">
        <f t="shared" si="4"/>
        <v>35.4</v>
      </c>
      <c r="C31" s="84">
        <v>1243.575</v>
      </c>
      <c r="D31" s="84">
        <v>3.2661474929999997E-2</v>
      </c>
      <c r="E31" s="84">
        <f t="shared" si="5"/>
        <v>1279.00766147493</v>
      </c>
      <c r="F31" s="84"/>
      <c r="G31" s="84">
        <f t="shared" si="7"/>
        <v>1131.949199408584</v>
      </c>
      <c r="H31" s="84">
        <v>70.406462066346009</v>
      </c>
      <c r="I31" s="84">
        <f t="shared" si="6"/>
        <v>1202.35566147493</v>
      </c>
      <c r="J31" s="84">
        <v>76.652000000000001</v>
      </c>
      <c r="K31" s="35">
        <v>183.46916666666667</v>
      </c>
      <c r="L31" s="147"/>
    </row>
    <row r="32" spans="1:12">
      <c r="A32" s="71" t="s">
        <v>422</v>
      </c>
      <c r="B32" s="84">
        <f t="shared" si="4"/>
        <v>76.652000000000001</v>
      </c>
      <c r="C32" s="84">
        <v>1362.421</v>
      </c>
      <c r="D32" s="84">
        <v>0</v>
      </c>
      <c r="E32" s="84">
        <f t="shared" si="5"/>
        <v>1439.0730000000001</v>
      </c>
      <c r="F32" s="84"/>
      <c r="G32" s="84">
        <f t="shared" si="7"/>
        <v>1279.1196195191671</v>
      </c>
      <c r="H32" s="84">
        <v>107.315380480833</v>
      </c>
      <c r="I32" s="84">
        <f t="shared" si="6"/>
        <v>1386.4350000000002</v>
      </c>
      <c r="J32" s="84">
        <v>52.637999999999998</v>
      </c>
      <c r="K32" s="35">
        <v>124.03749999999998</v>
      </c>
      <c r="L32" s="147"/>
    </row>
    <row r="33" spans="1:12">
      <c r="A33" s="71" t="s">
        <v>448</v>
      </c>
      <c r="B33" s="84">
        <f t="shared" si="4"/>
        <v>52.637999999999998</v>
      </c>
      <c r="C33" s="84">
        <v>1372.3869999999999</v>
      </c>
      <c r="D33" s="84">
        <v>0</v>
      </c>
      <c r="E33" s="84">
        <f t="shared" si="5"/>
        <v>1425.0249999999999</v>
      </c>
      <c r="F33" s="84"/>
      <c r="G33" s="84">
        <f t="shared" si="7"/>
        <v>1225.055348701002</v>
      </c>
      <c r="H33" s="84">
        <v>140.65865129899802</v>
      </c>
      <c r="I33" s="84">
        <f t="shared" si="6"/>
        <v>1365.7139999999999</v>
      </c>
      <c r="J33" s="84">
        <v>59.311</v>
      </c>
      <c r="K33" s="35">
        <v>144.27166666666668</v>
      </c>
      <c r="L33" s="147"/>
    </row>
    <row r="34" spans="1:12">
      <c r="A34" s="71" t="s">
        <v>463</v>
      </c>
      <c r="B34" s="84">
        <f t="shared" ref="B34:B39" si="8">+J33</f>
        <v>59.311</v>
      </c>
      <c r="C34" s="84">
        <v>1241.4686400000001</v>
      </c>
      <c r="D34" s="84">
        <v>0.10286766252</v>
      </c>
      <c r="E34" s="84">
        <f t="shared" ref="E34:E39" si="9">SUM(B34:D34)</f>
        <v>1300.8825076625201</v>
      </c>
      <c r="F34" s="84"/>
      <c r="G34" s="84">
        <f t="shared" si="7"/>
        <v>1133.5282028978029</v>
      </c>
      <c r="H34" s="84">
        <v>105.24330476471701</v>
      </c>
      <c r="I34" s="84">
        <f t="shared" ref="I34:I39" si="10">+E34-J34</f>
        <v>1238.77150766252</v>
      </c>
      <c r="J34" s="84">
        <v>62.110999999999997</v>
      </c>
      <c r="K34" s="35">
        <v>150.35666666666665</v>
      </c>
      <c r="L34" s="147"/>
    </row>
    <row r="35" spans="1:12">
      <c r="A35" s="71" t="s">
        <v>470</v>
      </c>
      <c r="B35" s="84">
        <f t="shared" si="8"/>
        <v>62.110999999999997</v>
      </c>
      <c r="C35" s="84">
        <v>1261.7386899999999</v>
      </c>
      <c r="D35" s="84">
        <v>0</v>
      </c>
      <c r="E35" s="84">
        <f t="shared" si="9"/>
        <v>1323.84969</v>
      </c>
      <c r="F35" s="84"/>
      <c r="G35" s="84">
        <f t="shared" si="7"/>
        <v>1149.4484322140261</v>
      </c>
      <c r="H35" s="84">
        <v>118.998257785974</v>
      </c>
      <c r="I35" s="84">
        <f t="shared" si="10"/>
        <v>1268.44669</v>
      </c>
      <c r="J35" s="84">
        <v>55.402999999999999</v>
      </c>
      <c r="K35" s="35">
        <v>253.80583333333334</v>
      </c>
      <c r="L35" s="147"/>
    </row>
    <row r="36" spans="1:12">
      <c r="A36" s="127" t="s">
        <v>477</v>
      </c>
      <c r="B36" s="84">
        <f t="shared" si="8"/>
        <v>55.402999999999999</v>
      </c>
      <c r="C36" s="84">
        <v>938.38984000000005</v>
      </c>
      <c r="D36" s="84">
        <v>0</v>
      </c>
      <c r="E36" s="84">
        <f t="shared" si="9"/>
        <v>993.79284000000007</v>
      </c>
      <c r="F36" s="84"/>
      <c r="G36" s="84">
        <f t="shared" ref="G36:G42" si="11">+I36-H36</f>
        <v>886.78155914339106</v>
      </c>
      <c r="H36" s="84">
        <v>89.668280856609016</v>
      </c>
      <c r="I36" s="84">
        <f t="shared" si="10"/>
        <v>976.44984000000011</v>
      </c>
      <c r="J36" s="84">
        <v>17.343</v>
      </c>
      <c r="K36" s="35">
        <v>255.22916666666666</v>
      </c>
      <c r="L36" s="147"/>
    </row>
    <row r="37" spans="1:12">
      <c r="A37" s="127" t="s">
        <v>483</v>
      </c>
      <c r="B37" s="84">
        <f t="shared" si="8"/>
        <v>17.343</v>
      </c>
      <c r="C37" s="84">
        <v>883.33389</v>
      </c>
      <c r="D37" s="84">
        <v>0</v>
      </c>
      <c r="E37" s="84">
        <f t="shared" si="9"/>
        <v>900.67688999999996</v>
      </c>
      <c r="F37" s="84"/>
      <c r="G37" s="84">
        <f t="shared" si="11"/>
        <v>766.586233261252</v>
      </c>
      <c r="H37" s="84">
        <v>79.85765673874802</v>
      </c>
      <c r="I37" s="84">
        <f t="shared" si="10"/>
        <v>846.44389000000001</v>
      </c>
      <c r="J37" s="84">
        <v>54.232999999999997</v>
      </c>
      <c r="K37" s="35">
        <v>220.89583333333334</v>
      </c>
      <c r="L37" s="147"/>
    </row>
    <row r="38" spans="1:12">
      <c r="A38" s="127" t="s">
        <v>487</v>
      </c>
      <c r="B38" s="84">
        <f t="shared" si="8"/>
        <v>54.232999999999997</v>
      </c>
      <c r="C38" s="84">
        <v>1163</v>
      </c>
      <c r="D38" s="84">
        <v>0</v>
      </c>
      <c r="E38" s="84">
        <f t="shared" si="9"/>
        <v>1217.2329999999999</v>
      </c>
      <c r="F38" s="84"/>
      <c r="G38" s="84">
        <f t="shared" si="11"/>
        <v>1079.1315450784268</v>
      </c>
      <c r="H38" s="84">
        <v>93.101454921573023</v>
      </c>
      <c r="I38" s="84">
        <f t="shared" si="10"/>
        <v>1172.2329999999999</v>
      </c>
      <c r="J38" s="84">
        <v>45</v>
      </c>
      <c r="K38" s="35">
        <v>273.83999999999997</v>
      </c>
      <c r="L38" s="147"/>
    </row>
    <row r="39" spans="1:12">
      <c r="A39" s="127" t="s">
        <v>493</v>
      </c>
      <c r="B39" s="84">
        <f t="shared" si="8"/>
        <v>45</v>
      </c>
      <c r="C39" s="84">
        <v>1090</v>
      </c>
      <c r="D39" s="84">
        <v>0</v>
      </c>
      <c r="E39" s="84">
        <f t="shared" si="9"/>
        <v>1135</v>
      </c>
      <c r="F39" s="84"/>
      <c r="G39" s="84">
        <f t="shared" si="11"/>
        <v>981.97422199016</v>
      </c>
      <c r="H39" s="84">
        <v>103.02577800984</v>
      </c>
      <c r="I39" s="84">
        <f t="shared" si="10"/>
        <v>1085</v>
      </c>
      <c r="J39" s="84">
        <v>50</v>
      </c>
      <c r="K39" s="35">
        <v>275.13</v>
      </c>
      <c r="L39" s="147"/>
    </row>
    <row r="40" spans="1:12">
      <c r="A40" s="127" t="s">
        <v>506</v>
      </c>
      <c r="B40" s="84">
        <f t="shared" ref="B40:B45" si="12">+J39</f>
        <v>50</v>
      </c>
      <c r="C40" s="84">
        <v>1125</v>
      </c>
      <c r="D40" s="84">
        <v>0</v>
      </c>
      <c r="E40" s="84">
        <f t="shared" ref="E40:E45" si="13">SUM(B40:D40)</f>
        <v>1175</v>
      </c>
      <c r="F40" s="84"/>
      <c r="G40" s="84">
        <f t="shared" si="11"/>
        <v>1012.034090659842</v>
      </c>
      <c r="H40" s="84">
        <v>112.96590934015799</v>
      </c>
      <c r="I40" s="84">
        <f t="shared" ref="I40:I45" si="14">+E40-J40</f>
        <v>1125</v>
      </c>
      <c r="J40" s="84">
        <v>50</v>
      </c>
      <c r="K40" s="35">
        <v>331.52</v>
      </c>
      <c r="L40" s="147"/>
    </row>
    <row r="41" spans="1:12">
      <c r="A41" s="127" t="s">
        <v>541</v>
      </c>
      <c r="B41" s="84">
        <f t="shared" si="12"/>
        <v>50</v>
      </c>
      <c r="C41" s="84">
        <v>900</v>
      </c>
      <c r="D41" s="84">
        <v>0</v>
      </c>
      <c r="E41" s="84">
        <f t="shared" si="13"/>
        <v>950</v>
      </c>
      <c r="F41" s="84"/>
      <c r="G41" s="84">
        <f t="shared" si="11"/>
        <v>811.40726603231099</v>
      </c>
      <c r="H41" s="84">
        <v>88.592733967689014</v>
      </c>
      <c r="I41" s="84">
        <f t="shared" si="14"/>
        <v>900</v>
      </c>
      <c r="J41" s="84">
        <v>50</v>
      </c>
      <c r="K41" s="35">
        <v>377.51</v>
      </c>
      <c r="L41" s="147"/>
    </row>
    <row r="42" spans="1:12">
      <c r="A42" s="127" t="s">
        <v>572</v>
      </c>
      <c r="B42" s="84">
        <f t="shared" si="12"/>
        <v>50</v>
      </c>
      <c r="C42" s="227">
        <v>855</v>
      </c>
      <c r="D42" s="227">
        <v>2.8779135588000004E-2</v>
      </c>
      <c r="E42" s="84">
        <f t="shared" si="13"/>
        <v>905.02877913558802</v>
      </c>
      <c r="F42" s="84"/>
      <c r="G42" s="84">
        <f t="shared" si="11"/>
        <v>794.21591655320196</v>
      </c>
      <c r="H42" s="227">
        <v>68.496862582386001</v>
      </c>
      <c r="I42" s="84">
        <f t="shared" si="14"/>
        <v>862.71277913558799</v>
      </c>
      <c r="J42" s="227">
        <v>42.316000000000003</v>
      </c>
      <c r="K42" s="241">
        <v>304.27</v>
      </c>
      <c r="L42" s="147"/>
    </row>
    <row r="43" spans="1:12">
      <c r="A43" s="127" t="s">
        <v>575</v>
      </c>
      <c r="B43" s="84">
        <f t="shared" si="12"/>
        <v>42.316000000000003</v>
      </c>
      <c r="C43" s="227">
        <v>705</v>
      </c>
      <c r="D43" s="227">
        <v>0</v>
      </c>
      <c r="E43" s="84">
        <f t="shared" si="13"/>
        <v>747.31600000000003</v>
      </c>
      <c r="F43" s="84"/>
      <c r="G43" s="84">
        <f>I43-H43</f>
        <v>637.94291024540598</v>
      </c>
      <c r="H43" s="227">
        <v>89.697089754594018</v>
      </c>
      <c r="I43" s="84">
        <f t="shared" si="14"/>
        <v>727.64</v>
      </c>
      <c r="J43" s="227">
        <v>19.675999999999998</v>
      </c>
      <c r="K43" s="241">
        <v>261.19</v>
      </c>
      <c r="L43" s="147"/>
    </row>
    <row r="44" spans="1:12">
      <c r="A44" s="127" t="s">
        <v>578</v>
      </c>
      <c r="B44" s="84">
        <f t="shared" si="12"/>
        <v>19.675999999999998</v>
      </c>
      <c r="C44" s="227">
        <v>805.29299999999989</v>
      </c>
      <c r="D44" s="227">
        <v>0</v>
      </c>
      <c r="E44" s="84">
        <f t="shared" si="13"/>
        <v>824.96899999999994</v>
      </c>
      <c r="F44" s="84"/>
      <c r="G44" s="84">
        <f>I44-H44</f>
        <v>686.74885035747388</v>
      </c>
      <c r="H44" s="227">
        <v>110.22014964252601</v>
      </c>
      <c r="I44" s="84">
        <f t="shared" si="14"/>
        <v>796.96899999999994</v>
      </c>
      <c r="J44" s="227">
        <v>28</v>
      </c>
      <c r="K44" s="241">
        <v>208.61249999999998</v>
      </c>
      <c r="L44" s="147"/>
    </row>
    <row r="45" spans="1:12">
      <c r="A45" s="150" t="s">
        <v>668</v>
      </c>
      <c r="B45" s="40">
        <f t="shared" si="12"/>
        <v>28</v>
      </c>
      <c r="C45" s="226">
        <v>880</v>
      </c>
      <c r="D45" s="226">
        <v>0</v>
      </c>
      <c r="E45" s="40">
        <f t="shared" si="13"/>
        <v>908</v>
      </c>
      <c r="F45" s="40"/>
      <c r="G45" s="40">
        <f>I45-H45</f>
        <v>778</v>
      </c>
      <c r="H45" s="226">
        <v>90</v>
      </c>
      <c r="I45" s="40">
        <f t="shared" si="14"/>
        <v>868</v>
      </c>
      <c r="J45" s="226">
        <v>40</v>
      </c>
      <c r="K45" s="354" t="s">
        <v>738</v>
      </c>
      <c r="L45" s="147"/>
    </row>
    <row r="46" spans="1:12" ht="12" customHeight="1">
      <c r="A46" s="117" t="s">
        <v>426</v>
      </c>
    </row>
    <row r="47" spans="1:12" ht="12" customHeight="1">
      <c r="A47" s="117" t="s">
        <v>615</v>
      </c>
    </row>
    <row r="48" spans="1:12" ht="10.25" customHeight="1">
      <c r="A48" s="117" t="s">
        <v>614</v>
      </c>
    </row>
    <row r="49" spans="10:11">
      <c r="J49" s="304"/>
      <c r="K49" s="304" t="s">
        <v>679</v>
      </c>
    </row>
  </sheetData>
  <phoneticPr fontId="0" type="noConversion"/>
  <pageMargins left="0.7" right="0.7" top="0.75" bottom="0.75" header="0.3" footer="0.3"/>
  <pageSetup scale="84" firstPageNumber="46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9"/>
  <sheetViews>
    <sheetView zoomScaleNormal="100" zoomScaleSheetLayoutView="90" workbookViewId="0">
      <pane ySplit="2" topLeftCell="A60" activePane="bottomLeft" state="frozen"/>
      <selection pane="bottomLeft"/>
    </sheetView>
  </sheetViews>
  <sheetFormatPr baseColWidth="10" defaultColWidth="8.75" defaultRowHeight="11"/>
  <cols>
    <col min="1" max="1" width="20.75" customWidth="1"/>
    <col min="2" max="4" width="26.75" customWidth="1"/>
  </cols>
  <sheetData>
    <row r="1" spans="1:4">
      <c r="A1" s="126" t="s">
        <v>686</v>
      </c>
      <c r="B1" s="1"/>
      <c r="C1" s="1"/>
      <c r="D1" s="1"/>
    </row>
    <row r="2" spans="1:4">
      <c r="A2" s="3" t="s">
        <v>0</v>
      </c>
      <c r="B2" s="4" t="s">
        <v>1</v>
      </c>
      <c r="C2" s="4" t="s">
        <v>2</v>
      </c>
      <c r="D2" s="4" t="s">
        <v>3</v>
      </c>
    </row>
    <row r="3" spans="1:4">
      <c r="C3" s="303" t="s">
        <v>4</v>
      </c>
      <c r="D3" s="303"/>
    </row>
    <row r="4" spans="1:4">
      <c r="A4" t="s">
        <v>19</v>
      </c>
      <c r="B4" s="5"/>
      <c r="C4" s="5"/>
      <c r="D4" s="5"/>
    </row>
    <row r="5" spans="1:4">
      <c r="A5" t="s">
        <v>5</v>
      </c>
      <c r="B5" s="5">
        <v>1150000</v>
      </c>
      <c r="C5" s="5">
        <v>1032666</v>
      </c>
      <c r="D5" s="5">
        <f>B5+C5</f>
        <v>2182666</v>
      </c>
    </row>
    <row r="6" spans="1:4">
      <c r="A6" t="s">
        <v>6</v>
      </c>
      <c r="B6" s="5">
        <v>730000</v>
      </c>
      <c r="C6" s="5">
        <v>665986</v>
      </c>
      <c r="D6" s="5">
        <f>B6+C6</f>
        <v>1395986</v>
      </c>
    </row>
    <row r="7" spans="1:4">
      <c r="A7" t="s">
        <v>7</v>
      </c>
      <c r="B7" s="5">
        <v>370000</v>
      </c>
      <c r="C7" s="5">
        <v>404425</v>
      </c>
      <c r="D7" s="5">
        <f>B7+C7</f>
        <v>774425</v>
      </c>
    </row>
    <row r="8" spans="1:4">
      <c r="A8" s="41" t="s">
        <v>8</v>
      </c>
      <c r="B8" s="5">
        <v>112500</v>
      </c>
      <c r="C8" s="5">
        <v>177662</v>
      </c>
      <c r="D8" s="5">
        <f>B8+C8</f>
        <v>290162</v>
      </c>
    </row>
    <row r="9" spans="1:4">
      <c r="A9" t="s">
        <v>388</v>
      </c>
      <c r="B9" s="5"/>
      <c r="C9" s="5"/>
      <c r="D9" s="70"/>
    </row>
    <row r="10" spans="1:4">
      <c r="A10" t="s">
        <v>5</v>
      </c>
      <c r="B10" s="5">
        <v>1217000</v>
      </c>
      <c r="C10" s="5">
        <v>1022991</v>
      </c>
      <c r="D10" s="5">
        <f>B10+C10</f>
        <v>2239991</v>
      </c>
    </row>
    <row r="11" spans="1:4">
      <c r="A11" t="s">
        <v>6</v>
      </c>
      <c r="B11" s="5">
        <v>780000</v>
      </c>
      <c r="C11" s="5">
        <v>623908</v>
      </c>
      <c r="D11" s="5">
        <f>B11+C11</f>
        <v>1403908</v>
      </c>
    </row>
    <row r="12" spans="1:4">
      <c r="A12" t="s">
        <v>7</v>
      </c>
      <c r="B12" s="5">
        <v>365000</v>
      </c>
      <c r="C12" s="5">
        <v>343180</v>
      </c>
      <c r="D12" s="5">
        <f>B12+C12</f>
        <v>708180</v>
      </c>
    </row>
    <row r="13" spans="1:4">
      <c r="A13" s="41" t="s">
        <v>8</v>
      </c>
      <c r="B13" s="5">
        <v>83500</v>
      </c>
      <c r="C13" s="5">
        <v>164247</v>
      </c>
      <c r="D13" s="5">
        <f>B13+C13</f>
        <v>247747</v>
      </c>
    </row>
    <row r="14" spans="1:4">
      <c r="A14" t="s">
        <v>396</v>
      </c>
      <c r="B14" s="5"/>
      <c r="C14" s="5"/>
      <c r="D14" s="94"/>
    </row>
    <row r="15" spans="1:4">
      <c r="A15" t="s">
        <v>5</v>
      </c>
      <c r="B15" s="5">
        <v>1240000</v>
      </c>
      <c r="C15" s="5">
        <v>1035618</v>
      </c>
      <c r="D15" s="5">
        <f>B15+C15</f>
        <v>2275618</v>
      </c>
    </row>
    <row r="16" spans="1:4">
      <c r="A16" t="s">
        <v>6</v>
      </c>
      <c r="B16" s="5">
        <v>687000</v>
      </c>
      <c r="C16" s="5">
        <v>648987</v>
      </c>
      <c r="D16" s="5">
        <f>B16+C16</f>
        <v>1335987</v>
      </c>
    </row>
    <row r="17" spans="1:4">
      <c r="A17" t="s">
        <v>7</v>
      </c>
      <c r="B17" s="5">
        <v>301200</v>
      </c>
      <c r="C17" s="5">
        <v>383721</v>
      </c>
      <c r="D17" s="5">
        <f>B17+C17</f>
        <v>684921</v>
      </c>
    </row>
    <row r="18" spans="1:4">
      <c r="A18" s="41" t="s">
        <v>8</v>
      </c>
      <c r="B18" s="5">
        <v>62700</v>
      </c>
      <c r="C18" s="5">
        <v>145361</v>
      </c>
      <c r="D18" s="5">
        <f>B18+C18</f>
        <v>208061</v>
      </c>
    </row>
    <row r="19" spans="1:4">
      <c r="A19" t="s">
        <v>409</v>
      </c>
      <c r="B19" s="70"/>
      <c r="C19" s="94"/>
      <c r="D19" s="94"/>
    </row>
    <row r="20" spans="1:4">
      <c r="A20" t="s">
        <v>5</v>
      </c>
      <c r="B20" s="5">
        <v>1172000</v>
      </c>
      <c r="C20" s="5">
        <v>943373</v>
      </c>
      <c r="D20" s="5">
        <f>B20+C20</f>
        <v>2115373</v>
      </c>
    </row>
    <row r="21" spans="1:4">
      <c r="A21" t="s">
        <v>6</v>
      </c>
      <c r="B21" s="5">
        <v>636500</v>
      </c>
      <c r="C21" s="5">
        <v>565528</v>
      </c>
      <c r="D21" s="5">
        <f>B21+C21</f>
        <v>1202028</v>
      </c>
    </row>
    <row r="22" spans="1:4">
      <c r="A22" t="s">
        <v>7</v>
      </c>
      <c r="B22" s="5">
        <v>272500</v>
      </c>
      <c r="C22" s="5">
        <v>329862</v>
      </c>
      <c r="D22" s="5">
        <f>B22+C22</f>
        <v>602362</v>
      </c>
    </row>
    <row r="23" spans="1:4">
      <c r="A23" s="41" t="s">
        <v>8</v>
      </c>
      <c r="B23" s="5">
        <v>58000</v>
      </c>
      <c r="C23" s="5">
        <v>120329</v>
      </c>
      <c r="D23" s="5">
        <f>B23+C23</f>
        <v>178329</v>
      </c>
    </row>
    <row r="24" spans="1:4">
      <c r="A24" t="s">
        <v>419</v>
      </c>
      <c r="B24" s="70"/>
      <c r="C24" s="70"/>
      <c r="D24" s="70"/>
    </row>
    <row r="25" spans="1:4">
      <c r="A25" t="s">
        <v>5</v>
      </c>
      <c r="B25" s="5">
        <v>820000</v>
      </c>
      <c r="C25" s="5">
        <v>868653</v>
      </c>
      <c r="D25" s="5">
        <f>B25+C25</f>
        <v>1688653</v>
      </c>
    </row>
    <row r="26" spans="1:4">
      <c r="A26" t="s">
        <v>6</v>
      </c>
      <c r="B26" s="5">
        <v>355900</v>
      </c>
      <c r="C26" s="5">
        <v>549947</v>
      </c>
      <c r="D26" s="5">
        <f>B26+C26</f>
        <v>905847</v>
      </c>
    </row>
    <row r="27" spans="1:4">
      <c r="A27" t="s">
        <v>7</v>
      </c>
      <c r="B27" s="5">
        <v>110000</v>
      </c>
      <c r="C27" s="5">
        <v>300604</v>
      </c>
      <c r="D27" s="5">
        <f>B27+C27</f>
        <v>410604</v>
      </c>
    </row>
    <row r="28" spans="1:4">
      <c r="A28" s="41" t="s">
        <v>8</v>
      </c>
      <c r="B28" s="5">
        <v>29400</v>
      </c>
      <c r="C28" s="5">
        <v>83014</v>
      </c>
      <c r="D28" s="5">
        <f>+B28+C28</f>
        <v>112414</v>
      </c>
    </row>
    <row r="29" spans="1:4">
      <c r="A29" s="136" t="s">
        <v>422</v>
      </c>
      <c r="B29" s="5"/>
      <c r="C29" s="5"/>
      <c r="D29" s="70"/>
    </row>
    <row r="30" spans="1:4">
      <c r="A30" t="s">
        <v>5</v>
      </c>
      <c r="B30" s="5">
        <v>1300000</v>
      </c>
      <c r="C30" s="5">
        <v>1004640</v>
      </c>
      <c r="D30" s="5">
        <f>+B30+C30</f>
        <v>2304640</v>
      </c>
    </row>
    <row r="31" spans="1:4">
      <c r="A31" t="s">
        <v>6</v>
      </c>
      <c r="B31" s="5">
        <v>795000</v>
      </c>
      <c r="C31" s="5">
        <v>586364</v>
      </c>
      <c r="D31" s="5">
        <f>+B31+C31</f>
        <v>1381364</v>
      </c>
    </row>
    <row r="32" spans="1:4">
      <c r="A32" t="s">
        <v>7</v>
      </c>
      <c r="B32" s="5">
        <v>356100</v>
      </c>
      <c r="C32" s="5">
        <v>343174</v>
      </c>
      <c r="D32" s="5">
        <f>+B32+C32</f>
        <v>699274</v>
      </c>
    </row>
    <row r="33" spans="1:4">
      <c r="A33" s="41" t="s">
        <v>8</v>
      </c>
      <c r="B33" s="5">
        <v>99700</v>
      </c>
      <c r="C33" s="5">
        <v>156038</v>
      </c>
      <c r="D33" s="5">
        <f>+B33+C33</f>
        <v>255738</v>
      </c>
    </row>
    <row r="34" spans="1:4">
      <c r="A34" s="136" t="s">
        <v>448</v>
      </c>
      <c r="B34" s="5"/>
      <c r="C34" s="5"/>
      <c r="D34" s="70"/>
    </row>
    <row r="35" spans="1:4">
      <c r="A35" t="s">
        <v>5</v>
      </c>
      <c r="B35" s="5">
        <v>1345000</v>
      </c>
      <c r="C35" s="5">
        <v>1156426</v>
      </c>
      <c r="D35" s="5">
        <f>B35+C35</f>
        <v>2501426</v>
      </c>
    </row>
    <row r="36" spans="1:4">
      <c r="A36" t="s">
        <v>6</v>
      </c>
      <c r="B36" s="5">
        <v>872000</v>
      </c>
      <c r="C36" s="5">
        <v>797206</v>
      </c>
      <c r="D36" s="5">
        <f>B36+C36</f>
        <v>1669206</v>
      </c>
    </row>
    <row r="37" spans="1:4">
      <c r="A37" t="s">
        <v>7</v>
      </c>
      <c r="B37" s="5">
        <v>495500</v>
      </c>
      <c r="C37" s="5">
        <v>495199</v>
      </c>
      <c r="D37" s="5">
        <f>B37+C37</f>
        <v>990699</v>
      </c>
    </row>
    <row r="38" spans="1:4">
      <c r="A38" s="41" t="s">
        <v>8</v>
      </c>
      <c r="B38" s="5">
        <v>176300</v>
      </c>
      <c r="C38" s="5">
        <v>273026</v>
      </c>
      <c r="D38" s="5">
        <f>B38+C38</f>
        <v>449326</v>
      </c>
    </row>
    <row r="39" spans="1:4">
      <c r="A39" s="136" t="s">
        <v>463</v>
      </c>
      <c r="B39" s="5"/>
      <c r="C39" s="5"/>
      <c r="D39" s="70"/>
    </row>
    <row r="40" spans="1:4">
      <c r="A40" s="41" t="s">
        <v>5</v>
      </c>
      <c r="B40" s="5">
        <v>1461000</v>
      </c>
      <c r="C40" s="5">
        <v>1240366</v>
      </c>
      <c r="D40" s="5">
        <f>+B40+C40</f>
        <v>2701366</v>
      </c>
    </row>
    <row r="41" spans="1:4">
      <c r="A41" t="s">
        <v>6</v>
      </c>
      <c r="B41" s="5">
        <v>910000</v>
      </c>
      <c r="C41" s="5">
        <v>876887</v>
      </c>
      <c r="D41" s="5">
        <f>+B41+C41</f>
        <v>1786887</v>
      </c>
    </row>
    <row r="42" spans="1:4">
      <c r="A42" t="s">
        <v>7</v>
      </c>
      <c r="B42" s="5">
        <v>500000</v>
      </c>
      <c r="C42" s="5">
        <v>592185</v>
      </c>
      <c r="D42" s="5">
        <f>+B42+C42</f>
        <v>1092185</v>
      </c>
    </row>
    <row r="43" spans="1:4">
      <c r="A43" s="41" t="s">
        <v>8</v>
      </c>
      <c r="B43" s="5">
        <v>143000</v>
      </c>
      <c r="C43" s="5">
        <v>430810</v>
      </c>
      <c r="D43" s="5">
        <f>+B43+C43</f>
        <v>573810</v>
      </c>
    </row>
    <row r="44" spans="1:4">
      <c r="A44" s="136" t="s">
        <v>470</v>
      </c>
      <c r="B44" s="5"/>
      <c r="C44" s="5"/>
      <c r="D44" s="5"/>
    </row>
    <row r="45" spans="1:4">
      <c r="A45" s="41" t="s">
        <v>5</v>
      </c>
      <c r="B45" s="5">
        <v>1128500</v>
      </c>
      <c r="C45" s="5">
        <v>1231860</v>
      </c>
      <c r="D45" s="5">
        <f>+B45+C45</f>
        <v>2360360</v>
      </c>
    </row>
    <row r="46" spans="1:4">
      <c r="A46" t="s">
        <v>6</v>
      </c>
      <c r="B46" s="5">
        <v>593000</v>
      </c>
      <c r="C46" s="5">
        <v>840982</v>
      </c>
      <c r="D46" s="5">
        <f>+B46+C46</f>
        <v>1433982</v>
      </c>
    </row>
    <row r="47" spans="1:4">
      <c r="A47" t="s">
        <v>7</v>
      </c>
      <c r="B47" s="5">
        <v>226600</v>
      </c>
      <c r="C47" s="5">
        <v>449543</v>
      </c>
      <c r="D47" s="5">
        <f>+B47+C47</f>
        <v>676143</v>
      </c>
    </row>
    <row r="48" spans="1:4">
      <c r="A48" s="41" t="s">
        <v>8</v>
      </c>
      <c r="B48" s="5">
        <v>47000</v>
      </c>
      <c r="C48" s="5">
        <v>158034</v>
      </c>
      <c r="D48" s="5">
        <f>+B48+C48</f>
        <v>205034</v>
      </c>
    </row>
    <row r="49" spans="1:4">
      <c r="A49" s="136" t="s">
        <v>477</v>
      </c>
      <c r="B49" s="5"/>
      <c r="C49" s="5"/>
      <c r="D49" s="70"/>
    </row>
    <row r="50" spans="1:4">
      <c r="A50" s="41" t="s">
        <v>5</v>
      </c>
      <c r="B50" s="5">
        <v>1189000</v>
      </c>
      <c r="C50" s="5">
        <v>1086432</v>
      </c>
      <c r="D50" s="5">
        <f>+B50+C50</f>
        <v>2275432</v>
      </c>
    </row>
    <row r="51" spans="1:4">
      <c r="A51" t="s">
        <v>6</v>
      </c>
      <c r="B51" s="70">
        <v>656500</v>
      </c>
      <c r="C51" s="70">
        <v>645289</v>
      </c>
      <c r="D51" s="5">
        <f>+B51+C51</f>
        <v>1301789</v>
      </c>
    </row>
    <row r="52" spans="1:4">
      <c r="A52" t="s">
        <v>7</v>
      </c>
      <c r="B52" s="70">
        <v>226300</v>
      </c>
      <c r="C52" s="70">
        <v>369859</v>
      </c>
      <c r="D52" s="5">
        <f>+B52+C52</f>
        <v>596159</v>
      </c>
    </row>
    <row r="53" spans="1:4">
      <c r="A53" s="41" t="s">
        <v>8</v>
      </c>
      <c r="B53" s="70">
        <v>35100</v>
      </c>
      <c r="C53" s="70">
        <v>103098</v>
      </c>
      <c r="D53" s="5">
        <f>+B53+C53</f>
        <v>138198</v>
      </c>
    </row>
    <row r="54" spans="1:4">
      <c r="A54" s="136" t="s">
        <v>483</v>
      </c>
      <c r="B54" s="70"/>
      <c r="C54" s="70"/>
      <c r="D54" s="70"/>
    </row>
    <row r="55" spans="1:4">
      <c r="A55" s="41" t="s">
        <v>5</v>
      </c>
      <c r="B55" s="5">
        <v>1229500</v>
      </c>
      <c r="C55" s="5">
        <v>1109050</v>
      </c>
      <c r="D55" s="5">
        <f>+B55+C55</f>
        <v>2338550</v>
      </c>
    </row>
    <row r="56" spans="1:4">
      <c r="A56" t="s">
        <v>6</v>
      </c>
      <c r="B56" s="5">
        <v>609200</v>
      </c>
      <c r="C56" s="5">
        <v>660868</v>
      </c>
      <c r="D56" s="5">
        <f>+B56+C56</f>
        <v>1270068</v>
      </c>
    </row>
    <row r="57" spans="1:4">
      <c r="A57" t="s">
        <v>7</v>
      </c>
      <c r="B57" s="5">
        <v>232600</v>
      </c>
      <c r="C57" s="5">
        <v>338523</v>
      </c>
      <c r="D57" s="5">
        <f>+B57+C57</f>
        <v>571123</v>
      </c>
    </row>
    <row r="58" spans="1:4">
      <c r="A58" s="41" t="s">
        <v>8</v>
      </c>
      <c r="B58" s="5">
        <v>35400</v>
      </c>
      <c r="C58" s="5">
        <v>115485</v>
      </c>
      <c r="D58" s="5">
        <f>+B58+C58</f>
        <v>150885</v>
      </c>
    </row>
    <row r="59" spans="1:4">
      <c r="A59" s="149" t="s">
        <v>487</v>
      </c>
      <c r="B59" s="5"/>
      <c r="C59" s="5"/>
      <c r="D59" s="5"/>
    </row>
    <row r="60" spans="1:4">
      <c r="A60" s="41" t="s">
        <v>5</v>
      </c>
      <c r="B60" s="5">
        <v>1091000</v>
      </c>
      <c r="C60" s="5">
        <v>1187084</v>
      </c>
      <c r="D60" s="5">
        <f>+B60+C60</f>
        <v>2278084</v>
      </c>
    </row>
    <row r="61" spans="1:4">
      <c r="A61" t="s">
        <v>6</v>
      </c>
      <c r="B61" s="5">
        <v>505000</v>
      </c>
      <c r="C61" s="5">
        <v>743800</v>
      </c>
      <c r="D61" s="5">
        <f>+B61+C61</f>
        <v>1248800</v>
      </c>
    </row>
    <row r="62" spans="1:4">
      <c r="A62" t="s">
        <v>7</v>
      </c>
      <c r="B62" s="5">
        <v>217700</v>
      </c>
      <c r="C62" s="5">
        <v>401583</v>
      </c>
      <c r="D62" s="5">
        <f>+B62+C62</f>
        <v>619283</v>
      </c>
    </row>
    <row r="63" spans="1:4">
      <c r="A63" s="41" t="s">
        <v>8</v>
      </c>
      <c r="B63" s="5">
        <v>48500</v>
      </c>
      <c r="C63" s="5">
        <v>166513</v>
      </c>
      <c r="D63" s="5">
        <f>+B63+C63</f>
        <v>215013</v>
      </c>
    </row>
    <row r="64" spans="1:4">
      <c r="A64" s="149" t="s">
        <v>493</v>
      </c>
      <c r="B64" s="5"/>
      <c r="C64" s="5"/>
      <c r="D64" s="5"/>
    </row>
    <row r="65" spans="1:4">
      <c r="A65" s="41" t="s">
        <v>5</v>
      </c>
      <c r="B65" s="5">
        <v>1139000</v>
      </c>
      <c r="C65" s="5">
        <v>1230885</v>
      </c>
      <c r="D65" s="5">
        <f>B65+C65</f>
        <v>2369885</v>
      </c>
    </row>
    <row r="66" spans="1:4">
      <c r="A66" t="s">
        <v>6</v>
      </c>
      <c r="B66" s="5">
        <v>555000</v>
      </c>
      <c r="C66" s="5">
        <v>819488</v>
      </c>
      <c r="D66" s="5">
        <f>B66+C66</f>
        <v>1374488</v>
      </c>
    </row>
    <row r="67" spans="1:4">
      <c r="A67" t="s">
        <v>7</v>
      </c>
      <c r="B67" s="5">
        <v>179000</v>
      </c>
      <c r="C67" s="5">
        <v>488465</v>
      </c>
      <c r="D67" s="5">
        <f>B67+C67</f>
        <v>667465</v>
      </c>
    </row>
    <row r="68" spans="1:4">
      <c r="A68" s="41" t="s">
        <v>8</v>
      </c>
      <c r="B68" s="5">
        <v>38250</v>
      </c>
      <c r="C68" s="5">
        <v>131120</v>
      </c>
      <c r="D68" s="5">
        <f>B68+C68</f>
        <v>169370</v>
      </c>
    </row>
    <row r="69" spans="1:4">
      <c r="A69" s="149" t="s">
        <v>506</v>
      </c>
      <c r="B69" s="5"/>
      <c r="C69" s="5"/>
      <c r="D69" s="5"/>
    </row>
    <row r="70" spans="1:4">
      <c r="A70" s="41" t="s">
        <v>5</v>
      </c>
      <c r="B70" s="5">
        <v>910000</v>
      </c>
      <c r="C70" s="5">
        <v>1056161</v>
      </c>
      <c r="D70" s="5">
        <f>B70+C70</f>
        <v>1966161</v>
      </c>
    </row>
    <row r="71" spans="1:4">
      <c r="A71" t="s">
        <v>6</v>
      </c>
      <c r="B71" s="5">
        <v>456700</v>
      </c>
      <c r="C71" s="5">
        <v>541320</v>
      </c>
      <c r="D71" s="5">
        <f>B71+C71</f>
        <v>998020</v>
      </c>
    </row>
    <row r="72" spans="1:4">
      <c r="A72" t="s">
        <v>7</v>
      </c>
      <c r="B72" s="5">
        <v>171100</v>
      </c>
      <c r="C72" s="5">
        <v>263564</v>
      </c>
      <c r="D72" s="5">
        <f>B72+C72</f>
        <v>434664</v>
      </c>
    </row>
    <row r="73" spans="1:4">
      <c r="A73" s="41" t="s">
        <v>8</v>
      </c>
      <c r="B73" s="5">
        <v>39550</v>
      </c>
      <c r="C73" s="5">
        <v>101007</v>
      </c>
      <c r="D73" s="5">
        <f>B73+C73</f>
        <v>140557</v>
      </c>
    </row>
    <row r="74" spans="1:4">
      <c r="A74" s="149" t="s">
        <v>541</v>
      </c>
      <c r="B74" s="5"/>
      <c r="C74" s="5"/>
      <c r="D74" s="5"/>
    </row>
    <row r="75" spans="1:4">
      <c r="A75" s="41" t="s">
        <v>5</v>
      </c>
      <c r="B75" s="5">
        <v>955000</v>
      </c>
      <c r="C75" s="5">
        <v>1198621</v>
      </c>
      <c r="D75" s="5">
        <f>B75+C75</f>
        <v>2153621</v>
      </c>
    </row>
    <row r="76" spans="1:4">
      <c r="A76" t="s">
        <v>6</v>
      </c>
      <c r="B76" s="5">
        <v>381900</v>
      </c>
      <c r="C76" s="5">
        <v>611928</v>
      </c>
      <c r="D76" s="5">
        <f>B76+C76</f>
        <v>993828</v>
      </c>
    </row>
    <row r="77" spans="1:4">
      <c r="A77" t="s">
        <v>7</v>
      </c>
      <c r="B77" s="5">
        <v>109100</v>
      </c>
      <c r="C77" s="5">
        <v>295945</v>
      </c>
      <c r="D77" s="5">
        <f>B77+C77</f>
        <v>405045</v>
      </c>
    </row>
    <row r="78" spans="1:4">
      <c r="A78" s="41" t="s">
        <v>8</v>
      </c>
      <c r="B78" s="5">
        <v>21325</v>
      </c>
      <c r="C78" s="5">
        <v>70666</v>
      </c>
      <c r="D78" s="5">
        <f>B78+C78</f>
        <v>91991</v>
      </c>
    </row>
    <row r="79" spans="1:4">
      <c r="A79" s="149" t="s">
        <v>572</v>
      </c>
      <c r="B79" s="5"/>
      <c r="C79" s="5"/>
      <c r="D79" s="5"/>
    </row>
    <row r="80" spans="1:4">
      <c r="A80" s="41" t="s">
        <v>5</v>
      </c>
      <c r="B80" s="5">
        <v>1218000</v>
      </c>
      <c r="C80" s="5">
        <v>1309744</v>
      </c>
      <c r="D80" s="5">
        <f>B80+C80</f>
        <v>2527744</v>
      </c>
    </row>
    <row r="81" spans="1:4">
      <c r="A81" t="s">
        <v>6</v>
      </c>
      <c r="B81" s="5">
        <v>609200</v>
      </c>
      <c r="C81" s="5">
        <v>717399</v>
      </c>
      <c r="D81" s="5">
        <f>B81+C81</f>
        <v>1326599</v>
      </c>
    </row>
    <row r="82" spans="1:4">
      <c r="A82" t="s">
        <v>7</v>
      </c>
      <c r="B82" s="5">
        <v>246300</v>
      </c>
      <c r="C82" s="5">
        <v>380768</v>
      </c>
      <c r="D82" s="5">
        <f>B82+C82</f>
        <v>627068</v>
      </c>
    </row>
    <row r="83" spans="1:4">
      <c r="A83" s="41" t="s">
        <v>8</v>
      </c>
      <c r="B83" s="5">
        <v>49700</v>
      </c>
      <c r="C83" s="5">
        <v>140910</v>
      </c>
      <c r="D83" s="5">
        <f>B83+C83</f>
        <v>190610</v>
      </c>
    </row>
    <row r="84" spans="1:4">
      <c r="A84" s="149" t="s">
        <v>575</v>
      </c>
      <c r="B84" s="5"/>
      <c r="C84" s="5"/>
      <c r="D84" s="5"/>
    </row>
    <row r="85" spans="1:4">
      <c r="A85" s="41" t="s">
        <v>5</v>
      </c>
      <c r="B85" s="5">
        <v>1308500</v>
      </c>
      <c r="C85" s="5">
        <v>1405577</v>
      </c>
      <c r="D85" s="5">
        <f>B85+C85</f>
        <v>2714077</v>
      </c>
    </row>
    <row r="86" spans="1:4">
      <c r="A86" t="s">
        <v>6</v>
      </c>
      <c r="B86" s="5">
        <v>727500</v>
      </c>
      <c r="C86" s="5">
        <v>803406</v>
      </c>
      <c r="D86" s="5">
        <f>B86+C86</f>
        <v>1530906</v>
      </c>
    </row>
    <row r="87" spans="1:4">
      <c r="A87" t="s">
        <v>7</v>
      </c>
      <c r="B87" s="5">
        <v>281300</v>
      </c>
      <c r="C87" s="5">
        <v>590481</v>
      </c>
      <c r="D87" s="5">
        <f>B87+C87</f>
        <v>871781</v>
      </c>
    </row>
    <row r="88" spans="1:4">
      <c r="A88" s="41" t="s">
        <v>8</v>
      </c>
      <c r="B88" s="5">
        <v>41560</v>
      </c>
      <c r="C88" s="5">
        <v>155169</v>
      </c>
      <c r="D88" s="5">
        <f>B88+C88</f>
        <v>196729</v>
      </c>
    </row>
    <row r="89" spans="1:4">
      <c r="A89" s="149" t="s">
        <v>578</v>
      </c>
      <c r="B89" s="5"/>
      <c r="C89" s="5"/>
      <c r="D89" s="5"/>
    </row>
    <row r="90" spans="1:4">
      <c r="A90" s="41" t="s">
        <v>5</v>
      </c>
      <c r="B90" s="5">
        <v>1335000</v>
      </c>
      <c r="C90" s="5">
        <v>1564056</v>
      </c>
      <c r="D90" s="5">
        <f>B90+C90</f>
        <v>2899056</v>
      </c>
    </row>
    <row r="91" spans="1:4">
      <c r="A91" t="s">
        <v>6</v>
      </c>
      <c r="B91" s="5">
        <v>668500</v>
      </c>
      <c r="C91" s="5">
        <v>1070433</v>
      </c>
      <c r="D91" s="5">
        <f>B91+C91</f>
        <v>1738933</v>
      </c>
    </row>
    <row r="92" spans="1:4">
      <c r="A92" t="s">
        <v>7</v>
      </c>
      <c r="B92" s="5">
        <v>332500</v>
      </c>
      <c r="C92" s="5">
        <v>633356</v>
      </c>
      <c r="D92" s="5">
        <f>B92+C92</f>
        <v>965856</v>
      </c>
    </row>
    <row r="93" spans="1:4">
      <c r="A93" s="41" t="s">
        <v>8</v>
      </c>
      <c r="B93" s="5">
        <v>87900</v>
      </c>
      <c r="C93" s="5">
        <v>213695</v>
      </c>
      <c r="D93" s="5">
        <f>B93+C93</f>
        <v>301595</v>
      </c>
    </row>
    <row r="94" spans="1:4">
      <c r="A94" s="149" t="s">
        <v>659</v>
      </c>
      <c r="B94" s="269"/>
      <c r="C94" s="269"/>
      <c r="D94" s="5"/>
    </row>
    <row r="95" spans="1:4">
      <c r="A95" s="41" t="s">
        <v>5</v>
      </c>
      <c r="B95" s="269">
        <v>1485000</v>
      </c>
      <c r="C95" s="269">
        <v>1672020</v>
      </c>
      <c r="D95" s="5">
        <f>B95+C95</f>
        <v>3157020</v>
      </c>
    </row>
    <row r="96" spans="1:4">
      <c r="A96" s="96"/>
      <c r="B96" s="96"/>
      <c r="C96" s="96"/>
      <c r="D96" s="96"/>
    </row>
    <row r="97" spans="1:11" ht="13.25" customHeight="1">
      <c r="A97" s="117" t="s">
        <v>591</v>
      </c>
    </row>
    <row r="98" spans="1:11">
      <c r="D98" s="304" t="s">
        <v>679</v>
      </c>
    </row>
    <row r="99" spans="1:11">
      <c r="B99" s="173"/>
      <c r="E99" s="174"/>
      <c r="F99" s="174"/>
      <c r="G99" s="174"/>
      <c r="H99" s="174"/>
      <c r="I99" s="174"/>
      <c r="J99" s="174"/>
      <c r="K99" s="174"/>
    </row>
  </sheetData>
  <phoneticPr fontId="0" type="noConversion"/>
  <pageMargins left="0.66700000000000004" right="0.66700000000000004" top="0.66700000000000004" bottom="0.83299999999999996" header="0" footer="0"/>
  <pageSetup scale="68" firstPageNumber="2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8"/>
  <sheetViews>
    <sheetView zoomScaleNormal="100" zoomScaleSheetLayoutView="100" workbookViewId="0">
      <pane ySplit="6" topLeftCell="A26" activePane="bottomLeft" state="frozen"/>
      <selection pane="bottomLeft" activeCell="A46" sqref="A46"/>
    </sheetView>
  </sheetViews>
  <sheetFormatPr baseColWidth="10" defaultColWidth="8.75" defaultRowHeight="11"/>
  <cols>
    <col min="1" max="1" width="12.25" customWidth="1"/>
    <col min="2" max="5" width="12.75" customWidth="1"/>
    <col min="6" max="6" width="2.75" customWidth="1"/>
    <col min="7" max="11" width="12.75" customWidth="1"/>
  </cols>
  <sheetData>
    <row r="1" spans="1:12">
      <c r="A1" s="150" t="s">
        <v>704</v>
      </c>
      <c r="B1" s="1"/>
      <c r="C1" s="1"/>
      <c r="D1" s="1"/>
      <c r="E1" s="1"/>
      <c r="F1" s="1"/>
      <c r="G1" s="1"/>
      <c r="H1" s="1"/>
      <c r="I1" s="1"/>
      <c r="J1" s="1"/>
      <c r="K1" s="1"/>
      <c r="L1" s="41"/>
    </row>
    <row r="2" spans="1:12">
      <c r="A2" t="s">
        <v>107</v>
      </c>
      <c r="B2" s="314"/>
      <c r="C2" s="335" t="s">
        <v>119</v>
      </c>
      <c r="D2" s="314"/>
      <c r="E2" s="314"/>
      <c r="F2" s="41"/>
      <c r="G2" s="3"/>
      <c r="H2" s="314" t="s">
        <v>117</v>
      </c>
      <c r="I2" s="314"/>
      <c r="K2" s="314" t="s">
        <v>222</v>
      </c>
    </row>
    <row r="3" spans="1:12">
      <c r="A3" t="s">
        <v>100</v>
      </c>
      <c r="B3" s="7" t="s">
        <v>141</v>
      </c>
      <c r="C3" s="7" t="s">
        <v>66</v>
      </c>
      <c r="D3" s="188" t="s">
        <v>88</v>
      </c>
      <c r="E3" s="7" t="s">
        <v>3</v>
      </c>
      <c r="F3" s="7"/>
      <c r="G3" s="7" t="s">
        <v>142</v>
      </c>
      <c r="H3" s="7" t="s">
        <v>90</v>
      </c>
      <c r="I3" s="188" t="s">
        <v>3</v>
      </c>
      <c r="J3" s="188" t="s">
        <v>143</v>
      </c>
      <c r="K3" s="7" t="s">
        <v>252</v>
      </c>
    </row>
    <row r="4" spans="1:12">
      <c r="A4" t="s">
        <v>140</v>
      </c>
      <c r="B4" s="7" t="s">
        <v>110</v>
      </c>
      <c r="C4" s="7"/>
      <c r="D4" s="7"/>
      <c r="E4" s="7"/>
      <c r="F4" s="7"/>
      <c r="G4" s="7"/>
      <c r="H4" s="7"/>
      <c r="I4" s="7"/>
      <c r="J4" s="188" t="s">
        <v>110</v>
      </c>
      <c r="K4" s="7" t="s">
        <v>255</v>
      </c>
    </row>
    <row r="5" spans="1:12">
      <c r="A5" s="1"/>
      <c r="B5" s="318"/>
      <c r="C5" s="318"/>
      <c r="D5" s="318"/>
      <c r="E5" s="318"/>
      <c r="F5" s="318"/>
      <c r="G5" s="318"/>
      <c r="H5" s="318"/>
      <c r="I5" s="318"/>
      <c r="J5" s="318"/>
      <c r="K5" s="318" t="s">
        <v>256</v>
      </c>
    </row>
    <row r="6" spans="1:12">
      <c r="C6" s="319"/>
      <c r="D6" s="319"/>
      <c r="E6" s="319"/>
      <c r="F6" s="319"/>
      <c r="G6" s="372" t="s">
        <v>254</v>
      </c>
      <c r="H6" s="319"/>
      <c r="I6" s="319"/>
      <c r="J6" s="319"/>
      <c r="K6" s="7" t="s">
        <v>521</v>
      </c>
    </row>
    <row r="7" spans="1:12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2">
      <c r="A8" s="10" t="s">
        <v>276</v>
      </c>
      <c r="B8" s="39">
        <v>121.9</v>
      </c>
      <c r="C8" s="39">
        <v>1191.1590000000001</v>
      </c>
      <c r="D8" s="39">
        <v>0</v>
      </c>
      <c r="E8" s="39">
        <f>SUM(B8:D8)</f>
        <v>1313.0590000000002</v>
      </c>
      <c r="F8" s="39"/>
      <c r="G8" s="39">
        <f t="shared" ref="G8:G17" si="0">+I8-H8</f>
        <v>523.38700000000028</v>
      </c>
      <c r="H8" s="39">
        <v>709.678</v>
      </c>
      <c r="I8" s="39">
        <f t="shared" ref="I8:I17" si="1">+E8-J8</f>
        <v>1233.0650000000003</v>
      </c>
      <c r="J8" s="39">
        <v>79.994</v>
      </c>
      <c r="K8" s="33">
        <v>25.855000000000004</v>
      </c>
      <c r="L8" s="39"/>
    </row>
    <row r="9" spans="1:12">
      <c r="A9" s="10" t="s">
        <v>277</v>
      </c>
      <c r="B9" s="39">
        <f t="shared" ref="B9:B27" si="2">+J8</f>
        <v>79.994</v>
      </c>
      <c r="C9" s="39">
        <v>1551.3409999999999</v>
      </c>
      <c r="D9" s="39">
        <v>0</v>
      </c>
      <c r="E9" s="39">
        <f t="shared" ref="E9:E31" si="3">SUM(B9:D9)</f>
        <v>1631.3349999999998</v>
      </c>
      <c r="F9" s="39"/>
      <c r="G9" s="39">
        <f t="shared" si="0"/>
        <v>680.2249999999998</v>
      </c>
      <c r="H9" s="39">
        <v>847.50400000000002</v>
      </c>
      <c r="I9" s="39">
        <f t="shared" si="1"/>
        <v>1527.7289999999998</v>
      </c>
      <c r="J9" s="39">
        <v>103.60599999999999</v>
      </c>
      <c r="K9" s="33">
        <v>20.064999999999998</v>
      </c>
      <c r="L9" s="39"/>
    </row>
    <row r="10" spans="1:12">
      <c r="A10" s="10" t="s">
        <v>278</v>
      </c>
      <c r="B10" s="39">
        <f t="shared" si="2"/>
        <v>103.60599999999999</v>
      </c>
      <c r="C10" s="39">
        <v>1133.414</v>
      </c>
      <c r="D10" s="39">
        <v>2</v>
      </c>
      <c r="E10" s="39">
        <f t="shared" si="3"/>
        <v>1239.02</v>
      </c>
      <c r="F10" s="39"/>
      <c r="G10" s="39">
        <f t="shared" si="0"/>
        <v>603.89699999999993</v>
      </c>
      <c r="H10" s="39">
        <v>545.56700000000001</v>
      </c>
      <c r="I10" s="39">
        <f t="shared" si="1"/>
        <v>1149.4639999999999</v>
      </c>
      <c r="J10" s="39">
        <v>89.555999999999997</v>
      </c>
      <c r="K10" s="33">
        <v>21.818333333333332</v>
      </c>
      <c r="L10" s="39"/>
    </row>
    <row r="11" spans="1:12">
      <c r="A11" s="10" t="s">
        <v>279</v>
      </c>
      <c r="B11" s="39">
        <f t="shared" si="2"/>
        <v>89.555999999999997</v>
      </c>
      <c r="C11" s="39">
        <v>776.60199999999998</v>
      </c>
      <c r="D11" s="39">
        <v>18</v>
      </c>
      <c r="E11" s="39">
        <f t="shared" si="3"/>
        <v>884.15800000000002</v>
      </c>
      <c r="F11" s="39"/>
      <c r="G11" s="39">
        <f t="shared" si="0"/>
        <v>531.57400000000007</v>
      </c>
      <c r="H11" s="39">
        <v>302.81</v>
      </c>
      <c r="I11" s="39">
        <f t="shared" si="1"/>
        <v>834.38400000000001</v>
      </c>
      <c r="J11" s="39">
        <v>49.774000000000001</v>
      </c>
      <c r="K11" s="33">
        <v>32.791666666666664</v>
      </c>
      <c r="L11" s="39"/>
    </row>
    <row r="12" spans="1:12">
      <c r="A12" s="10" t="s">
        <v>280</v>
      </c>
      <c r="B12" s="39">
        <f t="shared" si="2"/>
        <v>49.774000000000001</v>
      </c>
      <c r="C12" s="39">
        <v>1174.1199999999999</v>
      </c>
      <c r="D12" s="39">
        <v>0</v>
      </c>
      <c r="E12" s="39">
        <f t="shared" si="3"/>
        <v>1223.8939999999998</v>
      </c>
      <c r="F12" s="39"/>
      <c r="G12" s="39">
        <f t="shared" si="0"/>
        <v>684.86599999999976</v>
      </c>
      <c r="H12" s="39">
        <v>432.15199999999999</v>
      </c>
      <c r="I12" s="39">
        <f t="shared" si="1"/>
        <v>1117.0179999999998</v>
      </c>
      <c r="J12" s="39">
        <v>106.876</v>
      </c>
      <c r="K12" s="33">
        <v>29.158333333333335</v>
      </c>
      <c r="L12" s="39"/>
    </row>
    <row r="13" spans="1:12">
      <c r="A13" s="10" t="s">
        <v>281</v>
      </c>
      <c r="B13" s="39">
        <f t="shared" si="2"/>
        <v>106.876</v>
      </c>
      <c r="C13" s="39">
        <v>1069.7639999999999</v>
      </c>
      <c r="D13" s="39">
        <v>0</v>
      </c>
      <c r="E13" s="39">
        <f t="shared" si="3"/>
        <v>1176.6399999999999</v>
      </c>
      <c r="F13" s="39"/>
      <c r="G13" s="39">
        <f t="shared" si="0"/>
        <v>658.22299999999996</v>
      </c>
      <c r="H13" s="39">
        <v>433.49200000000002</v>
      </c>
      <c r="I13" s="39">
        <f t="shared" si="1"/>
        <v>1091.7149999999999</v>
      </c>
      <c r="J13" s="39">
        <v>84.924999999999997</v>
      </c>
      <c r="K13" s="33">
        <v>17.595833333333335</v>
      </c>
      <c r="L13" s="39"/>
    </row>
    <row r="14" spans="1:12">
      <c r="A14" s="10" t="s">
        <v>282</v>
      </c>
      <c r="B14" s="39">
        <f t="shared" si="2"/>
        <v>84.924999999999997</v>
      </c>
      <c r="C14" s="39">
        <v>780.98900000000003</v>
      </c>
      <c r="D14" s="39">
        <v>11.157</v>
      </c>
      <c r="E14" s="39">
        <f t="shared" si="3"/>
        <v>877.07100000000003</v>
      </c>
      <c r="F14" s="39"/>
      <c r="G14" s="39">
        <f t="shared" si="0"/>
        <v>572.654</v>
      </c>
      <c r="H14" s="39">
        <v>214.226</v>
      </c>
      <c r="I14" s="39">
        <f t="shared" si="1"/>
        <v>786.88</v>
      </c>
      <c r="J14" s="39">
        <v>90.191000000000003</v>
      </c>
      <c r="K14" s="33">
        <v>17.714166666666667</v>
      </c>
      <c r="L14" s="39"/>
    </row>
    <row r="15" spans="1:12">
      <c r="A15" s="10" t="s">
        <v>283</v>
      </c>
      <c r="B15" s="39">
        <f t="shared" si="2"/>
        <v>90.191000000000003</v>
      </c>
      <c r="C15" s="39">
        <v>1203.7650000000001</v>
      </c>
      <c r="D15" s="39">
        <v>25.498999999999999</v>
      </c>
      <c r="E15" s="39">
        <f t="shared" si="3"/>
        <v>1319.4550000000002</v>
      </c>
      <c r="F15" s="39"/>
      <c r="G15" s="39">
        <f t="shared" si="0"/>
        <v>750.43900000000031</v>
      </c>
      <c r="H15" s="39">
        <v>408.59</v>
      </c>
      <c r="I15" s="39">
        <f t="shared" si="1"/>
        <v>1159.0290000000002</v>
      </c>
      <c r="J15" s="39">
        <v>160.42599999999999</v>
      </c>
      <c r="K15" s="33">
        <v>21.831666666666667</v>
      </c>
      <c r="L15" s="39"/>
    </row>
    <row r="16" spans="1:12">
      <c r="A16" s="10" t="s">
        <v>284</v>
      </c>
      <c r="B16" s="39">
        <f t="shared" si="2"/>
        <v>160.42599999999999</v>
      </c>
      <c r="C16" s="39">
        <v>1242.451</v>
      </c>
      <c r="D16" s="39">
        <v>0.1111129488</v>
      </c>
      <c r="E16" s="39">
        <f t="shared" si="3"/>
        <v>1402.9881129487999</v>
      </c>
      <c r="F16" s="39"/>
      <c r="G16" s="39">
        <f t="shared" si="0"/>
        <v>849.13011294879993</v>
      </c>
      <c r="H16" s="39">
        <v>406.55799999999999</v>
      </c>
      <c r="I16" s="39">
        <f t="shared" si="1"/>
        <v>1255.6881129487999</v>
      </c>
      <c r="J16" s="39">
        <v>147.30000000000001</v>
      </c>
      <c r="K16" s="33">
        <v>19.930833333333332</v>
      </c>
      <c r="L16" s="39"/>
    </row>
    <row r="17" spans="1:12">
      <c r="A17" s="10" t="s">
        <v>9</v>
      </c>
      <c r="B17" s="39">
        <f t="shared" si="2"/>
        <v>147.30000000000001</v>
      </c>
      <c r="C17" s="39">
        <v>1039.5170000000001</v>
      </c>
      <c r="D17" s="39">
        <v>12.63792947634</v>
      </c>
      <c r="E17" s="39">
        <f t="shared" si="3"/>
        <v>1199.4549294763401</v>
      </c>
      <c r="F17" s="39"/>
      <c r="G17" s="39">
        <f t="shared" si="0"/>
        <v>783.10084141035202</v>
      </c>
      <c r="H17" s="39">
        <v>335.954088065988</v>
      </c>
      <c r="I17" s="39">
        <f t="shared" si="1"/>
        <v>1119.05492947634</v>
      </c>
      <c r="J17" s="39">
        <v>80.400000000000006</v>
      </c>
      <c r="K17" s="33">
        <v>23.035833333333333</v>
      </c>
      <c r="L17" s="39"/>
    </row>
    <row r="18" spans="1:12">
      <c r="A18" s="10" t="s">
        <v>10</v>
      </c>
      <c r="B18" s="39">
        <f t="shared" si="2"/>
        <v>80.400000000000006</v>
      </c>
      <c r="C18" s="39">
        <v>1153.893</v>
      </c>
      <c r="D18" s="39">
        <v>3.4392918910140002</v>
      </c>
      <c r="E18" s="39">
        <f t="shared" si="3"/>
        <v>1237.732291891014</v>
      </c>
      <c r="F18" s="39"/>
      <c r="G18" s="39">
        <f>+I18-H18</f>
        <v>865.98386409934392</v>
      </c>
      <c r="H18" s="39">
        <v>234.84842779167002</v>
      </c>
      <c r="I18" s="39">
        <f>+E18-J18</f>
        <v>1100.8322918910139</v>
      </c>
      <c r="J18" s="39">
        <v>136.9</v>
      </c>
      <c r="K18" s="33">
        <v>22.321666666666669</v>
      </c>
      <c r="L18" s="39"/>
    </row>
    <row r="19" spans="1:12">
      <c r="A19" s="10" t="s">
        <v>11</v>
      </c>
      <c r="B19" s="39">
        <f t="shared" si="2"/>
        <v>136.9</v>
      </c>
      <c r="C19" s="39">
        <v>1279.5</v>
      </c>
      <c r="D19" s="39">
        <v>17.819313671753999</v>
      </c>
      <c r="E19" s="39">
        <f t="shared" si="3"/>
        <v>1434.219313671754</v>
      </c>
      <c r="F19" s="39"/>
      <c r="G19" s="39">
        <f t="shared" ref="G19:G27" si="4">+I19-H19</f>
        <v>1087.522605605498</v>
      </c>
      <c r="H19" s="39">
        <v>269.0967080662561</v>
      </c>
      <c r="I19" s="39">
        <f t="shared" ref="I19:I27" si="5">+E19-J19</f>
        <v>1356.6193136717541</v>
      </c>
      <c r="J19" s="39">
        <v>77.599999999999994</v>
      </c>
      <c r="K19" s="33">
        <v>20.002500000000001</v>
      </c>
      <c r="L19" s="39"/>
    </row>
    <row r="20" spans="1:12">
      <c r="A20" s="10" t="s">
        <v>12</v>
      </c>
      <c r="B20" s="39">
        <f t="shared" si="2"/>
        <v>77.599999999999994</v>
      </c>
      <c r="C20" s="39">
        <v>1125.5</v>
      </c>
      <c r="D20" s="39">
        <v>37.672585145244007</v>
      </c>
      <c r="E20" s="39">
        <f t="shared" si="3"/>
        <v>1240.772585145244</v>
      </c>
      <c r="F20" s="39"/>
      <c r="G20" s="39">
        <f t="shared" si="4"/>
        <v>975.4497637159659</v>
      </c>
      <c r="H20" s="39">
        <v>184.32282142927804</v>
      </c>
      <c r="I20" s="39">
        <f t="shared" si="5"/>
        <v>1159.772585145244</v>
      </c>
      <c r="J20" s="39">
        <v>81</v>
      </c>
      <c r="K20" s="33">
        <v>24.965000000000003</v>
      </c>
      <c r="L20" s="39"/>
    </row>
    <row r="21" spans="1:12">
      <c r="A21" s="10" t="s">
        <v>13</v>
      </c>
      <c r="B21" s="39">
        <f t="shared" si="2"/>
        <v>81</v>
      </c>
      <c r="C21" s="39">
        <v>1118.865</v>
      </c>
      <c r="D21" s="39">
        <v>26.286999999999999</v>
      </c>
      <c r="E21" s="39">
        <f t="shared" si="3"/>
        <v>1226.152</v>
      </c>
      <c r="F21" s="39"/>
      <c r="G21" s="39">
        <f t="shared" si="4"/>
        <v>872.73199999999997</v>
      </c>
      <c r="H21" s="39">
        <v>247.828</v>
      </c>
      <c r="I21" s="39">
        <f t="shared" si="5"/>
        <v>1120.56</v>
      </c>
      <c r="J21" s="39">
        <v>105.592</v>
      </c>
      <c r="K21" s="33">
        <v>27.759999999999994</v>
      </c>
      <c r="L21" s="39"/>
    </row>
    <row r="22" spans="1:12">
      <c r="A22" s="10" t="s">
        <v>14</v>
      </c>
      <c r="B22" s="39">
        <f t="shared" si="2"/>
        <v>105.592</v>
      </c>
      <c r="C22" s="39">
        <v>1311.5060000000001</v>
      </c>
      <c r="D22" s="39">
        <v>0.188</v>
      </c>
      <c r="E22" s="39">
        <f t="shared" si="3"/>
        <v>1417.2860000000003</v>
      </c>
      <c r="F22" s="39"/>
      <c r="G22" s="39">
        <f t="shared" si="4"/>
        <v>1006.5010000000003</v>
      </c>
      <c r="H22" s="39">
        <v>328.65899999999999</v>
      </c>
      <c r="I22" s="39">
        <f t="shared" si="5"/>
        <v>1335.1600000000003</v>
      </c>
      <c r="J22" s="39">
        <v>82.126000000000005</v>
      </c>
      <c r="K22" s="33">
        <v>27.870000000000005</v>
      </c>
      <c r="L22" s="39"/>
    </row>
    <row r="23" spans="1:12">
      <c r="A23" s="10" t="s">
        <v>15</v>
      </c>
      <c r="B23" s="39">
        <f t="shared" si="2"/>
        <v>82.126000000000005</v>
      </c>
      <c r="C23" s="39">
        <v>1228.7670000000001</v>
      </c>
      <c r="D23" s="39">
        <v>0.26202300000000001</v>
      </c>
      <c r="E23" s="39">
        <f t="shared" si="3"/>
        <v>1311.155023</v>
      </c>
      <c r="F23" s="39"/>
      <c r="G23" s="39">
        <f t="shared" si="4"/>
        <v>995.78702299999998</v>
      </c>
      <c r="H23" s="39">
        <v>221.23599999999999</v>
      </c>
      <c r="I23" s="39">
        <f t="shared" si="5"/>
        <v>1217.023023</v>
      </c>
      <c r="J23" s="39">
        <v>94.132000000000005</v>
      </c>
      <c r="K23" s="33">
        <v>26.515833333333333</v>
      </c>
      <c r="L23" s="39"/>
    </row>
    <row r="24" spans="1:12">
      <c r="A24" s="10" t="s">
        <v>16</v>
      </c>
      <c r="B24" s="39">
        <f t="shared" si="2"/>
        <v>94.132000000000005</v>
      </c>
      <c r="C24" s="39">
        <v>1215.788</v>
      </c>
      <c r="D24" s="39">
        <v>0.251</v>
      </c>
      <c r="E24" s="39">
        <f t="shared" si="3"/>
        <v>1310.171</v>
      </c>
      <c r="F24" s="39"/>
      <c r="G24" s="39">
        <f t="shared" si="4"/>
        <v>1011.6170000000002</v>
      </c>
      <c r="H24" s="39">
        <v>232.14699999999999</v>
      </c>
      <c r="I24" s="39">
        <f t="shared" si="5"/>
        <v>1243.7640000000001</v>
      </c>
      <c r="J24" s="39">
        <v>66.406999999999996</v>
      </c>
      <c r="K24" s="33">
        <v>25.577499999999997</v>
      </c>
      <c r="L24" s="39"/>
    </row>
    <row r="25" spans="1:12">
      <c r="A25" s="10" t="s">
        <v>17</v>
      </c>
      <c r="B25" s="39">
        <f t="shared" si="2"/>
        <v>66.406999999999996</v>
      </c>
      <c r="C25" s="39">
        <v>1224.075</v>
      </c>
      <c r="D25" s="39">
        <v>5.7915987544000007E-2</v>
      </c>
      <c r="E25" s="39">
        <f t="shared" si="3"/>
        <v>1290.539915987544</v>
      </c>
      <c r="F25" s="39"/>
      <c r="G25" s="39">
        <f t="shared" si="4"/>
        <v>1004.119670018994</v>
      </c>
      <c r="H25" s="39">
        <v>207.81224596855</v>
      </c>
      <c r="I25" s="39">
        <f t="shared" si="5"/>
        <v>1211.931915987544</v>
      </c>
      <c r="J25" s="39">
        <v>78.608000000000004</v>
      </c>
      <c r="K25" s="33">
        <v>29.889166666666664</v>
      </c>
      <c r="L25" s="39"/>
    </row>
    <row r="26" spans="1:12">
      <c r="A26" s="10" t="s">
        <v>18</v>
      </c>
      <c r="B26" s="39">
        <f t="shared" si="2"/>
        <v>78.608000000000004</v>
      </c>
      <c r="C26" s="39">
        <v>831.69799999999998</v>
      </c>
      <c r="D26" s="39">
        <v>48.183014708388001</v>
      </c>
      <c r="E26" s="39">
        <f t="shared" si="3"/>
        <v>958.48901470838803</v>
      </c>
      <c r="F26" s="39"/>
      <c r="G26" s="39">
        <f t="shared" si="4"/>
        <v>771.83058711065007</v>
      </c>
      <c r="H26" s="39">
        <v>110.65742759773799</v>
      </c>
      <c r="I26" s="39">
        <f t="shared" si="5"/>
        <v>882.48801470838805</v>
      </c>
      <c r="J26" s="39">
        <v>76.001000000000005</v>
      </c>
      <c r="K26" s="33">
        <v>27.324166666666667</v>
      </c>
      <c r="L26" s="39"/>
    </row>
    <row r="27" spans="1:12">
      <c r="A27" s="10" t="s">
        <v>19</v>
      </c>
      <c r="B27" s="39">
        <f t="shared" si="2"/>
        <v>76.001000000000005</v>
      </c>
      <c r="C27" s="39">
        <v>939.19299999999998</v>
      </c>
      <c r="D27" s="39">
        <v>8.0656206101100008</v>
      </c>
      <c r="E27" s="39">
        <f t="shared" si="3"/>
        <v>1023.25962061011</v>
      </c>
      <c r="F27" s="39"/>
      <c r="G27" s="39">
        <f t="shared" si="4"/>
        <v>832.78599363538797</v>
      </c>
      <c r="H27" s="39">
        <v>141.48062697472199</v>
      </c>
      <c r="I27" s="39">
        <f t="shared" si="5"/>
        <v>974.26662061010995</v>
      </c>
      <c r="J27" s="39">
        <v>48.993000000000002</v>
      </c>
      <c r="K27" s="33">
        <v>21.518333333333331</v>
      </c>
      <c r="L27" s="39"/>
    </row>
    <row r="28" spans="1:12">
      <c r="A28" s="71" t="s">
        <v>392</v>
      </c>
      <c r="B28" s="84">
        <f t="shared" ref="B28:B33" si="6">+J27</f>
        <v>48.993000000000002</v>
      </c>
      <c r="C28" s="84">
        <v>846.8</v>
      </c>
      <c r="D28" s="84">
        <v>0.2695150395</v>
      </c>
      <c r="E28" s="39">
        <f t="shared" si="3"/>
        <v>896.0625150395</v>
      </c>
      <c r="F28" s="84"/>
      <c r="G28" s="84">
        <f t="shared" ref="G28:G33" si="7">+I28-H28</f>
        <v>672.02830055291588</v>
      </c>
      <c r="H28" s="84">
        <v>131.01621448658403</v>
      </c>
      <c r="I28" s="84">
        <f t="shared" ref="I28:I33" si="8">+E28-J28</f>
        <v>803.04451503949997</v>
      </c>
      <c r="J28" s="84">
        <v>93.018000000000001</v>
      </c>
      <c r="K28" s="33">
        <v>15.981666666666667</v>
      </c>
      <c r="L28" s="39"/>
    </row>
    <row r="29" spans="1:12">
      <c r="A29" s="71" t="s">
        <v>396</v>
      </c>
      <c r="B29" s="39">
        <f t="shared" si="6"/>
        <v>93.018000000000001</v>
      </c>
      <c r="C29" s="39">
        <v>876.23099999999999</v>
      </c>
      <c r="D29" s="39">
        <v>0.12749329026</v>
      </c>
      <c r="E29" s="39">
        <f t="shared" si="3"/>
        <v>969.37649329025999</v>
      </c>
      <c r="F29" s="39"/>
      <c r="G29" s="39">
        <f t="shared" si="7"/>
        <v>779.70969033625204</v>
      </c>
      <c r="H29" s="39">
        <v>150.17480295400799</v>
      </c>
      <c r="I29" s="39">
        <f t="shared" si="8"/>
        <v>929.88449329026002</v>
      </c>
      <c r="J29" s="39">
        <v>39.491999999999997</v>
      </c>
      <c r="K29" s="33">
        <v>17.984166666666663</v>
      </c>
      <c r="L29" s="39"/>
    </row>
    <row r="30" spans="1:12">
      <c r="A30" s="71" t="s">
        <v>409</v>
      </c>
      <c r="B30" s="39">
        <f t="shared" si="6"/>
        <v>39.491999999999997</v>
      </c>
      <c r="C30" s="39">
        <v>725.13099999999997</v>
      </c>
      <c r="D30" s="39">
        <v>21.442828186332001</v>
      </c>
      <c r="E30" s="39">
        <f t="shared" si="3"/>
        <v>786.06582818633194</v>
      </c>
      <c r="F30" s="39"/>
      <c r="G30" s="39">
        <f t="shared" si="7"/>
        <v>638.8989943723559</v>
      </c>
      <c r="H30" s="39">
        <v>110.23883381397599</v>
      </c>
      <c r="I30" s="39">
        <f t="shared" si="8"/>
        <v>749.13782818633194</v>
      </c>
      <c r="J30" s="39">
        <v>36.927999999999997</v>
      </c>
      <c r="K30" s="33">
        <v>37.74916666666666</v>
      </c>
      <c r="L30" s="39"/>
    </row>
    <row r="31" spans="1:12">
      <c r="A31" s="71" t="s">
        <v>420</v>
      </c>
      <c r="B31" s="39">
        <f t="shared" si="6"/>
        <v>36.927999999999997</v>
      </c>
      <c r="C31" s="39">
        <v>873.67899999999997</v>
      </c>
      <c r="D31" s="39">
        <v>0.20212194958199997</v>
      </c>
      <c r="E31" s="39">
        <f t="shared" si="3"/>
        <v>910.80912194958194</v>
      </c>
      <c r="F31" s="39"/>
      <c r="G31" s="39">
        <f t="shared" si="7"/>
        <v>690.91212968108596</v>
      </c>
      <c r="H31" s="39">
        <v>110.86199226849601</v>
      </c>
      <c r="I31" s="39">
        <f t="shared" si="8"/>
        <v>801.77412194958197</v>
      </c>
      <c r="J31" s="39">
        <v>109.035</v>
      </c>
      <c r="K31" s="33">
        <v>31.206666666666674</v>
      </c>
      <c r="L31" s="39"/>
    </row>
    <row r="32" spans="1:12">
      <c r="A32" s="71" t="s">
        <v>422</v>
      </c>
      <c r="B32" s="39">
        <f t="shared" si="6"/>
        <v>109.035</v>
      </c>
      <c r="C32" s="39">
        <v>957.03700000000003</v>
      </c>
      <c r="D32" s="39">
        <v>1.621691283114</v>
      </c>
      <c r="E32" s="39">
        <f t="shared" ref="E32:E37" si="9">SUM(B32:D32)</f>
        <v>1067.693691283114</v>
      </c>
      <c r="F32" s="39"/>
      <c r="G32" s="39">
        <f t="shared" si="7"/>
        <v>934.60530939473404</v>
      </c>
      <c r="H32" s="39">
        <v>56.734381888380007</v>
      </c>
      <c r="I32" s="39">
        <f t="shared" si="8"/>
        <v>991.33969128311401</v>
      </c>
      <c r="J32" s="39">
        <v>76.353999999999999</v>
      </c>
      <c r="K32" s="33">
        <v>28.008124999999996</v>
      </c>
      <c r="L32" s="39"/>
    </row>
    <row r="33" spans="1:12">
      <c r="A33" s="71" t="s">
        <v>448</v>
      </c>
      <c r="B33" s="39">
        <f t="shared" si="6"/>
        <v>76.353999999999999</v>
      </c>
      <c r="C33" s="39">
        <v>950.572</v>
      </c>
      <c r="D33" s="39">
        <v>1.4005368318060001</v>
      </c>
      <c r="E33" s="39">
        <f t="shared" si="9"/>
        <v>1028.3265368318059</v>
      </c>
      <c r="F33" s="39"/>
      <c r="G33" s="39">
        <f t="shared" si="7"/>
        <v>859.72269348941802</v>
      </c>
      <c r="H33" s="39">
        <v>67.466843342387989</v>
      </c>
      <c r="I33" s="39">
        <f t="shared" si="8"/>
        <v>927.18953683180598</v>
      </c>
      <c r="J33" s="39">
        <v>101.137</v>
      </c>
      <c r="K33" s="33">
        <v>29.465</v>
      </c>
      <c r="L33" s="39"/>
    </row>
    <row r="34" spans="1:12">
      <c r="A34" s="71" t="s">
        <v>463</v>
      </c>
      <c r="B34" s="39">
        <f t="shared" ref="B34:B39" si="10">+J33</f>
        <v>101.137</v>
      </c>
      <c r="C34" s="39">
        <v>848.70311000000004</v>
      </c>
      <c r="D34" s="39">
        <v>1.317682727802</v>
      </c>
      <c r="E34" s="39">
        <f t="shared" si="9"/>
        <v>951.15779272780208</v>
      </c>
      <c r="F34" s="39"/>
      <c r="G34" s="39">
        <f t="shared" ref="G34:G43" si="11">+I34-H34</f>
        <v>713.9124309085521</v>
      </c>
      <c r="H34" s="39">
        <v>137.81836181925001</v>
      </c>
      <c r="I34" s="39">
        <f t="shared" ref="I34:I39" si="12">+E34-J34</f>
        <v>851.73079272780205</v>
      </c>
      <c r="J34" s="39">
        <v>99.427000000000007</v>
      </c>
      <c r="K34" s="33">
        <v>35.700833333333328</v>
      </c>
      <c r="L34" s="39"/>
    </row>
    <row r="35" spans="1:12">
      <c r="A35" s="71" t="s">
        <v>470</v>
      </c>
      <c r="B35" s="39">
        <f t="shared" si="10"/>
        <v>99.427000000000007</v>
      </c>
      <c r="C35" s="39">
        <v>856.2844399999999</v>
      </c>
      <c r="D35" s="39">
        <v>5.0926768200000002E-3</v>
      </c>
      <c r="E35" s="39">
        <f t="shared" si="9"/>
        <v>955.71653267681995</v>
      </c>
      <c r="F35" s="39"/>
      <c r="G35" s="39">
        <f t="shared" si="11"/>
        <v>622.62017890968195</v>
      </c>
      <c r="H35" s="39">
        <v>186.49135376713801</v>
      </c>
      <c r="I35" s="39">
        <f t="shared" si="12"/>
        <v>809.11153267681993</v>
      </c>
      <c r="J35" s="39">
        <v>146.60499999999999</v>
      </c>
      <c r="K35" s="33">
        <v>73.553124999999994</v>
      </c>
      <c r="L35" s="39"/>
    </row>
    <row r="36" spans="1:12">
      <c r="A36" s="71" t="s">
        <v>477</v>
      </c>
      <c r="B36" s="39">
        <f t="shared" si="10"/>
        <v>146.60499999999999</v>
      </c>
      <c r="C36" s="39">
        <v>668.67881000000011</v>
      </c>
      <c r="D36" s="39">
        <v>9.5998060368000002E-2</v>
      </c>
      <c r="E36" s="39">
        <f t="shared" si="9"/>
        <v>815.37980806036808</v>
      </c>
      <c r="F36" s="39"/>
      <c r="G36" s="39">
        <f t="shared" si="11"/>
        <v>502.05297804131203</v>
      </c>
      <c r="H36" s="39">
        <v>192.22683001905602</v>
      </c>
      <c r="I36" s="39">
        <f t="shared" si="12"/>
        <v>694.27980806036805</v>
      </c>
      <c r="J36" s="39">
        <v>121.1</v>
      </c>
      <c r="K36" s="33">
        <v>37.096875000000004</v>
      </c>
      <c r="L36" s="39"/>
    </row>
    <row r="37" spans="1:12">
      <c r="A37" s="127" t="s">
        <v>483</v>
      </c>
      <c r="B37" s="39">
        <f t="shared" si="10"/>
        <v>121.1</v>
      </c>
      <c r="C37" s="39">
        <v>617.29017999999996</v>
      </c>
      <c r="D37" s="39">
        <v>9.9728280791999996E-2</v>
      </c>
      <c r="E37" s="39">
        <f t="shared" si="9"/>
        <v>738.48990828079195</v>
      </c>
      <c r="F37" s="39"/>
      <c r="G37" s="39">
        <f t="shared" si="11"/>
        <v>551.92322662066999</v>
      </c>
      <c r="H37" s="39">
        <v>94.027681660121999</v>
      </c>
      <c r="I37" s="39">
        <f t="shared" si="12"/>
        <v>645.95090828079196</v>
      </c>
      <c r="J37" s="39">
        <v>92.539000000000001</v>
      </c>
      <c r="K37" s="33">
        <v>40.270833333333336</v>
      </c>
      <c r="L37" s="39"/>
    </row>
    <row r="38" spans="1:12">
      <c r="A38" s="127" t="s">
        <v>487</v>
      </c>
      <c r="B38" s="39">
        <f t="shared" si="10"/>
        <v>92.539000000000001</v>
      </c>
      <c r="C38" s="39">
        <v>835</v>
      </c>
      <c r="D38" s="39">
        <v>0.20214620042399997</v>
      </c>
      <c r="E38" s="39">
        <f t="shared" ref="E38:E43" si="13">SUM(B38:D38)</f>
        <v>927.74114620042394</v>
      </c>
      <c r="F38" s="39"/>
      <c r="G38" s="39">
        <f t="shared" si="11"/>
        <v>599.50524319104193</v>
      </c>
      <c r="H38" s="39">
        <v>163.23590300938201</v>
      </c>
      <c r="I38" s="39">
        <f t="shared" si="12"/>
        <v>762.74114620042394</v>
      </c>
      <c r="J38" s="39">
        <v>165</v>
      </c>
      <c r="K38" s="33">
        <v>54.5</v>
      </c>
      <c r="L38" s="39"/>
    </row>
    <row r="39" spans="1:12">
      <c r="A39" s="127" t="s">
        <v>493</v>
      </c>
      <c r="B39" s="39">
        <f t="shared" si="10"/>
        <v>165</v>
      </c>
      <c r="C39" s="39">
        <v>755</v>
      </c>
      <c r="D39" s="39">
        <v>10.347106756139999</v>
      </c>
      <c r="E39" s="39">
        <f t="shared" si="13"/>
        <v>930.34710675613997</v>
      </c>
      <c r="F39" s="39"/>
      <c r="G39" s="39">
        <f t="shared" si="11"/>
        <v>571.61889468866798</v>
      </c>
      <c r="H39" s="39">
        <v>258.72821206747204</v>
      </c>
      <c r="I39" s="39">
        <f t="shared" si="12"/>
        <v>830.34710675613997</v>
      </c>
      <c r="J39" s="39">
        <v>100</v>
      </c>
      <c r="K39" s="33">
        <v>53.22</v>
      </c>
      <c r="L39" s="39"/>
    </row>
    <row r="40" spans="1:12">
      <c r="A40" s="127" t="s">
        <v>542</v>
      </c>
      <c r="B40" s="39">
        <f t="shared" ref="B40:B45" si="14">+J39</f>
        <v>100</v>
      </c>
      <c r="C40" s="39">
        <v>800</v>
      </c>
      <c r="D40" s="39">
        <v>19.917408336714001</v>
      </c>
      <c r="E40" s="39">
        <f t="shared" si="13"/>
        <v>919.91740833671395</v>
      </c>
      <c r="F40" s="39"/>
      <c r="G40" s="39">
        <f t="shared" si="11"/>
        <v>584.25441577419792</v>
      </c>
      <c r="H40" s="39">
        <v>220.66299256251602</v>
      </c>
      <c r="I40" s="39">
        <f t="shared" ref="I40:I45" si="15">+E40-J40</f>
        <v>804.91740833671395</v>
      </c>
      <c r="J40" s="39">
        <v>115</v>
      </c>
      <c r="K40" s="33">
        <v>48.6</v>
      </c>
      <c r="L40" s="39"/>
    </row>
    <row r="41" spans="1:12">
      <c r="A41" s="127" t="s">
        <v>541</v>
      </c>
      <c r="B41" s="39">
        <f t="shared" si="14"/>
        <v>115</v>
      </c>
      <c r="C41" s="39">
        <v>630</v>
      </c>
      <c r="D41" s="39">
        <v>31.952836666674003</v>
      </c>
      <c r="E41" s="39">
        <f t="shared" si="13"/>
        <v>776.95283666667399</v>
      </c>
      <c r="F41" s="39"/>
      <c r="G41" s="39">
        <f t="shared" si="11"/>
        <v>538.54962385942599</v>
      </c>
      <c r="H41" s="39">
        <v>148.403212807248</v>
      </c>
      <c r="I41" s="39">
        <f t="shared" si="15"/>
        <v>686.95283666667399</v>
      </c>
      <c r="J41" s="39">
        <v>90</v>
      </c>
      <c r="K41" s="33">
        <v>60.66</v>
      </c>
      <c r="L41" s="39"/>
    </row>
    <row r="42" spans="1:12">
      <c r="A42" s="127" t="s">
        <v>572</v>
      </c>
      <c r="B42" s="39">
        <f t="shared" si="14"/>
        <v>90</v>
      </c>
      <c r="C42" s="228">
        <v>610</v>
      </c>
      <c r="D42" s="228">
        <v>17.423747164782</v>
      </c>
      <c r="E42" s="39">
        <f t="shared" si="13"/>
        <v>717.42374716478196</v>
      </c>
      <c r="F42" s="39"/>
      <c r="G42" s="39">
        <f t="shared" si="11"/>
        <v>540.92412416890193</v>
      </c>
      <c r="H42" s="228">
        <v>118.49962299588</v>
      </c>
      <c r="I42" s="39">
        <f t="shared" si="15"/>
        <v>659.42374716478196</v>
      </c>
      <c r="J42" s="228">
        <v>58</v>
      </c>
      <c r="K42" s="233">
        <v>45.74</v>
      </c>
      <c r="L42" s="39"/>
    </row>
    <row r="43" spans="1:12">
      <c r="A43" s="127" t="s">
        <v>575</v>
      </c>
      <c r="B43" s="39">
        <f t="shared" si="14"/>
        <v>58</v>
      </c>
      <c r="C43" s="228">
        <v>465</v>
      </c>
      <c r="D43" s="228">
        <v>6.6169480615559984</v>
      </c>
      <c r="E43" s="39">
        <f t="shared" si="13"/>
        <v>529.61694806155595</v>
      </c>
      <c r="F43" s="39"/>
      <c r="G43" s="39">
        <f t="shared" si="11"/>
        <v>433.2408137333079</v>
      </c>
      <c r="H43" s="228">
        <v>54.82913432824801</v>
      </c>
      <c r="I43" s="39">
        <f t="shared" si="15"/>
        <v>488.06994806155592</v>
      </c>
      <c r="J43" s="228">
        <v>41.546999999999997</v>
      </c>
      <c r="K43" s="233">
        <v>45.87</v>
      </c>
      <c r="L43" s="39"/>
    </row>
    <row r="44" spans="1:12">
      <c r="A44" s="127" t="s">
        <v>669</v>
      </c>
      <c r="B44" s="39">
        <f t="shared" si="14"/>
        <v>41.546999999999997</v>
      </c>
      <c r="C44" s="228">
        <v>541.625</v>
      </c>
      <c r="D44" s="228">
        <v>0.121953075174</v>
      </c>
      <c r="E44" s="39">
        <f>SUM(B44:D44)</f>
        <v>583.29395307517404</v>
      </c>
      <c r="F44" s="39"/>
      <c r="G44" s="39">
        <f>+I44-H44</f>
        <v>435.17942153772003</v>
      </c>
      <c r="H44" s="228">
        <v>103.98553153745401</v>
      </c>
      <c r="I44" s="39">
        <f t="shared" si="15"/>
        <v>539.16495307517403</v>
      </c>
      <c r="J44" s="228">
        <v>44.128999999999998</v>
      </c>
      <c r="K44" s="233">
        <v>40.923958333333339</v>
      </c>
      <c r="L44" s="39"/>
    </row>
    <row r="45" spans="1:12">
      <c r="A45" s="150" t="s">
        <v>667</v>
      </c>
      <c r="B45" s="40">
        <f t="shared" si="14"/>
        <v>44.128999999999998</v>
      </c>
      <c r="C45" s="226">
        <v>595</v>
      </c>
      <c r="D45" s="226">
        <v>5</v>
      </c>
      <c r="E45" s="40">
        <f>SUM(B45:D45)</f>
        <v>644.12900000000002</v>
      </c>
      <c r="F45" s="40"/>
      <c r="G45" s="40">
        <f>+I45-H45</f>
        <v>504.12900000000002</v>
      </c>
      <c r="H45" s="226">
        <v>90</v>
      </c>
      <c r="I45" s="40">
        <f t="shared" si="15"/>
        <v>594.12900000000002</v>
      </c>
      <c r="J45" s="226">
        <v>50</v>
      </c>
      <c r="K45" s="353" t="s">
        <v>739</v>
      </c>
      <c r="L45" s="39"/>
    </row>
    <row r="46" spans="1:12" ht="12" customHeight="1">
      <c r="A46" s="117" t="s">
        <v>775</v>
      </c>
    </row>
    <row r="47" spans="1:12" ht="12" customHeight="1">
      <c r="A47" s="117" t="s">
        <v>626</v>
      </c>
    </row>
    <row r="48" spans="1:12" ht="10.25" customHeight="1">
      <c r="A48" t="s">
        <v>627</v>
      </c>
      <c r="K48" s="304" t="s">
        <v>679</v>
      </c>
    </row>
  </sheetData>
  <phoneticPr fontId="0" type="noConversion"/>
  <pageMargins left="0.7" right="0.7" top="0.75" bottom="0.75" header="0.3" footer="0.3"/>
  <pageSetup scale="89" firstPageNumber="47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N47"/>
  <sheetViews>
    <sheetView zoomScaleNormal="100" zoomScaleSheetLayoutView="100" workbookViewId="0"/>
  </sheetViews>
  <sheetFormatPr baseColWidth="10" defaultColWidth="11.75" defaultRowHeight="11"/>
  <cols>
    <col min="1" max="1" width="7.75" customWidth="1"/>
    <col min="2" max="13" width="9.75" customWidth="1"/>
    <col min="14" max="14" width="9.75" style="29" customWidth="1"/>
  </cols>
  <sheetData>
    <row r="1" spans="1:14">
      <c r="A1" s="150" t="s">
        <v>705</v>
      </c>
      <c r="B1" s="50"/>
      <c r="C1" s="50"/>
      <c r="D1" s="50"/>
      <c r="E1" s="50"/>
      <c r="F1" s="50"/>
      <c r="G1" s="50"/>
      <c r="H1" s="50"/>
      <c r="I1" s="50"/>
      <c r="J1" s="1"/>
      <c r="K1" s="1"/>
      <c r="L1" s="1"/>
      <c r="M1" s="1"/>
      <c r="N1" s="30"/>
    </row>
    <row r="2" spans="1:14">
      <c r="A2" s="50"/>
      <c r="B2" s="314"/>
      <c r="C2" s="334" t="s">
        <v>431</v>
      </c>
      <c r="D2" s="316"/>
      <c r="E2" s="316"/>
      <c r="F2" s="314"/>
      <c r="G2" s="333" t="s">
        <v>432</v>
      </c>
      <c r="H2" s="316"/>
      <c r="I2" s="316"/>
      <c r="K2" s="306"/>
      <c r="L2" s="306" t="s">
        <v>433</v>
      </c>
      <c r="M2" s="308"/>
      <c r="N2" s="308"/>
    </row>
    <row r="3" spans="1:14" ht="12.5" customHeight="1">
      <c r="A3" s="4" t="s">
        <v>20</v>
      </c>
      <c r="B3" s="4" t="s">
        <v>62</v>
      </c>
      <c r="C3" s="4" t="s">
        <v>63</v>
      </c>
      <c r="D3" s="4" t="s">
        <v>64</v>
      </c>
      <c r="E3" s="4" t="s">
        <v>66</v>
      </c>
      <c r="F3" s="4" t="s">
        <v>62</v>
      </c>
      <c r="G3" s="4" t="s">
        <v>63</v>
      </c>
      <c r="H3" s="4" t="s">
        <v>64</v>
      </c>
      <c r="I3" s="4" t="s">
        <v>66</v>
      </c>
      <c r="J3" s="4" t="s">
        <v>62</v>
      </c>
      <c r="K3" s="4" t="s">
        <v>63</v>
      </c>
      <c r="L3" s="4" t="s">
        <v>64</v>
      </c>
      <c r="M3" s="4" t="s">
        <v>66</v>
      </c>
      <c r="N3" s="139" t="s">
        <v>67</v>
      </c>
    </row>
    <row r="4" spans="1:14" ht="11.75" customHeight="1">
      <c r="B4" s="350" t="s">
        <v>259</v>
      </c>
      <c r="C4" s="350"/>
      <c r="D4" s="116" t="s">
        <v>523</v>
      </c>
      <c r="E4" s="116" t="s">
        <v>522</v>
      </c>
      <c r="F4" s="350" t="s">
        <v>259</v>
      </c>
      <c r="G4" s="350"/>
      <c r="H4" s="116" t="s">
        <v>523</v>
      </c>
      <c r="I4" s="116" t="s">
        <v>522</v>
      </c>
      <c r="J4" s="350" t="s">
        <v>259</v>
      </c>
      <c r="K4" s="312"/>
      <c r="L4" s="116" t="s">
        <v>434</v>
      </c>
      <c r="M4" s="116" t="s">
        <v>522</v>
      </c>
      <c r="N4" s="140" t="s">
        <v>435</v>
      </c>
    </row>
    <row r="5" spans="1:14" ht="11.75" customHeight="1">
      <c r="B5" s="172"/>
      <c r="C5" s="172"/>
      <c r="D5" s="116"/>
      <c r="E5" s="116"/>
      <c r="F5" s="172"/>
      <c r="G5" s="172"/>
      <c r="H5" s="116"/>
      <c r="I5" s="116"/>
      <c r="J5" s="38"/>
      <c r="K5" s="38"/>
      <c r="L5" s="116"/>
      <c r="M5" s="116"/>
      <c r="N5" s="140"/>
    </row>
    <row r="6" spans="1:14">
      <c r="A6" s="10">
        <v>1980</v>
      </c>
      <c r="B6" s="104">
        <v>3649</v>
      </c>
      <c r="C6" s="104">
        <v>3442</v>
      </c>
      <c r="D6" s="104">
        <f>+E6*1000/C6</f>
        <v>1019.3811737361999</v>
      </c>
      <c r="E6" s="104">
        <v>3508.71</v>
      </c>
      <c r="F6" s="104">
        <v>261</v>
      </c>
      <c r="G6" s="104">
        <v>241</v>
      </c>
      <c r="H6" s="104">
        <f>+I6*1000/G6</f>
        <v>966.51452282157675</v>
      </c>
      <c r="I6" s="104">
        <v>232.93</v>
      </c>
      <c r="J6" s="104">
        <f>+B6+F6</f>
        <v>3910</v>
      </c>
      <c r="K6" s="104">
        <f>+C6+G6</f>
        <v>3683</v>
      </c>
      <c r="L6" s="104">
        <f>+M6*1000/K6</f>
        <v>1015.9218028780886</v>
      </c>
      <c r="M6" s="104">
        <f>+E6+I6</f>
        <v>3741.64</v>
      </c>
      <c r="N6" s="138">
        <v>413907</v>
      </c>
    </row>
    <row r="7" spans="1:14">
      <c r="A7" s="10">
        <v>1981</v>
      </c>
      <c r="B7" s="104">
        <v>3545</v>
      </c>
      <c r="C7" s="104">
        <v>3496</v>
      </c>
      <c r="D7" s="104">
        <f t="shared" ref="D7:D29" si="0">+E7*1000/C7</f>
        <v>1178.0806636155605</v>
      </c>
      <c r="E7" s="104">
        <v>4118.57</v>
      </c>
      <c r="F7" s="104">
        <v>320</v>
      </c>
      <c r="G7" s="104">
        <v>315</v>
      </c>
      <c r="H7" s="104">
        <f t="shared" ref="H7:H29" si="1">+I7*1000/G7</f>
        <v>1170.9206349206349</v>
      </c>
      <c r="I7" s="104">
        <v>368.84</v>
      </c>
      <c r="J7" s="104">
        <f t="shared" ref="J7:J42" si="2">+B7+F7</f>
        <v>3865</v>
      </c>
      <c r="K7" s="104">
        <f t="shared" ref="K7:K30" si="3">+C7+G7</f>
        <v>3811</v>
      </c>
      <c r="L7" s="104">
        <f t="shared" ref="L7:L29" si="4">+M7*1000/K7</f>
        <v>1177.4888480713723</v>
      </c>
      <c r="M7" s="104">
        <f t="shared" ref="M7:M30" si="5">+E7+I7</f>
        <v>4487.41</v>
      </c>
      <c r="N7" s="138">
        <v>485358</v>
      </c>
    </row>
    <row r="8" spans="1:14">
      <c r="A8" s="10">
        <v>1982</v>
      </c>
      <c r="B8" s="104">
        <v>4566</v>
      </c>
      <c r="C8" s="104">
        <v>4479</v>
      </c>
      <c r="D8" s="104">
        <f t="shared" si="0"/>
        <v>1126.4545657512838</v>
      </c>
      <c r="E8" s="104">
        <v>5045.3900000000003</v>
      </c>
      <c r="F8" s="104">
        <v>249</v>
      </c>
      <c r="G8" s="104">
        <v>245</v>
      </c>
      <c r="H8" s="104">
        <f t="shared" si="1"/>
        <v>1173.1836734693877</v>
      </c>
      <c r="I8" s="104">
        <v>287.43</v>
      </c>
      <c r="J8" s="104">
        <f t="shared" si="2"/>
        <v>4815</v>
      </c>
      <c r="K8" s="104">
        <f t="shared" si="3"/>
        <v>4724</v>
      </c>
      <c r="L8" s="104">
        <f t="shared" si="4"/>
        <v>1128.8780694326845</v>
      </c>
      <c r="M8" s="104">
        <f t="shared" si="5"/>
        <v>5332.8200000000006</v>
      </c>
      <c r="N8" s="138">
        <v>473454</v>
      </c>
    </row>
    <row r="9" spans="1:14">
      <c r="A9" s="10">
        <v>1983</v>
      </c>
      <c r="B9" s="104">
        <v>2954</v>
      </c>
      <c r="C9" s="104">
        <v>2909</v>
      </c>
      <c r="D9" s="104">
        <f t="shared" si="0"/>
        <v>1040.8559642488829</v>
      </c>
      <c r="E9" s="104">
        <v>3027.85</v>
      </c>
      <c r="F9" s="104">
        <v>156</v>
      </c>
      <c r="G9" s="104">
        <v>154</v>
      </c>
      <c r="H9" s="104">
        <f t="shared" si="1"/>
        <v>1108.1168831168832</v>
      </c>
      <c r="I9" s="104">
        <v>170.65</v>
      </c>
      <c r="J9" s="104">
        <f t="shared" si="2"/>
        <v>3110</v>
      </c>
      <c r="K9" s="104">
        <f t="shared" si="3"/>
        <v>3063</v>
      </c>
      <c r="L9" s="104">
        <f t="shared" si="4"/>
        <v>1044.2376754815541</v>
      </c>
      <c r="M9" s="104">
        <f t="shared" si="5"/>
        <v>3198.5</v>
      </c>
      <c r="N9" s="138">
        <v>418764</v>
      </c>
    </row>
    <row r="10" spans="1:14">
      <c r="A10" s="10">
        <v>1984</v>
      </c>
      <c r="B10" s="104">
        <v>3517</v>
      </c>
      <c r="C10" s="104">
        <v>3460</v>
      </c>
      <c r="D10" s="104">
        <f t="shared" si="0"/>
        <v>1011.3872832369942</v>
      </c>
      <c r="E10" s="104">
        <v>3499.4</v>
      </c>
      <c r="F10" s="104">
        <v>237</v>
      </c>
      <c r="G10" s="104">
        <v>232</v>
      </c>
      <c r="H10" s="104">
        <f t="shared" si="1"/>
        <v>1056.594827586207</v>
      </c>
      <c r="I10" s="104">
        <v>245.13</v>
      </c>
      <c r="J10" s="104">
        <f t="shared" si="2"/>
        <v>3754</v>
      </c>
      <c r="K10" s="104">
        <f t="shared" si="3"/>
        <v>3692</v>
      </c>
      <c r="L10" s="104">
        <f t="shared" si="4"/>
        <v>1014.2280606717227</v>
      </c>
      <c r="M10" s="104">
        <f t="shared" si="5"/>
        <v>3744.53</v>
      </c>
      <c r="N10" s="138">
        <v>415584</v>
      </c>
    </row>
    <row r="11" spans="1:14">
      <c r="A11" s="10">
        <v>1985</v>
      </c>
      <c r="B11" s="104">
        <v>2807</v>
      </c>
      <c r="C11" s="104">
        <v>2608</v>
      </c>
      <c r="D11" s="104">
        <f t="shared" si="0"/>
        <v>1099.6625766871166</v>
      </c>
      <c r="E11" s="104">
        <v>2867.92</v>
      </c>
      <c r="F11" s="104">
        <v>248</v>
      </c>
      <c r="G11" s="104">
        <v>236</v>
      </c>
      <c r="H11" s="104">
        <f t="shared" si="1"/>
        <v>1208.050847457627</v>
      </c>
      <c r="I11" s="104">
        <v>285.10000000000002</v>
      </c>
      <c r="J11" s="104">
        <f t="shared" si="2"/>
        <v>3055</v>
      </c>
      <c r="K11" s="104">
        <f t="shared" si="3"/>
        <v>2844</v>
      </c>
      <c r="L11" s="104">
        <f t="shared" si="4"/>
        <v>1108.6568213783403</v>
      </c>
      <c r="M11" s="104">
        <f t="shared" si="5"/>
        <v>3153.02</v>
      </c>
      <c r="N11" s="138">
        <v>251505</v>
      </c>
    </row>
    <row r="12" spans="1:14">
      <c r="A12" s="10">
        <v>1986</v>
      </c>
      <c r="B12" s="104">
        <v>1777</v>
      </c>
      <c r="C12" s="104">
        <v>1716</v>
      </c>
      <c r="D12" s="104">
        <f t="shared" si="0"/>
        <v>1366.6142191142192</v>
      </c>
      <c r="E12" s="104">
        <v>2345.11</v>
      </c>
      <c r="F12" s="104">
        <v>248</v>
      </c>
      <c r="G12" s="104">
        <v>239</v>
      </c>
      <c r="H12" s="104">
        <f t="shared" si="1"/>
        <v>1383.4309623430963</v>
      </c>
      <c r="I12" s="104">
        <v>330.64</v>
      </c>
      <c r="J12" s="104">
        <f t="shared" si="2"/>
        <v>2025</v>
      </c>
      <c r="K12" s="104">
        <f t="shared" si="3"/>
        <v>1955</v>
      </c>
      <c r="L12" s="104">
        <f t="shared" si="4"/>
        <v>1368.6700767263428</v>
      </c>
      <c r="M12" s="104">
        <f t="shared" si="5"/>
        <v>2675.75</v>
      </c>
      <c r="N12" s="138">
        <v>185119</v>
      </c>
    </row>
    <row r="13" spans="1:14">
      <c r="A13" s="10">
        <v>1987</v>
      </c>
      <c r="B13" s="104">
        <v>1587</v>
      </c>
      <c r="C13" s="104">
        <v>1563</v>
      </c>
      <c r="D13" s="104">
        <f t="shared" si="0"/>
        <v>1472.9686500319897</v>
      </c>
      <c r="E13" s="104">
        <v>2302.25</v>
      </c>
      <c r="F13" s="104">
        <v>218</v>
      </c>
      <c r="G13" s="104">
        <v>212</v>
      </c>
      <c r="H13" s="104">
        <f t="shared" si="1"/>
        <v>1442.9245283018868</v>
      </c>
      <c r="I13" s="104">
        <v>305.89999999999998</v>
      </c>
      <c r="J13" s="104">
        <f t="shared" si="2"/>
        <v>1805</v>
      </c>
      <c r="K13" s="104">
        <f t="shared" si="3"/>
        <v>1775</v>
      </c>
      <c r="L13" s="104">
        <f t="shared" si="4"/>
        <v>1469.3802816901409</v>
      </c>
      <c r="M13" s="104">
        <f t="shared" si="5"/>
        <v>2608.15</v>
      </c>
      <c r="N13" s="138">
        <v>217618</v>
      </c>
    </row>
    <row r="14" spans="1:14">
      <c r="A14" s="10">
        <v>1988</v>
      </c>
      <c r="B14" s="104">
        <v>1733</v>
      </c>
      <c r="C14" s="104">
        <v>1630</v>
      </c>
      <c r="D14" s="104">
        <f t="shared" si="0"/>
        <v>921.01226993865032</v>
      </c>
      <c r="E14" s="104">
        <v>1501.25</v>
      </c>
      <c r="F14" s="104">
        <v>305</v>
      </c>
      <c r="G14" s="104">
        <v>291</v>
      </c>
      <c r="H14" s="104">
        <f t="shared" si="1"/>
        <v>999.45017182130584</v>
      </c>
      <c r="I14" s="104">
        <v>290.83999999999997</v>
      </c>
      <c r="J14" s="104">
        <f t="shared" si="2"/>
        <v>2038</v>
      </c>
      <c r="K14" s="104">
        <f t="shared" si="3"/>
        <v>1921</v>
      </c>
      <c r="L14" s="104">
        <f t="shared" si="4"/>
        <v>932.89432587194165</v>
      </c>
      <c r="M14" s="104">
        <f t="shared" si="5"/>
        <v>1792.09</v>
      </c>
      <c r="N14" s="138">
        <v>208875</v>
      </c>
    </row>
    <row r="15" spans="1:14">
      <c r="A15" s="10">
        <v>1989</v>
      </c>
      <c r="B15" s="104">
        <v>1411</v>
      </c>
      <c r="C15" s="104">
        <v>1373</v>
      </c>
      <c r="D15" s="104">
        <f t="shared" si="0"/>
        <v>987.83685360524396</v>
      </c>
      <c r="E15" s="104">
        <v>1356.3</v>
      </c>
      <c r="F15" s="104">
        <v>429</v>
      </c>
      <c r="G15" s="104">
        <v>413</v>
      </c>
      <c r="H15" s="104">
        <f t="shared" si="1"/>
        <v>976.90072639225184</v>
      </c>
      <c r="I15" s="104">
        <v>403.46</v>
      </c>
      <c r="J15" s="104">
        <f t="shared" si="2"/>
        <v>1840</v>
      </c>
      <c r="K15" s="104">
        <f t="shared" si="3"/>
        <v>1786</v>
      </c>
      <c r="L15" s="104">
        <f t="shared" si="4"/>
        <v>985.30795072788351</v>
      </c>
      <c r="M15" s="104">
        <f t="shared" si="5"/>
        <v>1759.76</v>
      </c>
      <c r="N15" s="138">
        <v>190452</v>
      </c>
    </row>
    <row r="16" spans="1:14">
      <c r="A16" s="10">
        <v>1990</v>
      </c>
      <c r="B16" s="291">
        <v>1390</v>
      </c>
      <c r="C16" s="104">
        <v>1343</v>
      </c>
      <c r="D16" s="104">
        <f t="shared" si="0"/>
        <v>1205.1005212211467</v>
      </c>
      <c r="E16" s="104">
        <v>1618.45</v>
      </c>
      <c r="F16" s="104">
        <v>515</v>
      </c>
      <c r="G16" s="104">
        <v>508</v>
      </c>
      <c r="H16" s="104">
        <f t="shared" si="1"/>
        <v>1291.25</v>
      </c>
      <c r="I16" s="104">
        <v>655.95500000000004</v>
      </c>
      <c r="J16" s="104">
        <f t="shared" si="2"/>
        <v>1905</v>
      </c>
      <c r="K16" s="104">
        <f t="shared" si="3"/>
        <v>1851</v>
      </c>
      <c r="L16" s="104">
        <f t="shared" si="4"/>
        <v>1228.743922204214</v>
      </c>
      <c r="M16" s="104">
        <f t="shared" si="5"/>
        <v>2274.4050000000002</v>
      </c>
      <c r="N16" s="138">
        <v>245754</v>
      </c>
    </row>
    <row r="17" spans="1:14">
      <c r="A17" s="10">
        <v>1991</v>
      </c>
      <c r="B17" s="104">
        <v>2294</v>
      </c>
      <c r="C17" s="104">
        <v>2232</v>
      </c>
      <c r="D17" s="104">
        <f t="shared" si="0"/>
        <v>1356.5188172043011</v>
      </c>
      <c r="E17" s="104">
        <v>3027.75</v>
      </c>
      <c r="F17" s="104">
        <v>463</v>
      </c>
      <c r="G17" s="104">
        <v>441</v>
      </c>
      <c r="H17" s="104">
        <f t="shared" si="1"/>
        <v>1327.1655328798186</v>
      </c>
      <c r="I17" s="104">
        <v>585.28</v>
      </c>
      <c r="J17" s="104">
        <f t="shared" si="2"/>
        <v>2757</v>
      </c>
      <c r="K17" s="104">
        <f t="shared" si="3"/>
        <v>2673</v>
      </c>
      <c r="L17" s="104">
        <f t="shared" si="4"/>
        <v>1351.6760194537972</v>
      </c>
      <c r="M17" s="104">
        <f t="shared" si="5"/>
        <v>3613.0299999999997</v>
      </c>
      <c r="N17" s="138">
        <v>316847</v>
      </c>
    </row>
    <row r="18" spans="1:14">
      <c r="A18" s="10">
        <v>1992</v>
      </c>
      <c r="B18" s="104">
        <v>1899</v>
      </c>
      <c r="C18" s="104">
        <v>1790</v>
      </c>
      <c r="D18" s="104">
        <f t="shared" si="0"/>
        <v>1249.1620111731843</v>
      </c>
      <c r="E18" s="104">
        <v>2236</v>
      </c>
      <c r="F18" s="104">
        <v>288</v>
      </c>
      <c r="G18" s="104">
        <v>253</v>
      </c>
      <c r="H18" s="104">
        <f t="shared" si="1"/>
        <v>1300.3359683794467</v>
      </c>
      <c r="I18" s="104">
        <v>328.98500000000001</v>
      </c>
      <c r="J18" s="104">
        <f t="shared" si="2"/>
        <v>2187</v>
      </c>
      <c r="K18" s="104">
        <f t="shared" si="3"/>
        <v>2043</v>
      </c>
      <c r="L18" s="104">
        <f t="shared" si="4"/>
        <v>1255.4992657856094</v>
      </c>
      <c r="M18" s="104">
        <f t="shared" si="5"/>
        <v>2564.9850000000001</v>
      </c>
      <c r="N18" s="138">
        <v>250748</v>
      </c>
    </row>
    <row r="19" spans="1:14">
      <c r="A19" s="10">
        <v>1993</v>
      </c>
      <c r="B19" s="104">
        <v>2297</v>
      </c>
      <c r="C19" s="104">
        <v>2074</v>
      </c>
      <c r="D19" s="104">
        <f t="shared" si="0"/>
        <v>1041.5949855351978</v>
      </c>
      <c r="E19" s="104">
        <v>2160.268</v>
      </c>
      <c r="F19" s="104">
        <v>460</v>
      </c>
      <c r="G19" s="104">
        <v>412</v>
      </c>
      <c r="H19" s="104">
        <f t="shared" si="1"/>
        <v>999.502427184466</v>
      </c>
      <c r="I19" s="104">
        <v>411.79500000000002</v>
      </c>
      <c r="J19" s="104">
        <f t="shared" si="2"/>
        <v>2757</v>
      </c>
      <c r="K19" s="104">
        <f t="shared" si="3"/>
        <v>2486</v>
      </c>
      <c r="L19" s="104">
        <f t="shared" si="4"/>
        <v>1034.619066773934</v>
      </c>
      <c r="M19" s="104">
        <f t="shared" si="5"/>
        <v>2572.0630000000001</v>
      </c>
      <c r="N19" s="138">
        <v>326435</v>
      </c>
    </row>
    <row r="20" spans="1:14">
      <c r="A20" s="10">
        <v>1994</v>
      </c>
      <c r="B20" s="104">
        <v>3041</v>
      </c>
      <c r="C20" s="104">
        <v>2943</v>
      </c>
      <c r="D20" s="104">
        <f t="shared" si="0"/>
        <v>1435.0917431192661</v>
      </c>
      <c r="E20" s="104">
        <v>4223.4750000000004</v>
      </c>
      <c r="F20" s="104">
        <v>526</v>
      </c>
      <c r="G20" s="104">
        <v>487</v>
      </c>
      <c r="H20" s="104">
        <f t="shared" si="1"/>
        <v>1257.3921971252566</v>
      </c>
      <c r="I20" s="104">
        <v>612.35</v>
      </c>
      <c r="J20" s="104">
        <f t="shared" si="2"/>
        <v>3567</v>
      </c>
      <c r="K20" s="104">
        <f t="shared" si="3"/>
        <v>3430</v>
      </c>
      <c r="L20" s="104">
        <f t="shared" si="4"/>
        <v>1409.8615160349857</v>
      </c>
      <c r="M20" s="104">
        <f t="shared" si="5"/>
        <v>4835.8250000000007</v>
      </c>
      <c r="N20" s="138">
        <v>512791</v>
      </c>
    </row>
    <row r="21" spans="1:14">
      <c r="A21" s="10">
        <v>1995</v>
      </c>
      <c r="B21" s="104">
        <v>2911</v>
      </c>
      <c r="C21" s="104">
        <v>2829</v>
      </c>
      <c r="D21" s="104">
        <f t="shared" si="0"/>
        <v>1201.2856132909155</v>
      </c>
      <c r="E21" s="104">
        <v>3398.4369999999999</v>
      </c>
      <c r="F21" s="104">
        <v>567</v>
      </c>
      <c r="G21" s="104">
        <v>539</v>
      </c>
      <c r="H21" s="104">
        <f t="shared" si="1"/>
        <v>1133.3858998144713</v>
      </c>
      <c r="I21" s="104">
        <v>610.89499999999998</v>
      </c>
      <c r="J21" s="104">
        <f t="shared" si="2"/>
        <v>3478</v>
      </c>
      <c r="K21" s="104">
        <f t="shared" si="3"/>
        <v>3368</v>
      </c>
      <c r="L21" s="104">
        <f t="shared" si="4"/>
        <v>1190.4192399049882</v>
      </c>
      <c r="M21" s="104">
        <f t="shared" si="5"/>
        <v>4009.3319999999999</v>
      </c>
      <c r="N21" s="138">
        <v>457575</v>
      </c>
    </row>
    <row r="22" spans="1:14">
      <c r="A22" s="10">
        <v>1996</v>
      </c>
      <c r="B22" s="104">
        <v>1967</v>
      </c>
      <c r="C22" s="104">
        <v>1934</v>
      </c>
      <c r="D22" s="104">
        <f t="shared" si="0"/>
        <v>1470.404860392968</v>
      </c>
      <c r="E22" s="104">
        <v>2843.7629999999999</v>
      </c>
      <c r="F22" s="104">
        <v>569</v>
      </c>
      <c r="G22" s="104">
        <v>545</v>
      </c>
      <c r="H22" s="104">
        <f t="shared" si="1"/>
        <v>1312.9908256880733</v>
      </c>
      <c r="I22" s="104">
        <v>715.58</v>
      </c>
      <c r="J22" s="104">
        <f t="shared" si="2"/>
        <v>2536</v>
      </c>
      <c r="K22" s="104">
        <f t="shared" si="3"/>
        <v>2479</v>
      </c>
      <c r="L22" s="104">
        <f t="shared" si="4"/>
        <v>1435.7979023799919</v>
      </c>
      <c r="M22" s="104">
        <f t="shared" si="5"/>
        <v>3559.3429999999998</v>
      </c>
      <c r="N22" s="138">
        <v>417910</v>
      </c>
    </row>
    <row r="23" spans="1:14">
      <c r="A23" s="10">
        <v>1997</v>
      </c>
      <c r="B23" s="104">
        <v>2284</v>
      </c>
      <c r="C23" s="104">
        <v>2212</v>
      </c>
      <c r="D23" s="104">
        <f t="shared" si="0"/>
        <v>1349.7739602169981</v>
      </c>
      <c r="E23" s="104">
        <v>2985.7</v>
      </c>
      <c r="F23" s="104">
        <v>604</v>
      </c>
      <c r="G23" s="104">
        <v>580</v>
      </c>
      <c r="H23" s="104">
        <f t="shared" si="1"/>
        <v>1191.8137931034482</v>
      </c>
      <c r="I23" s="104">
        <v>691.25199999999995</v>
      </c>
      <c r="J23" s="104">
        <f t="shared" si="2"/>
        <v>2888</v>
      </c>
      <c r="K23" s="104">
        <f t="shared" si="3"/>
        <v>2792</v>
      </c>
      <c r="L23" s="104">
        <f t="shared" si="4"/>
        <v>1316.9598853868195</v>
      </c>
      <c r="M23" s="104">
        <f t="shared" si="5"/>
        <v>3676.9519999999998</v>
      </c>
      <c r="N23" s="138">
        <v>426766</v>
      </c>
    </row>
    <row r="24" spans="1:14">
      <c r="A24" s="10">
        <v>1998</v>
      </c>
      <c r="B24" s="104">
        <v>2953</v>
      </c>
      <c r="C24" s="104">
        <v>2897</v>
      </c>
      <c r="D24" s="104">
        <f t="shared" si="0"/>
        <v>1548.6227131515361</v>
      </c>
      <c r="E24" s="104">
        <v>4486.3599999999997</v>
      </c>
      <c r="F24" s="104">
        <v>615</v>
      </c>
      <c r="G24" s="104">
        <v>595</v>
      </c>
      <c r="H24" s="104">
        <f t="shared" si="1"/>
        <v>1322.3563025210085</v>
      </c>
      <c r="I24" s="104">
        <v>786.80200000000002</v>
      </c>
      <c r="J24" s="104">
        <f t="shared" si="2"/>
        <v>3568</v>
      </c>
      <c r="K24" s="104">
        <f t="shared" si="3"/>
        <v>3492</v>
      </c>
      <c r="L24" s="104">
        <f t="shared" si="4"/>
        <v>1510.0693012600227</v>
      </c>
      <c r="M24" s="104">
        <f t="shared" si="5"/>
        <v>5273.1619999999994</v>
      </c>
      <c r="N24" s="138">
        <v>536971</v>
      </c>
    </row>
    <row r="25" spans="1:14">
      <c r="A25" s="10">
        <v>1999</v>
      </c>
      <c r="B25" s="104">
        <v>2757</v>
      </c>
      <c r="C25" s="104">
        <v>2695</v>
      </c>
      <c r="D25" s="104">
        <f t="shared" si="0"/>
        <v>1297.8923933209649</v>
      </c>
      <c r="E25" s="104">
        <v>3497.82</v>
      </c>
      <c r="F25" s="104">
        <v>796</v>
      </c>
      <c r="G25" s="104">
        <v>746</v>
      </c>
      <c r="H25" s="104">
        <f t="shared" si="1"/>
        <v>1131.4235924932975</v>
      </c>
      <c r="I25" s="104">
        <v>844.04200000000003</v>
      </c>
      <c r="J25" s="104">
        <f t="shared" si="2"/>
        <v>3553</v>
      </c>
      <c r="K25" s="104">
        <f t="shared" si="3"/>
        <v>3441</v>
      </c>
      <c r="L25" s="104">
        <f t="shared" si="4"/>
        <v>1261.8023830281895</v>
      </c>
      <c r="M25" s="104">
        <f t="shared" si="5"/>
        <v>4341.8620000000001</v>
      </c>
      <c r="N25" s="138">
        <v>339993</v>
      </c>
    </row>
    <row r="26" spans="1:14">
      <c r="A26" s="10">
        <v>2000</v>
      </c>
      <c r="B26" s="104">
        <v>2248</v>
      </c>
      <c r="C26" s="104">
        <v>2116</v>
      </c>
      <c r="D26" s="104">
        <f t="shared" si="0"/>
        <v>1375.1625708884687</v>
      </c>
      <c r="E26" s="104">
        <v>2909.8440000000001</v>
      </c>
      <c r="F26" s="104">
        <v>592</v>
      </c>
      <c r="G26" s="104">
        <v>531</v>
      </c>
      <c r="H26" s="104">
        <f t="shared" si="1"/>
        <v>1195.0734463276835</v>
      </c>
      <c r="I26" s="104">
        <v>634.58399999999995</v>
      </c>
      <c r="J26" s="104">
        <f t="shared" si="2"/>
        <v>2840</v>
      </c>
      <c r="K26" s="104">
        <f t="shared" si="3"/>
        <v>2647</v>
      </c>
      <c r="L26" s="104">
        <f t="shared" si="4"/>
        <v>1339.0358896864375</v>
      </c>
      <c r="M26" s="104">
        <f t="shared" si="5"/>
        <v>3544.4279999999999</v>
      </c>
      <c r="N26" s="138">
        <v>246869</v>
      </c>
    </row>
    <row r="27" spans="1:14">
      <c r="A27" s="10">
        <v>2001</v>
      </c>
      <c r="B27" s="104">
        <v>2117</v>
      </c>
      <c r="C27" s="104">
        <v>2060</v>
      </c>
      <c r="D27" s="104">
        <f t="shared" si="0"/>
        <v>1361.021359223301</v>
      </c>
      <c r="E27" s="104">
        <v>2803.7040000000002</v>
      </c>
      <c r="F27" s="104">
        <v>516</v>
      </c>
      <c r="G27" s="104">
        <v>495</v>
      </c>
      <c r="H27" s="104">
        <f t="shared" si="1"/>
        <v>1242.5353535353536</v>
      </c>
      <c r="I27" s="104">
        <v>615.05499999999995</v>
      </c>
      <c r="J27" s="104">
        <f t="shared" si="2"/>
        <v>2633</v>
      </c>
      <c r="K27" s="104">
        <f t="shared" si="3"/>
        <v>2555</v>
      </c>
      <c r="L27" s="104">
        <f t="shared" si="4"/>
        <v>1338.06614481409</v>
      </c>
      <c r="M27" s="104">
        <f t="shared" si="5"/>
        <v>3418.759</v>
      </c>
      <c r="N27" s="138">
        <v>325950</v>
      </c>
    </row>
    <row r="28" spans="1:14">
      <c r="A28" s="71">
        <v>2002</v>
      </c>
      <c r="B28" s="104">
        <v>2126</v>
      </c>
      <c r="C28" s="104">
        <v>1806</v>
      </c>
      <c r="D28" s="104">
        <f t="shared" si="0"/>
        <v>1143.9086378737541</v>
      </c>
      <c r="E28" s="104">
        <v>2065.8989999999999</v>
      </c>
      <c r="F28" s="104">
        <v>455</v>
      </c>
      <c r="G28" s="104">
        <v>361</v>
      </c>
      <c r="H28" s="104">
        <f t="shared" si="1"/>
        <v>1067.4459833795013</v>
      </c>
      <c r="I28" s="104">
        <v>385.34800000000001</v>
      </c>
      <c r="J28" s="104">
        <f t="shared" si="2"/>
        <v>2581</v>
      </c>
      <c r="K28" s="104">
        <f t="shared" si="3"/>
        <v>2167</v>
      </c>
      <c r="L28" s="104">
        <f t="shared" si="4"/>
        <v>1131.170742962621</v>
      </c>
      <c r="M28" s="104">
        <f t="shared" si="5"/>
        <v>2451.2469999999998</v>
      </c>
      <c r="N28" s="138">
        <v>294595</v>
      </c>
    </row>
    <row r="29" spans="1:14">
      <c r="A29" s="71">
        <v>2003</v>
      </c>
      <c r="B29" s="104">
        <v>1998</v>
      </c>
      <c r="C29" s="104">
        <v>1874</v>
      </c>
      <c r="D29" s="104">
        <f t="shared" si="0"/>
        <v>1205.7982924226253</v>
      </c>
      <c r="E29" s="104">
        <v>2259.6660000000002</v>
      </c>
      <c r="F29" s="104">
        <v>346</v>
      </c>
      <c r="G29" s="104">
        <v>323</v>
      </c>
      <c r="H29" s="104">
        <f t="shared" si="1"/>
        <v>1255.6037151702787</v>
      </c>
      <c r="I29" s="104">
        <v>405.56</v>
      </c>
      <c r="J29" s="104">
        <f t="shared" si="2"/>
        <v>2344</v>
      </c>
      <c r="K29" s="104">
        <f t="shared" si="3"/>
        <v>2197</v>
      </c>
      <c r="L29" s="104">
        <f t="shared" si="4"/>
        <v>1213.1206190259445</v>
      </c>
      <c r="M29" s="104">
        <f t="shared" si="5"/>
        <v>2665.2260000000001</v>
      </c>
      <c r="N29" s="138">
        <v>316214</v>
      </c>
    </row>
    <row r="30" spans="1:14">
      <c r="A30" s="71">
        <v>2004</v>
      </c>
      <c r="B30" s="104">
        <v>1533</v>
      </c>
      <c r="C30" s="104">
        <v>1424</v>
      </c>
      <c r="D30" s="104">
        <f t="shared" ref="D30:D35" si="6">+E30*1000/C30</f>
        <v>1238.3272471910113</v>
      </c>
      <c r="E30" s="104">
        <v>1763.3779999999999</v>
      </c>
      <c r="F30" s="104">
        <v>340</v>
      </c>
      <c r="G30" s="104">
        <v>287</v>
      </c>
      <c r="H30" s="104">
        <f t="shared" ref="H30:H35" si="7">+I30*1000/G30</f>
        <v>997.33449477351917</v>
      </c>
      <c r="I30" s="104">
        <v>286.23500000000001</v>
      </c>
      <c r="J30" s="104">
        <f t="shared" si="2"/>
        <v>1873</v>
      </c>
      <c r="K30" s="104">
        <f t="shared" si="3"/>
        <v>1711</v>
      </c>
      <c r="L30" s="104">
        <f t="shared" ref="L30:L35" si="8">+M30*1000/K30</f>
        <v>1197.903565166569</v>
      </c>
      <c r="M30" s="104">
        <f t="shared" si="5"/>
        <v>2049.6129999999998</v>
      </c>
      <c r="N30" s="138">
        <v>272732</v>
      </c>
    </row>
    <row r="31" spans="1:14">
      <c r="A31" s="71">
        <v>2005</v>
      </c>
      <c r="B31" s="104">
        <v>2104</v>
      </c>
      <c r="C31" s="104">
        <v>2032</v>
      </c>
      <c r="D31" s="104">
        <f t="shared" si="6"/>
        <v>1563.7967519685039</v>
      </c>
      <c r="E31" s="104">
        <v>3177.6350000000002</v>
      </c>
      <c r="F31" s="104">
        <v>605</v>
      </c>
      <c r="G31" s="104">
        <v>578</v>
      </c>
      <c r="H31" s="104">
        <f t="shared" si="7"/>
        <v>1452.4567474048442</v>
      </c>
      <c r="I31" s="104">
        <v>839.52</v>
      </c>
      <c r="J31" s="104">
        <f t="shared" si="2"/>
        <v>2709</v>
      </c>
      <c r="K31" s="104">
        <f t="shared" ref="K31:K36" si="9">+C31+G31</f>
        <v>2610</v>
      </c>
      <c r="L31" s="104">
        <f t="shared" si="8"/>
        <v>1539.139846743295</v>
      </c>
      <c r="M31" s="104">
        <f t="shared" ref="M31:M36" si="10">+E31+I31</f>
        <v>4017.1550000000002</v>
      </c>
      <c r="N31" s="138">
        <v>487420</v>
      </c>
    </row>
    <row r="32" spans="1:14">
      <c r="A32" s="71">
        <v>2006</v>
      </c>
      <c r="B32" s="104">
        <v>1658</v>
      </c>
      <c r="C32" s="104">
        <v>1514</v>
      </c>
      <c r="D32" s="104">
        <f t="shared" si="6"/>
        <v>1180.9550858652576</v>
      </c>
      <c r="E32" s="104">
        <v>1787.9659999999999</v>
      </c>
      <c r="F32" s="104">
        <v>292</v>
      </c>
      <c r="G32" s="104">
        <v>256</v>
      </c>
      <c r="H32" s="104">
        <f t="shared" si="7"/>
        <v>1389.24609375</v>
      </c>
      <c r="I32" s="104">
        <v>355.64699999999999</v>
      </c>
      <c r="J32" s="104">
        <f t="shared" si="2"/>
        <v>1950</v>
      </c>
      <c r="K32" s="104">
        <f t="shared" si="9"/>
        <v>1770</v>
      </c>
      <c r="L32" s="104">
        <f t="shared" si="8"/>
        <v>1211.0807909604521</v>
      </c>
      <c r="M32" s="104">
        <f t="shared" si="10"/>
        <v>2143.6129999999998</v>
      </c>
      <c r="N32" s="138">
        <v>308832</v>
      </c>
    </row>
    <row r="33" spans="1:14">
      <c r="A33" s="71">
        <v>2007</v>
      </c>
      <c r="B33" s="104">
        <v>1765.5</v>
      </c>
      <c r="C33" s="104">
        <v>1719</v>
      </c>
      <c r="D33" s="104">
        <f t="shared" si="6"/>
        <v>1444.78475858057</v>
      </c>
      <c r="E33" s="104">
        <v>2483.585</v>
      </c>
      <c r="F33" s="104">
        <v>304.5</v>
      </c>
      <c r="G33" s="104">
        <v>292.5</v>
      </c>
      <c r="H33" s="104">
        <f t="shared" si="7"/>
        <v>1317.2136752136753</v>
      </c>
      <c r="I33" s="104">
        <v>385.28500000000003</v>
      </c>
      <c r="J33" s="104">
        <f t="shared" si="2"/>
        <v>2070</v>
      </c>
      <c r="K33" s="104">
        <f t="shared" si="9"/>
        <v>2011.5</v>
      </c>
      <c r="L33" s="104">
        <f t="shared" si="8"/>
        <v>1426.2341536167039</v>
      </c>
      <c r="M33" s="104">
        <f t="shared" si="10"/>
        <v>2868.87</v>
      </c>
      <c r="N33" s="138">
        <v>614736</v>
      </c>
    </row>
    <row r="34" spans="1:14">
      <c r="A34" s="71">
        <v>2008</v>
      </c>
      <c r="B34" s="104">
        <v>2163</v>
      </c>
      <c r="C34" s="104">
        <v>2062</v>
      </c>
      <c r="D34" s="104">
        <f t="shared" si="6"/>
        <v>1451.7507274490786</v>
      </c>
      <c r="E34" s="104">
        <v>2993.51</v>
      </c>
      <c r="F34" s="104">
        <v>353.5</v>
      </c>
      <c r="G34" s="104">
        <v>334</v>
      </c>
      <c r="H34" s="104">
        <f t="shared" si="7"/>
        <v>1285.4191616766468</v>
      </c>
      <c r="I34" s="104">
        <v>429.33</v>
      </c>
      <c r="J34" s="104">
        <f t="shared" si="2"/>
        <v>2516.5</v>
      </c>
      <c r="K34" s="104">
        <f t="shared" si="9"/>
        <v>2396</v>
      </c>
      <c r="L34" s="104">
        <f t="shared" si="8"/>
        <v>1428.5642737896494</v>
      </c>
      <c r="M34" s="104">
        <f t="shared" si="10"/>
        <v>3422.84</v>
      </c>
      <c r="N34" s="138">
        <v>704105</v>
      </c>
    </row>
    <row r="35" spans="1:14">
      <c r="A35" s="71">
        <v>2009</v>
      </c>
      <c r="B35" s="104">
        <v>1698</v>
      </c>
      <c r="C35" s="104">
        <v>1653</v>
      </c>
      <c r="D35" s="104">
        <f t="shared" si="6"/>
        <v>1563.2244404113733</v>
      </c>
      <c r="E35" s="104">
        <v>2584.0100000000002</v>
      </c>
      <c r="F35" s="104">
        <v>332</v>
      </c>
      <c r="G35" s="104">
        <v>300.5</v>
      </c>
      <c r="H35" s="104">
        <f t="shared" si="7"/>
        <v>1505.6572379367719</v>
      </c>
      <c r="I35" s="104">
        <v>452.45</v>
      </c>
      <c r="J35" s="104">
        <f t="shared" si="2"/>
        <v>2030</v>
      </c>
      <c r="K35" s="104">
        <f t="shared" si="9"/>
        <v>1953.5</v>
      </c>
      <c r="L35" s="104">
        <f t="shared" si="8"/>
        <v>1554.3690811364218</v>
      </c>
      <c r="M35" s="104">
        <f t="shared" si="10"/>
        <v>3036.46</v>
      </c>
      <c r="N35" s="138">
        <v>458959</v>
      </c>
    </row>
    <row r="36" spans="1:14">
      <c r="A36" s="71">
        <v>2010</v>
      </c>
      <c r="B36" s="104">
        <v>1463</v>
      </c>
      <c r="C36" s="104">
        <v>1422.5</v>
      </c>
      <c r="D36" s="104">
        <f t="shared" ref="D36:D41" si="11">+E36*1000/C36</f>
        <v>1458.347978910369</v>
      </c>
      <c r="E36" s="104">
        <v>2074.5</v>
      </c>
      <c r="F36" s="104">
        <v>488.5</v>
      </c>
      <c r="G36" s="104">
        <v>451.3</v>
      </c>
      <c r="H36" s="104">
        <f t="shared" ref="H36:H41" si="12">+I36*1000/G36</f>
        <v>1464.8127631287391</v>
      </c>
      <c r="I36" s="104">
        <v>661.07</v>
      </c>
      <c r="J36" s="104">
        <f t="shared" si="2"/>
        <v>1951.5</v>
      </c>
      <c r="K36" s="104">
        <f t="shared" si="9"/>
        <v>1873.8</v>
      </c>
      <c r="L36" s="104">
        <f t="shared" ref="L36:L41" si="13">+M36*1000/K36</f>
        <v>1459.9050058704238</v>
      </c>
      <c r="M36" s="104">
        <f t="shared" si="10"/>
        <v>2735.57</v>
      </c>
      <c r="N36" s="138">
        <v>633778</v>
      </c>
    </row>
    <row r="37" spans="1:14">
      <c r="A37" s="71">
        <v>2011</v>
      </c>
      <c r="B37" s="104">
        <v>1289.5</v>
      </c>
      <c r="C37" s="104">
        <v>1233.4000000000001</v>
      </c>
      <c r="D37" s="104">
        <f t="shared" si="11"/>
        <v>1396.6880168639532</v>
      </c>
      <c r="E37" s="104">
        <v>1722.675</v>
      </c>
      <c r="F37" s="104">
        <v>253.5</v>
      </c>
      <c r="G37" s="104">
        <v>224.4</v>
      </c>
      <c r="H37" s="104">
        <f t="shared" si="12"/>
        <v>1406.4171122994653</v>
      </c>
      <c r="I37" s="104">
        <v>315.60000000000002</v>
      </c>
      <c r="J37" s="104">
        <f t="shared" si="2"/>
        <v>1543</v>
      </c>
      <c r="K37" s="104">
        <f t="shared" ref="K37:K42" si="14">+C37+G37</f>
        <v>1457.8000000000002</v>
      </c>
      <c r="L37" s="104">
        <f t="shared" si="13"/>
        <v>1398.1856221703936</v>
      </c>
      <c r="M37" s="104">
        <f t="shared" ref="M37:M42" si="15">+E37+I37</f>
        <v>2038.2750000000001</v>
      </c>
      <c r="N37" s="138">
        <v>589282</v>
      </c>
    </row>
    <row r="38" spans="1:14">
      <c r="A38" s="71">
        <v>2012</v>
      </c>
      <c r="B38" s="104">
        <v>1658</v>
      </c>
      <c r="C38" s="104">
        <v>1589.8</v>
      </c>
      <c r="D38" s="104">
        <f t="shared" si="11"/>
        <v>1484.3219272864512</v>
      </c>
      <c r="E38" s="104">
        <v>2359.7750000000001</v>
      </c>
      <c r="F38" s="104">
        <v>262</v>
      </c>
      <c r="G38" s="104">
        <v>250.2</v>
      </c>
      <c r="H38" s="104">
        <f t="shared" si="12"/>
        <v>1503.9368505195844</v>
      </c>
      <c r="I38" s="104">
        <v>376.28500000000003</v>
      </c>
      <c r="J38" s="104">
        <f t="shared" si="2"/>
        <v>1920</v>
      </c>
      <c r="K38" s="104">
        <f t="shared" si="14"/>
        <v>1840</v>
      </c>
      <c r="L38" s="104">
        <f t="shared" si="13"/>
        <v>1486.9891304347825</v>
      </c>
      <c r="M38" s="104">
        <f t="shared" si="15"/>
        <v>2736.06</v>
      </c>
      <c r="N38" s="138">
        <v>699970</v>
      </c>
    </row>
    <row r="39" spans="1:14">
      <c r="A39" s="71">
        <v>2013</v>
      </c>
      <c r="B39" s="104">
        <v>1279</v>
      </c>
      <c r="C39" s="104">
        <v>1200.9000000000001</v>
      </c>
      <c r="D39" s="104">
        <f t="shared" si="11"/>
        <v>1363.3150137396951</v>
      </c>
      <c r="E39" s="104">
        <v>1637.2049999999999</v>
      </c>
      <c r="F39" s="104">
        <v>296.5</v>
      </c>
      <c r="G39" s="104">
        <v>263.7</v>
      </c>
      <c r="H39" s="104">
        <f t="shared" si="12"/>
        <v>1458.323852863102</v>
      </c>
      <c r="I39" s="104">
        <v>384.56</v>
      </c>
      <c r="J39" s="104">
        <f t="shared" si="2"/>
        <v>1575.5</v>
      </c>
      <c r="K39" s="104">
        <f t="shared" si="14"/>
        <v>1464.6000000000001</v>
      </c>
      <c r="L39" s="104">
        <f t="shared" si="13"/>
        <v>1380.4212754335651</v>
      </c>
      <c r="M39" s="104">
        <f t="shared" si="15"/>
        <v>2021.7649999999999</v>
      </c>
      <c r="N39" s="138">
        <v>443296</v>
      </c>
    </row>
    <row r="40" spans="1:14">
      <c r="A40" s="71">
        <v>2014</v>
      </c>
      <c r="B40" s="242">
        <v>1174</v>
      </c>
      <c r="C40" s="242">
        <v>1139.5</v>
      </c>
      <c r="D40" s="104">
        <f t="shared" si="11"/>
        <v>1460.3685827117156</v>
      </c>
      <c r="E40" s="242">
        <v>1664.09</v>
      </c>
      <c r="F40" s="242">
        <v>391.3</v>
      </c>
      <c r="G40" s="242">
        <v>370.6</v>
      </c>
      <c r="H40" s="104">
        <f t="shared" si="12"/>
        <v>1497.4635725849971</v>
      </c>
      <c r="I40" s="242">
        <v>554.96</v>
      </c>
      <c r="J40" s="104">
        <f t="shared" si="2"/>
        <v>1565.3</v>
      </c>
      <c r="K40" s="104">
        <f t="shared" si="14"/>
        <v>1510.1</v>
      </c>
      <c r="L40" s="104">
        <f t="shared" si="13"/>
        <v>1469.4722203827562</v>
      </c>
      <c r="M40" s="104">
        <f t="shared" si="15"/>
        <v>2219.0500000000002</v>
      </c>
      <c r="N40" s="243">
        <v>497775</v>
      </c>
    </row>
    <row r="41" spans="1:14">
      <c r="A41" s="71">
        <v>2015</v>
      </c>
      <c r="B41" s="242">
        <v>1550.5</v>
      </c>
      <c r="C41" s="242">
        <v>1510</v>
      </c>
      <c r="D41" s="104">
        <f t="shared" si="11"/>
        <v>1578.7218543046358</v>
      </c>
      <c r="E41" s="242">
        <v>2383.87</v>
      </c>
      <c r="F41" s="242">
        <v>308.60000000000002</v>
      </c>
      <c r="G41" s="242">
        <v>289.39999999999998</v>
      </c>
      <c r="H41" s="104">
        <f t="shared" si="12"/>
        <v>1865.4457498272288</v>
      </c>
      <c r="I41" s="242">
        <v>539.86</v>
      </c>
      <c r="J41" s="104">
        <f t="shared" si="2"/>
        <v>1859.1</v>
      </c>
      <c r="K41" s="104">
        <f t="shared" si="14"/>
        <v>1799.4</v>
      </c>
      <c r="L41" s="104">
        <f t="shared" si="13"/>
        <v>1624.8360564632655</v>
      </c>
      <c r="M41" s="104">
        <f t="shared" si="15"/>
        <v>2923.73</v>
      </c>
      <c r="N41" s="243">
        <v>574156</v>
      </c>
    </row>
    <row r="42" spans="1:14">
      <c r="A42" s="71">
        <v>2016</v>
      </c>
      <c r="B42" s="242">
        <f>1418</f>
        <v>1418</v>
      </c>
      <c r="C42" s="242">
        <v>1368.5</v>
      </c>
      <c r="D42" s="104">
        <f>+E42*1000/C42</f>
        <v>1731.1033978808914</v>
      </c>
      <c r="E42" s="242">
        <v>2369.0149999999999</v>
      </c>
      <c r="F42" s="242">
        <v>178.6</v>
      </c>
      <c r="G42" s="242">
        <v>163.5</v>
      </c>
      <c r="H42" s="104">
        <f>+I42*1000/G42</f>
        <v>1728.5626911314985</v>
      </c>
      <c r="I42" s="242">
        <v>282.62</v>
      </c>
      <c r="J42" s="104">
        <f t="shared" si="2"/>
        <v>1596.6</v>
      </c>
      <c r="K42" s="104">
        <f t="shared" si="14"/>
        <v>1532</v>
      </c>
      <c r="L42" s="104">
        <f>+M42*1000/K42</f>
        <v>1730.8322454308091</v>
      </c>
      <c r="M42" s="104">
        <f t="shared" si="15"/>
        <v>2651.6349999999998</v>
      </c>
      <c r="N42" s="243">
        <v>464015</v>
      </c>
    </row>
    <row r="43" spans="1:14">
      <c r="A43" s="130" t="s">
        <v>662</v>
      </c>
      <c r="B43" s="290">
        <f>1216</f>
        <v>1216</v>
      </c>
      <c r="C43" s="290">
        <f>1172</f>
        <v>1172</v>
      </c>
      <c r="D43" s="108">
        <f>+E43*1000/C43</f>
        <v>1584.5605802047783</v>
      </c>
      <c r="E43" s="290">
        <v>1857.105</v>
      </c>
      <c r="F43" s="290">
        <v>187</v>
      </c>
      <c r="G43" s="290">
        <v>172.7</v>
      </c>
      <c r="H43" s="108">
        <f>+I43*1000/G43</f>
        <v>1804.4701795020267</v>
      </c>
      <c r="I43" s="290">
        <v>311.63200000000001</v>
      </c>
      <c r="J43" s="108">
        <f>B43+F43</f>
        <v>1403</v>
      </c>
      <c r="K43" s="108">
        <f>C43+G43</f>
        <v>1344.7</v>
      </c>
      <c r="L43" s="108">
        <f>+M43*1000/K43</f>
        <v>1612.8035993158326</v>
      </c>
      <c r="M43" s="108">
        <f>+E43+I43</f>
        <v>2168.7370000000001</v>
      </c>
      <c r="N43" s="295">
        <v>389168</v>
      </c>
    </row>
    <row r="44" spans="1:14">
      <c r="A44" s="117" t="s">
        <v>450</v>
      </c>
      <c r="B44" s="6"/>
      <c r="C44" s="6"/>
      <c r="D44" s="6"/>
      <c r="E44" s="6"/>
      <c r="F44" s="6"/>
      <c r="G44" s="6"/>
      <c r="H44" s="6"/>
      <c r="I44" s="6"/>
    </row>
    <row r="45" spans="1:14">
      <c r="A45" s="117" t="s">
        <v>611</v>
      </c>
      <c r="B45" s="52"/>
      <c r="C45" s="52"/>
      <c r="D45" s="52"/>
      <c r="E45" s="52"/>
      <c r="F45" s="52"/>
      <c r="G45" s="52"/>
      <c r="H45" s="52"/>
      <c r="I45" s="52"/>
      <c r="M45" s="305"/>
    </row>
    <row r="46" spans="1:14" ht="12" customHeight="1">
      <c r="N46" s="305" t="s">
        <v>679</v>
      </c>
    </row>
    <row r="47" spans="1:14">
      <c r="A47" t="s">
        <v>61</v>
      </c>
    </row>
  </sheetData>
  <phoneticPr fontId="0" type="noConversion"/>
  <pageMargins left="0.7" right="0.7" top="0.75" bottom="0.75" header="0.3" footer="0.3"/>
  <pageSetup scale="84" firstPageNumber="48" orientation="portrait" useFirstPageNumber="1" r:id="rId1"/>
  <headerFooter alignWithMargins="0">
    <oddFooter>&amp;C&amp;P
Oil Crops Yearbook/OCS-2018
March 2018
Economic Research Service, USDA</oddFooter>
  </headerFooter>
  <ignoredErrors>
    <ignoredError sqref="N4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M49"/>
  <sheetViews>
    <sheetView zoomScaleNormal="100" zoomScaleSheetLayoutView="100" workbookViewId="0">
      <selection activeCell="K45" sqref="K45"/>
    </sheetView>
  </sheetViews>
  <sheetFormatPr baseColWidth="10" defaultColWidth="8.75" defaultRowHeight="11"/>
  <cols>
    <col min="1" max="1" width="11.75" customWidth="1"/>
    <col min="2" max="5" width="10.75" customWidth="1"/>
    <col min="6" max="6" width="0.75" customWidth="1"/>
    <col min="7" max="11" width="10.75" customWidth="1"/>
    <col min="12" max="12" width="13.75" customWidth="1"/>
    <col min="13" max="13" width="9.75" customWidth="1"/>
  </cols>
  <sheetData>
    <row r="1" spans="1:13">
      <c r="A1" s="126" t="s">
        <v>706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0" t="s">
        <v>265</v>
      </c>
      <c r="B2" s="314"/>
      <c r="C2" s="332" t="s">
        <v>119</v>
      </c>
      <c r="D2" s="314"/>
      <c r="E2" s="314"/>
      <c r="G2" s="314"/>
      <c r="H2" s="213" t="s">
        <v>260</v>
      </c>
      <c r="I2" s="314"/>
      <c r="J2" s="314"/>
      <c r="K2" s="187" t="s">
        <v>143</v>
      </c>
      <c r="L2" s="346" t="s">
        <v>118</v>
      </c>
      <c r="M2" s="318"/>
    </row>
    <row r="3" spans="1:13">
      <c r="A3" s="10" t="s">
        <v>100</v>
      </c>
      <c r="B3" s="7" t="s">
        <v>141</v>
      </c>
      <c r="C3" s="7" t="s">
        <v>66</v>
      </c>
      <c r="D3" s="7" t="s">
        <v>88</v>
      </c>
      <c r="E3" s="263" t="s">
        <v>3</v>
      </c>
      <c r="G3" s="7" t="s">
        <v>111</v>
      </c>
      <c r="H3" s="7" t="s">
        <v>262</v>
      </c>
      <c r="I3" s="7" t="s">
        <v>90</v>
      </c>
      <c r="J3" s="263" t="s">
        <v>3</v>
      </c>
      <c r="K3" s="187" t="s">
        <v>110</v>
      </c>
      <c r="L3" s="7" t="s">
        <v>647</v>
      </c>
      <c r="M3" s="7" t="s">
        <v>535</v>
      </c>
    </row>
    <row r="4" spans="1:13">
      <c r="A4" s="49" t="s">
        <v>176</v>
      </c>
      <c r="B4" s="7" t="s">
        <v>110</v>
      </c>
      <c r="C4" s="7"/>
      <c r="D4" s="7"/>
      <c r="E4" s="7"/>
      <c r="G4" s="7"/>
      <c r="H4" s="7" t="s">
        <v>263</v>
      </c>
      <c r="I4" s="7"/>
      <c r="J4" s="7"/>
      <c r="L4" s="7" t="s">
        <v>114</v>
      </c>
    </row>
    <row r="5" spans="1:13">
      <c r="A5" s="11"/>
      <c r="B5" s="1"/>
      <c r="C5" s="1"/>
      <c r="D5" s="1"/>
      <c r="E5" s="1"/>
      <c r="F5" s="1"/>
      <c r="G5" s="9"/>
      <c r="H5" s="9" t="s">
        <v>264</v>
      </c>
      <c r="I5" s="9"/>
      <c r="J5" s="9"/>
      <c r="K5" s="1"/>
      <c r="L5" s="9" t="s">
        <v>169</v>
      </c>
      <c r="M5" s="9"/>
    </row>
    <row r="6" spans="1:13" ht="12" customHeight="1">
      <c r="C6" s="312"/>
      <c r="D6" s="312"/>
      <c r="E6" s="312"/>
      <c r="F6" s="312"/>
      <c r="G6" s="312" t="s">
        <v>285</v>
      </c>
      <c r="H6" s="312"/>
      <c r="I6" s="312"/>
      <c r="J6" s="312"/>
      <c r="K6" s="312"/>
      <c r="L6" s="7" t="s">
        <v>274</v>
      </c>
      <c r="M6" s="7" t="s">
        <v>274</v>
      </c>
    </row>
    <row r="7" spans="1:13" ht="12" customHeight="1">
      <c r="B7" s="38"/>
      <c r="C7" s="38"/>
      <c r="D7" s="38"/>
      <c r="E7" s="38"/>
      <c r="F7" s="38"/>
      <c r="G7" s="38"/>
      <c r="H7" s="38"/>
      <c r="I7" s="38"/>
      <c r="J7" s="38"/>
      <c r="K7" s="38"/>
      <c r="L7" s="7"/>
    </row>
    <row r="8" spans="1:13">
      <c r="A8" s="10" t="s">
        <v>276</v>
      </c>
      <c r="B8" s="103">
        <v>1975.341312</v>
      </c>
      <c r="C8" s="104">
        <f>+'tab20'!M6</f>
        <v>3741.64</v>
      </c>
      <c r="D8" s="103">
        <v>61.729416000000001</v>
      </c>
      <c r="E8" s="104">
        <f>SUM(B8:D8)</f>
        <v>5778.710728</v>
      </c>
      <c r="F8" s="103"/>
      <c r="G8" s="104">
        <v>1719.588</v>
      </c>
      <c r="H8" s="103">
        <f>+J8-G8-I8</f>
        <v>339.92541400000027</v>
      </c>
      <c r="I8" s="103">
        <v>3317.9561100000001</v>
      </c>
      <c r="J8" s="104">
        <f>+E8-K8</f>
        <v>5377.4695240000001</v>
      </c>
      <c r="K8" s="103">
        <v>401.24120399999998</v>
      </c>
      <c r="L8" s="144">
        <v>10.9</v>
      </c>
      <c r="M8" s="101" t="s">
        <v>268</v>
      </c>
    </row>
    <row r="9" spans="1:13">
      <c r="A9" s="10" t="s">
        <v>277</v>
      </c>
      <c r="B9" s="39">
        <f t="shared" ref="B9:B28" si="0">+K8</f>
        <v>401.24120399999998</v>
      </c>
      <c r="C9" s="104">
        <f>+'tab20'!M7</f>
        <v>4487.41</v>
      </c>
      <c r="D9" s="103">
        <v>70.547904000000003</v>
      </c>
      <c r="E9" s="104">
        <f t="shared" ref="E9:E28" si="1">SUM(B9:D9)</f>
        <v>4959.1991079999998</v>
      </c>
      <c r="F9" s="103"/>
      <c r="G9" s="104">
        <v>824.5204</v>
      </c>
      <c r="H9" s="103">
        <f t="shared" ref="H9:H29" si="2">+J9-G9-I9</f>
        <v>391.23055199999953</v>
      </c>
      <c r="I9" s="103">
        <v>3428.1872100000001</v>
      </c>
      <c r="J9" s="104">
        <f t="shared" ref="J9:J28" si="3">+E9-K9</f>
        <v>4643.9381619999995</v>
      </c>
      <c r="K9" s="103">
        <v>315.26094599999999</v>
      </c>
      <c r="L9" s="33">
        <v>10.8</v>
      </c>
      <c r="M9" s="101" t="s">
        <v>268</v>
      </c>
    </row>
    <row r="10" spans="1:13">
      <c r="A10" s="10" t="s">
        <v>278</v>
      </c>
      <c r="B10" s="39">
        <f t="shared" si="0"/>
        <v>315.26094599999999</v>
      </c>
      <c r="C10" s="104">
        <f>+'tab20'!M8</f>
        <v>5332.8200000000006</v>
      </c>
      <c r="D10" s="103">
        <v>88.184880000000007</v>
      </c>
      <c r="E10" s="104">
        <f t="shared" si="1"/>
        <v>5736.2658260000007</v>
      </c>
      <c r="F10" s="103"/>
      <c r="G10" s="104">
        <v>1688.7236</v>
      </c>
      <c r="H10" s="103">
        <f t="shared" si="2"/>
        <v>420.93903600000021</v>
      </c>
      <c r="I10" s="103">
        <v>2971.8304560000001</v>
      </c>
      <c r="J10" s="104">
        <f t="shared" si="3"/>
        <v>5081.4930920000006</v>
      </c>
      <c r="K10" s="103">
        <v>654.77273400000001</v>
      </c>
      <c r="L10" s="33">
        <v>9.0299999999999994</v>
      </c>
      <c r="M10" s="101" t="s">
        <v>268</v>
      </c>
    </row>
    <row r="11" spans="1:13">
      <c r="A11" s="10" t="s">
        <v>279</v>
      </c>
      <c r="B11" s="39">
        <f t="shared" si="0"/>
        <v>654.77273400000001</v>
      </c>
      <c r="C11" s="104">
        <f>+'tab20'!M9</f>
        <v>3198.5</v>
      </c>
      <c r="D11" s="103">
        <v>68.343282000000002</v>
      </c>
      <c r="E11" s="104">
        <f t="shared" si="1"/>
        <v>3921.6160159999999</v>
      </c>
      <c r="F11" s="103"/>
      <c r="G11" s="104">
        <v>1300.7139999999999</v>
      </c>
      <c r="H11" s="103">
        <f t="shared" si="2"/>
        <v>247.85411199999999</v>
      </c>
      <c r="I11" s="103">
        <v>2302.5</v>
      </c>
      <c r="J11" s="104">
        <f t="shared" si="3"/>
        <v>3851.0681119999999</v>
      </c>
      <c r="K11" s="103">
        <v>70.547904000000003</v>
      </c>
      <c r="L11" s="33">
        <v>13</v>
      </c>
      <c r="M11" s="101" t="s">
        <v>268</v>
      </c>
    </row>
    <row r="12" spans="1:13">
      <c r="A12" s="10" t="s">
        <v>280</v>
      </c>
      <c r="B12" s="39">
        <f t="shared" si="0"/>
        <v>70.547904000000003</v>
      </c>
      <c r="C12" s="104">
        <f>+'tab20'!M10</f>
        <v>3744.53</v>
      </c>
      <c r="D12" s="103">
        <v>57.320171999999999</v>
      </c>
      <c r="E12" s="104">
        <f t="shared" si="1"/>
        <v>3872.3980760000004</v>
      </c>
      <c r="F12" s="103"/>
      <c r="G12" s="104">
        <v>1250.0082</v>
      </c>
      <c r="H12" s="103">
        <f t="shared" si="2"/>
        <v>281.60947400000032</v>
      </c>
      <c r="I12" s="103">
        <v>2183.7804019999999</v>
      </c>
      <c r="J12" s="104">
        <f t="shared" si="3"/>
        <v>3715.3980760000004</v>
      </c>
      <c r="K12" s="103">
        <v>157</v>
      </c>
      <c r="L12" s="33">
        <v>11.3</v>
      </c>
      <c r="M12" s="101" t="s">
        <v>268</v>
      </c>
    </row>
    <row r="13" spans="1:13">
      <c r="A13" s="10" t="s">
        <v>281</v>
      </c>
      <c r="B13" s="39">
        <f t="shared" si="0"/>
        <v>157</v>
      </c>
      <c r="C13" s="104">
        <f>+'tab20'!M11</f>
        <v>3153.02</v>
      </c>
      <c r="D13" s="103">
        <v>57.319600000000001</v>
      </c>
      <c r="E13" s="104">
        <f t="shared" si="1"/>
        <v>3367.3395999999998</v>
      </c>
      <c r="F13" s="103"/>
      <c r="G13" s="104">
        <v>1485.9004</v>
      </c>
      <c r="H13" s="103">
        <f t="shared" si="2"/>
        <v>608.46939999999995</v>
      </c>
      <c r="I13" s="103">
        <v>803.99620000000004</v>
      </c>
      <c r="J13" s="104">
        <f t="shared" si="3"/>
        <v>2898.366</v>
      </c>
      <c r="K13" s="103">
        <v>468.97359999999998</v>
      </c>
      <c r="L13" s="33">
        <v>7.93</v>
      </c>
      <c r="M13" s="101" t="s">
        <v>268</v>
      </c>
    </row>
    <row r="14" spans="1:13">
      <c r="A14" s="10" t="s">
        <v>282</v>
      </c>
      <c r="B14" s="39">
        <f t="shared" si="0"/>
        <v>468.97359999999998</v>
      </c>
      <c r="C14" s="104">
        <f>+'tab20'!M12</f>
        <v>2675.75</v>
      </c>
      <c r="D14" s="103">
        <v>18.613866000000002</v>
      </c>
      <c r="E14" s="104">
        <f t="shared" si="1"/>
        <v>3163.3374659999999</v>
      </c>
      <c r="F14" s="103"/>
      <c r="G14" s="104">
        <v>1399.93497</v>
      </c>
      <c r="H14" s="103">
        <f t="shared" si="2"/>
        <v>535.08619980000014</v>
      </c>
      <c r="I14" s="103">
        <v>670.1256482</v>
      </c>
      <c r="J14" s="104">
        <f t="shared" si="3"/>
        <v>2605.1468180000002</v>
      </c>
      <c r="K14" s="103">
        <v>558.19064800000001</v>
      </c>
      <c r="L14" s="33">
        <v>6.9</v>
      </c>
      <c r="M14" s="101" t="s">
        <v>268</v>
      </c>
    </row>
    <row r="15" spans="1:13">
      <c r="A15" s="10" t="s">
        <v>283</v>
      </c>
      <c r="B15" s="39">
        <f t="shared" si="0"/>
        <v>558.19064800000001</v>
      </c>
      <c r="C15" s="104">
        <f>+'tab20'!M13</f>
        <v>2608.15</v>
      </c>
      <c r="D15" s="103">
        <v>22.023</v>
      </c>
      <c r="E15" s="104">
        <f t="shared" si="1"/>
        <v>3188.3636480000005</v>
      </c>
      <c r="F15" s="103"/>
      <c r="G15" s="104">
        <v>1984.14</v>
      </c>
      <c r="H15" s="103">
        <f t="shared" si="2"/>
        <v>175.84420440000054</v>
      </c>
      <c r="I15" s="103">
        <v>594.32929560000002</v>
      </c>
      <c r="J15" s="104">
        <f t="shared" si="3"/>
        <v>2754.3135000000007</v>
      </c>
      <c r="K15" s="103">
        <v>434.05014799999998</v>
      </c>
      <c r="L15" s="33">
        <v>8.34</v>
      </c>
      <c r="M15" s="101" t="s">
        <v>268</v>
      </c>
    </row>
    <row r="16" spans="1:13">
      <c r="A16" s="10" t="s">
        <v>284</v>
      </c>
      <c r="B16" s="39">
        <f t="shared" si="0"/>
        <v>434.05014799999998</v>
      </c>
      <c r="C16" s="104">
        <f>+'tab20'!M14</f>
        <v>1792.09</v>
      </c>
      <c r="D16" s="103">
        <v>55.091999999999999</v>
      </c>
      <c r="E16" s="104">
        <f t="shared" si="1"/>
        <v>2281.2321480000001</v>
      </c>
      <c r="F16" s="103"/>
      <c r="G16" s="104">
        <v>1267</v>
      </c>
      <c r="H16" s="103">
        <f t="shared" si="2"/>
        <v>651.42010540000012</v>
      </c>
      <c r="I16" s="103">
        <v>186.3570426</v>
      </c>
      <c r="J16" s="104">
        <f t="shared" si="3"/>
        <v>2104.7771480000001</v>
      </c>
      <c r="K16" s="103">
        <v>176.45500000000001</v>
      </c>
      <c r="L16" s="33">
        <v>12.1</v>
      </c>
      <c r="M16" s="101" t="s">
        <v>268</v>
      </c>
    </row>
    <row r="17" spans="1:13">
      <c r="A17" s="10" t="s">
        <v>9</v>
      </c>
      <c r="B17" s="39">
        <f t="shared" si="0"/>
        <v>176.45500000000001</v>
      </c>
      <c r="C17" s="104">
        <f>+'tab20'!M15</f>
        <v>1759.76</v>
      </c>
      <c r="D17" s="103">
        <v>43.342514546654002</v>
      </c>
      <c r="E17" s="104">
        <f t="shared" si="1"/>
        <v>1979.5575145466539</v>
      </c>
      <c r="F17" s="103"/>
      <c r="G17" s="104">
        <v>1204</v>
      </c>
      <c r="H17" s="103">
        <f t="shared" si="2"/>
        <v>506.32467833386198</v>
      </c>
      <c r="I17" s="103">
        <v>211.07583621279201</v>
      </c>
      <c r="J17" s="104">
        <f t="shared" si="3"/>
        <v>1921.400514546654</v>
      </c>
      <c r="K17" s="103">
        <v>58.156999999999996</v>
      </c>
      <c r="L17" s="33">
        <v>10.6</v>
      </c>
      <c r="M17" s="101" t="s">
        <v>268</v>
      </c>
    </row>
    <row r="18" spans="1:13">
      <c r="A18" s="10" t="s">
        <v>10</v>
      </c>
      <c r="B18" s="39">
        <f t="shared" si="0"/>
        <v>58.156999999999996</v>
      </c>
      <c r="C18" s="104">
        <f>+'tab20'!M16</f>
        <v>2274.4050000000002</v>
      </c>
      <c r="D18" s="103">
        <v>87.54264717948999</v>
      </c>
      <c r="E18" s="104">
        <f t="shared" si="1"/>
        <v>2420.1046471794903</v>
      </c>
      <c r="F18" s="103"/>
      <c r="G18" s="104">
        <v>1307</v>
      </c>
      <c r="H18" s="103">
        <f t="shared" si="2"/>
        <v>646.57099857949004</v>
      </c>
      <c r="I18" s="103">
        <v>271.47664859999998</v>
      </c>
      <c r="J18" s="104">
        <f t="shared" si="3"/>
        <v>2225.04764717949</v>
      </c>
      <c r="K18" s="103">
        <v>195.05700000000002</v>
      </c>
      <c r="L18" s="33">
        <v>10.8</v>
      </c>
      <c r="M18" s="101" t="s">
        <v>268</v>
      </c>
    </row>
    <row r="19" spans="1:13">
      <c r="A19" s="10" t="s">
        <v>11</v>
      </c>
      <c r="B19" s="39">
        <f t="shared" si="0"/>
        <v>195.05700000000002</v>
      </c>
      <c r="C19" s="104">
        <f>+'tab20'!M17</f>
        <v>3613.0299999999997</v>
      </c>
      <c r="D19" s="103">
        <v>166</v>
      </c>
      <c r="E19" s="104">
        <f t="shared" si="1"/>
        <v>3974.0869999999995</v>
      </c>
      <c r="F19" s="103"/>
      <c r="G19" s="104">
        <v>2099</v>
      </c>
      <c r="H19" s="103">
        <f t="shared" si="2"/>
        <v>979.58039999999937</v>
      </c>
      <c r="I19" s="103">
        <v>317.11259999999999</v>
      </c>
      <c r="J19" s="104">
        <f t="shared" si="3"/>
        <v>3395.6929999999993</v>
      </c>
      <c r="K19" s="103">
        <v>578.39400000000001</v>
      </c>
      <c r="L19" s="33">
        <v>8.69</v>
      </c>
      <c r="M19" s="35">
        <v>8.9</v>
      </c>
    </row>
    <row r="20" spans="1:13">
      <c r="A20" s="10" t="s">
        <v>12</v>
      </c>
      <c r="B20" s="39">
        <f t="shared" si="0"/>
        <v>578.39400000000001</v>
      </c>
      <c r="C20" s="104">
        <f>+'tab20'!M18</f>
        <v>2564.9850000000001</v>
      </c>
      <c r="D20" s="103">
        <v>104</v>
      </c>
      <c r="E20" s="104">
        <f t="shared" si="1"/>
        <v>3247.3789999999999</v>
      </c>
      <c r="F20" s="103"/>
      <c r="G20" s="104">
        <v>2035.7850000000001</v>
      </c>
      <c r="H20" s="103">
        <f t="shared" si="2"/>
        <v>800.41699999999969</v>
      </c>
      <c r="I20" s="103">
        <v>260</v>
      </c>
      <c r="J20" s="104">
        <f t="shared" si="3"/>
        <v>3096.2019999999998</v>
      </c>
      <c r="K20" s="103">
        <v>151.17699999999999</v>
      </c>
      <c r="L20" s="33">
        <v>9.74</v>
      </c>
      <c r="M20" s="35">
        <v>8.9</v>
      </c>
    </row>
    <row r="21" spans="1:13">
      <c r="A21" s="10" t="s">
        <v>13</v>
      </c>
      <c r="B21" s="39">
        <f t="shared" si="0"/>
        <v>151.17699999999999</v>
      </c>
      <c r="C21" s="104">
        <f>+'tab20'!M19</f>
        <v>2572.0630000000001</v>
      </c>
      <c r="D21" s="103">
        <v>53.756966400000003</v>
      </c>
      <c r="E21" s="104">
        <f t="shared" si="1"/>
        <v>2776.9969664</v>
      </c>
      <c r="F21" s="103"/>
      <c r="G21" s="104">
        <v>1457</v>
      </c>
      <c r="H21" s="103">
        <f t="shared" si="2"/>
        <v>945.94876860000022</v>
      </c>
      <c r="I21" s="103">
        <v>218.35019779999999</v>
      </c>
      <c r="J21" s="104">
        <f t="shared" si="3"/>
        <v>2621.2989664000002</v>
      </c>
      <c r="K21" s="103">
        <v>155.69799999999998</v>
      </c>
      <c r="L21" s="33">
        <v>12.9</v>
      </c>
      <c r="M21" s="35">
        <v>8.9</v>
      </c>
    </row>
    <row r="22" spans="1:13">
      <c r="A22" s="10" t="s">
        <v>14</v>
      </c>
      <c r="B22" s="39">
        <f t="shared" si="0"/>
        <v>155.69799999999998</v>
      </c>
      <c r="C22" s="104">
        <f>+'tab20'!M20</f>
        <v>4835.8250000000007</v>
      </c>
      <c r="D22" s="103">
        <v>92.804841600000003</v>
      </c>
      <c r="E22" s="104">
        <f t="shared" si="1"/>
        <v>5084.3278416000012</v>
      </c>
      <c r="F22" s="103"/>
      <c r="G22" s="104">
        <v>2894.4017032000002</v>
      </c>
      <c r="H22" s="103">
        <f t="shared" si="2"/>
        <v>1330.948397000001</v>
      </c>
      <c r="I22" s="103">
        <v>631.63774139999998</v>
      </c>
      <c r="J22" s="104">
        <f t="shared" si="3"/>
        <v>4856.987841600001</v>
      </c>
      <c r="K22" s="103">
        <v>227.34</v>
      </c>
      <c r="L22" s="33">
        <v>10.7</v>
      </c>
      <c r="M22" s="35">
        <v>8.6999999999999993</v>
      </c>
    </row>
    <row r="23" spans="1:13">
      <c r="A23" s="10" t="s">
        <v>15</v>
      </c>
      <c r="B23" s="39">
        <f t="shared" si="0"/>
        <v>227.34</v>
      </c>
      <c r="C23" s="104">
        <f>+'tab20'!M21</f>
        <v>4009.3319999999999</v>
      </c>
      <c r="D23" s="103">
        <v>46.444308200000002</v>
      </c>
      <c r="E23" s="104">
        <f t="shared" si="1"/>
        <v>4283.1163081999994</v>
      </c>
      <c r="F23" s="103"/>
      <c r="G23" s="104">
        <v>2017.8395155999999</v>
      </c>
      <c r="H23" s="103">
        <f t="shared" si="2"/>
        <v>1318.0377494736974</v>
      </c>
      <c r="I23" s="103">
        <v>494.28604312630205</v>
      </c>
      <c r="J23" s="104">
        <f t="shared" si="3"/>
        <v>3830.1633081999994</v>
      </c>
      <c r="K23" s="103">
        <v>452.95299999999997</v>
      </c>
      <c r="L23" s="33">
        <v>11.5</v>
      </c>
      <c r="M23" s="35">
        <v>8.6999999999999993</v>
      </c>
    </row>
    <row r="24" spans="1:13">
      <c r="A24" s="10" t="s">
        <v>16</v>
      </c>
      <c r="B24" s="39">
        <f t="shared" si="0"/>
        <v>452.95299999999997</v>
      </c>
      <c r="C24" s="104">
        <f>+'tab20'!M22</f>
        <v>3559.3429999999998</v>
      </c>
      <c r="D24" s="103">
        <v>39.61</v>
      </c>
      <c r="E24" s="104">
        <f t="shared" si="1"/>
        <v>4051.9059999999999</v>
      </c>
      <c r="F24" s="103"/>
      <c r="G24" s="104">
        <v>1861.3724397999999</v>
      </c>
      <c r="H24" s="103">
        <f t="shared" si="2"/>
        <v>1428.387598484238</v>
      </c>
      <c r="I24" s="103">
        <v>329.14096171576205</v>
      </c>
      <c r="J24" s="104">
        <f t="shared" si="3"/>
        <v>3618.9009999999998</v>
      </c>
      <c r="K24" s="103">
        <v>433.005</v>
      </c>
      <c r="L24" s="33">
        <v>11.7</v>
      </c>
      <c r="M24" s="35">
        <v>8.91</v>
      </c>
    </row>
    <row r="25" spans="1:13">
      <c r="A25" s="10" t="s">
        <v>17</v>
      </c>
      <c r="B25" s="39">
        <f t="shared" si="0"/>
        <v>433.005</v>
      </c>
      <c r="C25" s="104">
        <f>+'tab20'!M23</f>
        <v>3676.9519999999998</v>
      </c>
      <c r="D25" s="103">
        <v>64.891794000000004</v>
      </c>
      <c r="E25" s="104">
        <f t="shared" si="1"/>
        <v>4174.8487939999995</v>
      </c>
      <c r="F25" s="103"/>
      <c r="G25" s="104">
        <v>2338.1436450000001</v>
      </c>
      <c r="H25" s="103">
        <f t="shared" si="2"/>
        <v>1218.1557644395896</v>
      </c>
      <c r="I25" s="103">
        <v>416.23738456040996</v>
      </c>
      <c r="J25" s="104">
        <f t="shared" si="3"/>
        <v>3972.5367939999996</v>
      </c>
      <c r="K25" s="103">
        <v>202.31200000000001</v>
      </c>
      <c r="L25" s="33">
        <v>11.6</v>
      </c>
      <c r="M25" s="35">
        <v>9.3000000000000007</v>
      </c>
    </row>
    <row r="26" spans="1:13">
      <c r="A26" s="10" t="s">
        <v>18</v>
      </c>
      <c r="B26" s="39">
        <f t="shared" si="0"/>
        <v>202.31200000000001</v>
      </c>
      <c r="C26" s="104">
        <f>+'tab20'!M24</f>
        <v>5273.1619999999994</v>
      </c>
      <c r="D26" s="103">
        <v>75.477999999999994</v>
      </c>
      <c r="E26" s="104">
        <f t="shared" si="1"/>
        <v>5550.9519999999993</v>
      </c>
      <c r="F26" s="103"/>
      <c r="G26" s="104">
        <v>2595.9517735999998</v>
      </c>
      <c r="H26" s="103">
        <f t="shared" si="2"/>
        <v>1874.0452274094555</v>
      </c>
      <c r="I26" s="103">
        <v>572.73099899054398</v>
      </c>
      <c r="J26" s="104">
        <f t="shared" si="3"/>
        <v>5042.7279999999992</v>
      </c>
      <c r="K26" s="103">
        <v>508.22400000000005</v>
      </c>
      <c r="L26" s="33">
        <v>10.6</v>
      </c>
      <c r="M26" s="35">
        <v>9.3000000000000007</v>
      </c>
    </row>
    <row r="27" spans="1:13">
      <c r="A27" s="10" t="s">
        <v>19</v>
      </c>
      <c r="B27" s="39">
        <f t="shared" si="0"/>
        <v>508.22400000000005</v>
      </c>
      <c r="C27" s="104">
        <f>+'tab20'!M25</f>
        <v>4341.8620000000001</v>
      </c>
      <c r="D27" s="103">
        <v>91.439342996400001</v>
      </c>
      <c r="E27" s="104">
        <f t="shared" si="1"/>
        <v>4941.5253429964005</v>
      </c>
      <c r="F27" s="103"/>
      <c r="G27" s="104">
        <v>2511</v>
      </c>
      <c r="H27" s="103">
        <f t="shared" si="2"/>
        <v>1468.9095197934002</v>
      </c>
      <c r="I27" s="103">
        <v>451.47682320299998</v>
      </c>
      <c r="J27" s="104">
        <f t="shared" si="3"/>
        <v>4431.3863429964003</v>
      </c>
      <c r="K27" s="103">
        <v>510.13900000000001</v>
      </c>
      <c r="L27" s="33">
        <v>7.53</v>
      </c>
      <c r="M27" s="35">
        <v>9.3000000000000007</v>
      </c>
    </row>
    <row r="28" spans="1:13">
      <c r="A28" s="71" t="s">
        <v>392</v>
      </c>
      <c r="B28" s="39">
        <f t="shared" si="0"/>
        <v>510.13900000000001</v>
      </c>
      <c r="C28" s="104">
        <f>+'tab20'!M26</f>
        <v>3544.4279999999999</v>
      </c>
      <c r="D28" s="105">
        <v>144.65979992519999</v>
      </c>
      <c r="E28" s="106">
        <f t="shared" si="1"/>
        <v>4199.2267999251999</v>
      </c>
      <c r="F28" s="105"/>
      <c r="G28" s="106">
        <v>2035.51</v>
      </c>
      <c r="H28" s="105">
        <f t="shared" si="2"/>
        <v>1375.1600202607799</v>
      </c>
      <c r="I28" s="105">
        <v>443.56577966441995</v>
      </c>
      <c r="J28" s="106">
        <f t="shared" si="3"/>
        <v>3854.2357999251999</v>
      </c>
      <c r="K28" s="105">
        <v>344.99099999999999</v>
      </c>
      <c r="L28" s="33">
        <v>6.89</v>
      </c>
      <c r="M28" s="35">
        <v>9.3000000000000007</v>
      </c>
    </row>
    <row r="29" spans="1:13">
      <c r="A29" s="71" t="s">
        <v>396</v>
      </c>
      <c r="B29" s="39">
        <f t="shared" ref="B29:B34" si="4">+K28</f>
        <v>344.99099999999999</v>
      </c>
      <c r="C29" s="104">
        <f>+'tab20'!M27</f>
        <v>3418.759</v>
      </c>
      <c r="D29" s="105">
        <v>168.51711689819999</v>
      </c>
      <c r="E29" s="106">
        <f t="shared" ref="E29:E34" si="5">SUM(B29:D29)</f>
        <v>3932.2671168982001</v>
      </c>
      <c r="F29" s="105"/>
      <c r="G29" s="106">
        <v>1676.4056</v>
      </c>
      <c r="H29" s="105">
        <f t="shared" si="2"/>
        <v>1499.03340992621</v>
      </c>
      <c r="I29" s="105">
        <v>517.34110697199003</v>
      </c>
      <c r="J29" s="106">
        <f t="shared" ref="J29:J34" si="6">+E29-K29</f>
        <v>3692.7801168982</v>
      </c>
      <c r="K29" s="105">
        <v>239.48699999999999</v>
      </c>
      <c r="L29" s="33">
        <v>9.6199999999999992</v>
      </c>
      <c r="M29" s="35">
        <v>9.3000000000000007</v>
      </c>
    </row>
    <row r="30" spans="1:13">
      <c r="A30" s="71" t="s">
        <v>409</v>
      </c>
      <c r="B30" s="105">
        <f t="shared" si="4"/>
        <v>239.48699999999999</v>
      </c>
      <c r="C30" s="104">
        <f>+'tab20'!M28</f>
        <v>2451.2469999999998</v>
      </c>
      <c r="D30" s="105">
        <v>216.095</v>
      </c>
      <c r="E30" s="106">
        <f t="shared" si="5"/>
        <v>2906.8289999999997</v>
      </c>
      <c r="F30" s="105"/>
      <c r="G30" s="106">
        <v>702.7</v>
      </c>
      <c r="H30" s="105">
        <f t="shared" ref="H30:H35" si="7">+J30-G30-I30</f>
        <v>1398.1367744705515</v>
      </c>
      <c r="I30" s="105">
        <v>366.28622552944802</v>
      </c>
      <c r="J30" s="106">
        <f t="shared" si="6"/>
        <v>2467.1229999999996</v>
      </c>
      <c r="K30" s="105">
        <v>439.70600000000002</v>
      </c>
      <c r="L30" s="33">
        <v>12.1</v>
      </c>
      <c r="M30" s="35">
        <v>9.6</v>
      </c>
    </row>
    <row r="31" spans="1:13">
      <c r="A31" s="71" t="s">
        <v>420</v>
      </c>
      <c r="B31" s="105">
        <f t="shared" si="4"/>
        <v>439.70600000000002</v>
      </c>
      <c r="C31" s="104">
        <f>+'tab20'!M29</f>
        <v>2665.2260000000001</v>
      </c>
      <c r="D31" s="105">
        <v>197.33799999999999</v>
      </c>
      <c r="E31" s="106">
        <f t="shared" si="5"/>
        <v>3302.2700000000004</v>
      </c>
      <c r="F31" s="105"/>
      <c r="G31" s="106">
        <v>1382.9</v>
      </c>
      <c r="H31" s="105">
        <f t="shared" si="7"/>
        <v>1185.3804308256706</v>
      </c>
      <c r="I31" s="105">
        <v>374.86556917433001</v>
      </c>
      <c r="J31" s="106">
        <f t="shared" si="6"/>
        <v>2943.1460000000006</v>
      </c>
      <c r="K31" s="105">
        <v>359.12400000000002</v>
      </c>
      <c r="L31" s="33">
        <v>12.1</v>
      </c>
      <c r="M31" s="35">
        <v>9.6</v>
      </c>
    </row>
    <row r="32" spans="1:13">
      <c r="A32" s="71" t="s">
        <v>422</v>
      </c>
      <c r="B32" s="105">
        <f t="shared" si="4"/>
        <v>359.12400000000002</v>
      </c>
      <c r="C32" s="104">
        <f>+'tab20'!M30</f>
        <v>2049.6129999999998</v>
      </c>
      <c r="D32" s="105">
        <v>97.772999999999996</v>
      </c>
      <c r="E32" s="106">
        <f t="shared" si="5"/>
        <v>2506.5100000000002</v>
      </c>
      <c r="F32" s="105"/>
      <c r="G32" s="106">
        <v>609</v>
      </c>
      <c r="H32" s="105">
        <f t="shared" si="7"/>
        <v>1386.8990000000001</v>
      </c>
      <c r="I32" s="105">
        <v>311.56799999999998</v>
      </c>
      <c r="J32" s="106">
        <f t="shared" si="6"/>
        <v>2307.4670000000001</v>
      </c>
      <c r="K32" s="105">
        <v>199.04300000000001</v>
      </c>
      <c r="L32" s="33">
        <v>13.7</v>
      </c>
      <c r="M32" s="35">
        <v>9.3000000000000007</v>
      </c>
    </row>
    <row r="33" spans="1:13">
      <c r="A33" s="71" t="s">
        <v>448</v>
      </c>
      <c r="B33" s="105">
        <f t="shared" si="4"/>
        <v>199.04300000000001</v>
      </c>
      <c r="C33" s="104">
        <f>+'tab20'!M31</f>
        <v>4017.1550000000002</v>
      </c>
      <c r="D33" s="105">
        <v>86.823000000000008</v>
      </c>
      <c r="E33" s="106">
        <f t="shared" si="5"/>
        <v>4303.0210000000006</v>
      </c>
      <c r="F33" s="105"/>
      <c r="G33" s="106">
        <v>1248.0999999999999</v>
      </c>
      <c r="H33" s="105">
        <f t="shared" si="7"/>
        <v>1878.0320000000008</v>
      </c>
      <c r="I33" s="105">
        <v>392.74700000000001</v>
      </c>
      <c r="J33" s="106">
        <f t="shared" si="6"/>
        <v>3518.8790000000008</v>
      </c>
      <c r="K33" s="105">
        <v>784.14200000000005</v>
      </c>
      <c r="L33" s="33">
        <v>12.1</v>
      </c>
      <c r="M33" s="35">
        <v>9.3000000000000007</v>
      </c>
    </row>
    <row r="34" spans="1:13">
      <c r="A34" s="71" t="s">
        <v>463</v>
      </c>
      <c r="B34" s="105">
        <f t="shared" si="4"/>
        <v>784.14200000000005</v>
      </c>
      <c r="C34" s="104">
        <f>+'tab20'!M32</f>
        <v>2143.6129999999998</v>
      </c>
      <c r="D34" s="105">
        <v>246.71899999999999</v>
      </c>
      <c r="E34" s="106">
        <f t="shared" si="5"/>
        <v>3174.4740000000002</v>
      </c>
      <c r="F34" s="105"/>
      <c r="G34" s="106">
        <v>1452</v>
      </c>
      <c r="H34" s="105">
        <f t="shared" si="7"/>
        <v>1020.3260000000002</v>
      </c>
      <c r="I34" s="105">
        <v>400.14799999999997</v>
      </c>
      <c r="J34" s="106">
        <f t="shared" si="6"/>
        <v>2872.4740000000002</v>
      </c>
      <c r="K34" s="105">
        <v>302</v>
      </c>
      <c r="L34" s="33">
        <v>14.5</v>
      </c>
      <c r="M34" s="35">
        <v>9.3000000000000007</v>
      </c>
    </row>
    <row r="35" spans="1:13">
      <c r="A35" s="71" t="s">
        <v>470</v>
      </c>
      <c r="B35" s="105">
        <f t="shared" ref="B35:B40" si="8">+K34</f>
        <v>302</v>
      </c>
      <c r="C35" s="104">
        <f>+'tab20'!M33</f>
        <v>2868.87</v>
      </c>
      <c r="D35" s="105">
        <v>192.32400000000001</v>
      </c>
      <c r="E35" s="106">
        <f t="shared" ref="E35:E44" si="9">SUM(B35:D35)</f>
        <v>3363.194</v>
      </c>
      <c r="F35" s="105"/>
      <c r="G35" s="106">
        <v>1504.8</v>
      </c>
      <c r="H35" s="105">
        <f t="shared" si="7"/>
        <v>1152.58</v>
      </c>
      <c r="I35" s="105">
        <v>441.13299999999998</v>
      </c>
      <c r="J35" s="106">
        <f t="shared" ref="J35:J40" si="10">+E35-K35</f>
        <v>3098.5129999999999</v>
      </c>
      <c r="K35" s="105">
        <v>264.68099999999998</v>
      </c>
      <c r="L35" s="33">
        <v>21.7</v>
      </c>
      <c r="M35" s="35">
        <v>9.3000000000000007</v>
      </c>
    </row>
    <row r="36" spans="1:13">
      <c r="A36" s="71" t="s">
        <v>477</v>
      </c>
      <c r="B36" s="105">
        <f t="shared" si="8"/>
        <v>264.68099999999998</v>
      </c>
      <c r="C36" s="104">
        <f>+'tab20'!M34</f>
        <v>3422.84</v>
      </c>
      <c r="D36" s="105">
        <v>154.02600000000001</v>
      </c>
      <c r="E36" s="106">
        <f t="shared" si="9"/>
        <v>3841.547</v>
      </c>
      <c r="F36" s="105"/>
      <c r="G36" s="106">
        <v>1458.3</v>
      </c>
      <c r="H36" s="105">
        <f t="shared" ref="H36:H41" si="11">+J36-G36-I36</f>
        <v>1486.3710000000001</v>
      </c>
      <c r="I36" s="105">
        <v>405.488</v>
      </c>
      <c r="J36" s="106">
        <f t="shared" si="10"/>
        <v>3350.1590000000001</v>
      </c>
      <c r="K36" s="105">
        <v>491.38799999999998</v>
      </c>
      <c r="L36" s="33">
        <v>21.8</v>
      </c>
      <c r="M36" s="35">
        <v>9.3000000000000007</v>
      </c>
    </row>
    <row r="37" spans="1:13">
      <c r="A37" s="127" t="s">
        <v>483</v>
      </c>
      <c r="B37" s="105">
        <f t="shared" si="8"/>
        <v>491.38799999999998</v>
      </c>
      <c r="C37" s="104">
        <f>+'tab20'!M35</f>
        <v>3036.46</v>
      </c>
      <c r="D37" s="105">
        <v>102.467</v>
      </c>
      <c r="E37" s="106">
        <f t="shared" si="9"/>
        <v>3630.3150000000001</v>
      </c>
      <c r="F37" s="105"/>
      <c r="G37" s="106">
        <v>1711.5</v>
      </c>
      <c r="H37" s="105">
        <f t="shared" si="11"/>
        <v>1134.4200000000003</v>
      </c>
      <c r="I37" s="105">
        <v>395.02299999999997</v>
      </c>
      <c r="J37" s="106">
        <f t="shared" si="10"/>
        <v>3240.9430000000002</v>
      </c>
      <c r="K37" s="105">
        <v>389.37200000000001</v>
      </c>
      <c r="L37" s="33">
        <v>15.1</v>
      </c>
      <c r="M37" s="35">
        <v>9.3000000000000007</v>
      </c>
    </row>
    <row r="38" spans="1:13">
      <c r="A38" s="127" t="s">
        <v>487</v>
      </c>
      <c r="B38" s="105">
        <f t="shared" si="8"/>
        <v>389.37200000000001</v>
      </c>
      <c r="C38" s="104">
        <f>+'tab20'!M36</f>
        <v>2735.57</v>
      </c>
      <c r="D38" s="105">
        <v>89.617000000000004</v>
      </c>
      <c r="E38" s="106">
        <f t="shared" si="9"/>
        <v>3214.5590000000002</v>
      </c>
      <c r="F38" s="105"/>
      <c r="G38" s="106">
        <v>1295.9680000000001</v>
      </c>
      <c r="H38" s="105">
        <f t="shared" si="11"/>
        <v>1306.1620000000003</v>
      </c>
      <c r="I38" s="105">
        <v>353.76</v>
      </c>
      <c r="J38" s="106">
        <f t="shared" si="10"/>
        <v>2955.8900000000003</v>
      </c>
      <c r="K38" s="105">
        <v>258.66899999999998</v>
      </c>
      <c r="L38" s="33">
        <v>23.3</v>
      </c>
      <c r="M38" s="35">
        <v>10.09</v>
      </c>
    </row>
    <row r="39" spans="1:13">
      <c r="A39" s="127" t="s">
        <v>493</v>
      </c>
      <c r="B39" s="105">
        <f t="shared" si="8"/>
        <v>258.66899999999998</v>
      </c>
      <c r="C39" s="104">
        <f>+'tab20'!M37</f>
        <v>2038.2750000000001</v>
      </c>
      <c r="D39" s="105">
        <v>97.185000000000002</v>
      </c>
      <c r="E39" s="106">
        <f t="shared" si="9"/>
        <v>2394.1289999999999</v>
      </c>
      <c r="F39" s="105"/>
      <c r="G39" s="106">
        <v>770.25300000000004</v>
      </c>
      <c r="H39" s="105">
        <f t="shared" si="11"/>
        <v>1199.2509999999997</v>
      </c>
      <c r="I39" s="105">
        <v>233.77900000000002</v>
      </c>
      <c r="J39" s="106">
        <f t="shared" si="10"/>
        <v>2203.2829999999999</v>
      </c>
      <c r="K39" s="105">
        <v>190.846</v>
      </c>
      <c r="L39" s="33">
        <v>29.1</v>
      </c>
      <c r="M39" s="35">
        <v>10.09</v>
      </c>
    </row>
    <row r="40" spans="1:13">
      <c r="A40" s="127" t="s">
        <v>506</v>
      </c>
      <c r="B40" s="105">
        <f t="shared" si="8"/>
        <v>190.846</v>
      </c>
      <c r="C40" s="104">
        <f>+'tab20'!M38</f>
        <v>2736.06</v>
      </c>
      <c r="D40" s="105">
        <v>117.896</v>
      </c>
      <c r="E40" s="106">
        <f t="shared" si="9"/>
        <v>3044.8020000000001</v>
      </c>
      <c r="F40" s="105"/>
      <c r="G40" s="106">
        <v>993.82799999999997</v>
      </c>
      <c r="H40" s="105">
        <f t="shared" si="11"/>
        <v>1411.3570000000002</v>
      </c>
      <c r="I40" s="105">
        <v>300.74399999999997</v>
      </c>
      <c r="J40" s="106">
        <f t="shared" si="10"/>
        <v>2705.9290000000001</v>
      </c>
      <c r="K40" s="105">
        <v>338.87300000000005</v>
      </c>
      <c r="L40" s="33">
        <v>25.4</v>
      </c>
      <c r="M40" s="35">
        <v>10.09</v>
      </c>
    </row>
    <row r="41" spans="1:13">
      <c r="A41" s="127" t="s">
        <v>574</v>
      </c>
      <c r="B41" s="105">
        <f>+K40</f>
        <v>338.87300000000005</v>
      </c>
      <c r="C41" s="104">
        <f>+'tab20'!M39</f>
        <v>2021.7649999999999</v>
      </c>
      <c r="D41" s="105">
        <v>143.839</v>
      </c>
      <c r="E41" s="106">
        <f t="shared" si="9"/>
        <v>2504.4769999999999</v>
      </c>
      <c r="F41" s="105"/>
      <c r="G41" s="106">
        <v>1020.18</v>
      </c>
      <c r="H41" s="105">
        <f t="shared" si="11"/>
        <v>1020.5450000000003</v>
      </c>
      <c r="I41" s="105">
        <v>264.00299999999999</v>
      </c>
      <c r="J41" s="106">
        <f>+E41-K41</f>
        <v>2304.7280000000001</v>
      </c>
      <c r="K41" s="105">
        <v>199.749</v>
      </c>
      <c r="L41" s="33">
        <v>21.4</v>
      </c>
      <c r="M41" s="35">
        <v>10.09</v>
      </c>
    </row>
    <row r="42" spans="1:13">
      <c r="A42" s="127" t="s">
        <v>572</v>
      </c>
      <c r="B42" s="105">
        <f>+K41</f>
        <v>199.749</v>
      </c>
      <c r="C42" s="104">
        <f>+'tab20'!M40</f>
        <v>2219.0500000000002</v>
      </c>
      <c r="D42" s="244">
        <v>164.09099999999998</v>
      </c>
      <c r="E42" s="106">
        <f t="shared" si="9"/>
        <v>2582.89</v>
      </c>
      <c r="F42" s="105"/>
      <c r="G42" s="245">
        <v>807</v>
      </c>
      <c r="H42" s="105">
        <f>+J42-G42-I42</f>
        <v>1283.3499999999997</v>
      </c>
      <c r="I42" s="244">
        <v>255.32300000000001</v>
      </c>
      <c r="J42" s="106">
        <f>+E42-K42</f>
        <v>2345.6729999999998</v>
      </c>
      <c r="K42" s="244">
        <v>237.21699999999998</v>
      </c>
      <c r="L42" s="233">
        <v>21.7</v>
      </c>
      <c r="M42" s="35">
        <v>10.09</v>
      </c>
    </row>
    <row r="43" spans="1:13">
      <c r="A43" s="127" t="s">
        <v>585</v>
      </c>
      <c r="B43" s="105">
        <f>+K42</f>
        <v>237.21699999999998</v>
      </c>
      <c r="C43" s="104">
        <f>+'tab20'!M41</f>
        <v>2923.73</v>
      </c>
      <c r="D43" s="244">
        <v>157.75299999999999</v>
      </c>
      <c r="E43" s="106">
        <f t="shared" si="9"/>
        <v>3318.7000000000003</v>
      </c>
      <c r="F43" s="105"/>
      <c r="G43" s="245">
        <v>1091</v>
      </c>
      <c r="H43" s="105">
        <f>+J43-G43-I43</f>
        <v>1597.6860000000001</v>
      </c>
      <c r="I43" s="244">
        <v>217.976</v>
      </c>
      <c r="J43" s="106">
        <f>+E43-K43</f>
        <v>2906.6620000000003</v>
      </c>
      <c r="K43" s="244">
        <v>412.03800000000001</v>
      </c>
      <c r="L43" s="233">
        <v>19.600000000000001</v>
      </c>
      <c r="M43" s="35">
        <v>10.09</v>
      </c>
    </row>
    <row r="44" spans="1:13">
      <c r="A44" s="127" t="s">
        <v>578</v>
      </c>
      <c r="B44" s="105">
        <f>+K43</f>
        <v>412.03800000000001</v>
      </c>
      <c r="C44" s="104">
        <f>+'tab20'!M42</f>
        <v>2651.6349999999998</v>
      </c>
      <c r="D44" s="244">
        <v>176.24700000000001</v>
      </c>
      <c r="E44" s="106">
        <f t="shared" si="9"/>
        <v>3239.9199999999996</v>
      </c>
      <c r="F44" s="105"/>
      <c r="G44" s="245">
        <v>1120</v>
      </c>
      <c r="H44" s="105">
        <f>+J44-G44-I44</f>
        <v>1332.0289999999995</v>
      </c>
      <c r="I44" s="244">
        <v>198.303</v>
      </c>
      <c r="J44" s="106">
        <f>+E44-K44</f>
        <v>2650.3319999999994</v>
      </c>
      <c r="K44" s="244">
        <v>589.58799999999997</v>
      </c>
      <c r="L44" s="233">
        <v>17.350000000000001</v>
      </c>
      <c r="M44" s="35">
        <v>10.09</v>
      </c>
    </row>
    <row r="45" spans="1:13">
      <c r="A45" s="150" t="s">
        <v>668</v>
      </c>
      <c r="B45" s="107">
        <f>+K44</f>
        <v>589.58799999999997</v>
      </c>
      <c r="C45" s="108">
        <f>+'tab20'!M43</f>
        <v>2168.7370000000001</v>
      </c>
      <c r="D45" s="296">
        <v>200</v>
      </c>
      <c r="E45" s="108">
        <v>2958</v>
      </c>
      <c r="F45" s="107"/>
      <c r="G45" s="290">
        <v>1070</v>
      </c>
      <c r="H45" s="107">
        <f>+J45-G45-I45</f>
        <v>1388</v>
      </c>
      <c r="I45" s="296">
        <v>185</v>
      </c>
      <c r="J45" s="108">
        <f>+E45-K45</f>
        <v>2643</v>
      </c>
      <c r="K45" s="296">
        <v>315</v>
      </c>
      <c r="L45" s="353" t="s">
        <v>736</v>
      </c>
      <c r="M45" s="36">
        <v>10.09</v>
      </c>
    </row>
    <row r="46" spans="1:13" s="6" customFormat="1" ht="12" customHeight="1">
      <c r="A46" s="117" t="s">
        <v>437</v>
      </c>
      <c r="B46" s="117" t="s">
        <v>566</v>
      </c>
    </row>
    <row r="47" spans="1:13" s="6" customFormat="1" ht="12" customHeight="1">
      <c r="A47" s="117" t="s">
        <v>628</v>
      </c>
    </row>
    <row r="48" spans="1:13" ht="10.25" customHeight="1">
      <c r="A48" s="168" t="s">
        <v>629</v>
      </c>
    </row>
    <row r="49" spans="1:13">
      <c r="A49" s="168" t="s">
        <v>630</v>
      </c>
      <c r="L49" s="305"/>
      <c r="M49" s="305" t="s">
        <v>679</v>
      </c>
    </row>
  </sheetData>
  <phoneticPr fontId="0" type="noConversion"/>
  <pageMargins left="0.7" right="0.7" top="0.75" bottom="0.75" header="0.3" footer="0.3"/>
  <pageSetup scale="87" firstPageNumber="4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L49"/>
  <sheetViews>
    <sheetView zoomScaleNormal="100" zoomScaleSheetLayoutView="100" workbookViewId="0"/>
  </sheetViews>
  <sheetFormatPr baseColWidth="10" defaultColWidth="8.75" defaultRowHeight="11"/>
  <cols>
    <col min="1" max="1" width="11.5" customWidth="1"/>
    <col min="2" max="5" width="13.25" customWidth="1"/>
    <col min="6" max="6" width="0.75" customWidth="1"/>
    <col min="7" max="11" width="13.25" customWidth="1"/>
  </cols>
  <sheetData>
    <row r="1" spans="1:12">
      <c r="A1" s="126" t="s">
        <v>707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107</v>
      </c>
      <c r="B2" s="321"/>
      <c r="C2" s="351" t="s">
        <v>119</v>
      </c>
      <c r="D2" s="321"/>
      <c r="E2" s="321"/>
      <c r="G2" s="3"/>
      <c r="H2" s="310" t="s">
        <v>117</v>
      </c>
      <c r="I2" s="310"/>
      <c r="J2" s="7" t="s">
        <v>143</v>
      </c>
      <c r="K2" s="213" t="s">
        <v>118</v>
      </c>
    </row>
    <row r="3" spans="1:12">
      <c r="A3" t="s">
        <v>266</v>
      </c>
      <c r="B3" s="7" t="s">
        <v>141</v>
      </c>
      <c r="C3" s="7" t="s">
        <v>66</v>
      </c>
      <c r="D3" s="7" t="s">
        <v>88</v>
      </c>
      <c r="E3" s="7" t="s">
        <v>177</v>
      </c>
      <c r="G3" s="7" t="s">
        <v>142</v>
      </c>
      <c r="H3" s="7" t="s">
        <v>90</v>
      </c>
      <c r="I3" s="7" t="s">
        <v>3</v>
      </c>
      <c r="J3" s="7" t="s">
        <v>110</v>
      </c>
      <c r="K3" s="187" t="s">
        <v>252</v>
      </c>
    </row>
    <row r="4" spans="1:12">
      <c r="A4" t="s">
        <v>140</v>
      </c>
      <c r="B4" s="7" t="s">
        <v>110</v>
      </c>
      <c r="K4" s="10" t="s">
        <v>571</v>
      </c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90" t="s">
        <v>267</v>
      </c>
    </row>
    <row r="6" spans="1:12">
      <c r="C6" s="320"/>
      <c r="D6" s="320"/>
      <c r="E6" s="352" t="s">
        <v>412</v>
      </c>
      <c r="F6" s="320"/>
      <c r="G6" s="320"/>
      <c r="H6" s="320"/>
      <c r="I6" s="320"/>
      <c r="J6" s="320"/>
      <c r="K6" s="160" t="s">
        <v>289</v>
      </c>
    </row>
    <row r="7" spans="1:12">
      <c r="K7" s="117"/>
    </row>
    <row r="8" spans="1:12">
      <c r="A8" s="10" t="s">
        <v>276</v>
      </c>
      <c r="B8" s="109">
        <v>4</v>
      </c>
      <c r="C8" s="110">
        <v>483.9</v>
      </c>
      <c r="D8" s="110">
        <v>4</v>
      </c>
      <c r="E8" s="110">
        <f>SUM(B8:D8)</f>
        <v>491.9</v>
      </c>
      <c r="F8" s="110"/>
      <c r="G8" s="110">
        <f>+I8-H8</f>
        <v>488.9</v>
      </c>
      <c r="H8" s="109">
        <v>0</v>
      </c>
      <c r="I8" s="110">
        <f>+E8-J8</f>
        <v>488.9</v>
      </c>
      <c r="J8" s="109">
        <v>3</v>
      </c>
      <c r="K8" s="212">
        <v>110.92</v>
      </c>
      <c r="L8" s="12"/>
    </row>
    <row r="9" spans="1:12">
      <c r="A9" s="10" t="s">
        <v>277</v>
      </c>
      <c r="B9" s="109">
        <f t="shared" ref="B9:B28" si="0">+J8</f>
        <v>3</v>
      </c>
      <c r="C9" s="110">
        <v>221.56451100000001</v>
      </c>
      <c r="D9" s="110">
        <v>3.3069329999999999</v>
      </c>
      <c r="E9" s="110">
        <f>SUM(B9:D9)</f>
        <v>227.871444</v>
      </c>
      <c r="F9" s="110"/>
      <c r="G9" s="110">
        <f>+I9-H9</f>
        <v>220.15526700000001</v>
      </c>
      <c r="H9" s="109">
        <v>0</v>
      </c>
      <c r="I9" s="110">
        <f>+E9-J9</f>
        <v>220.15526700000001</v>
      </c>
      <c r="J9" s="109">
        <v>7.7161770000000001</v>
      </c>
      <c r="K9" s="212">
        <v>106.46</v>
      </c>
      <c r="L9" s="12"/>
    </row>
    <row r="10" spans="1:12">
      <c r="A10" s="10" t="s">
        <v>278</v>
      </c>
      <c r="B10" s="109">
        <f t="shared" si="0"/>
        <v>7.7161770000000001</v>
      </c>
      <c r="C10" s="110">
        <v>478.40297399999997</v>
      </c>
      <c r="D10" s="110">
        <v>4.4092440000000002</v>
      </c>
      <c r="E10" s="110">
        <f t="shared" ref="E10:E30" si="1">SUM(B10:D10)</f>
        <v>490.52839499999999</v>
      </c>
      <c r="F10" s="110"/>
      <c r="G10" s="110">
        <f t="shared" ref="G10:G30" si="2">+I10-H10</f>
        <v>485.01684</v>
      </c>
      <c r="H10" s="109">
        <v>0</v>
      </c>
      <c r="I10" s="110">
        <f t="shared" ref="I10:I30" si="3">+E10-J10</f>
        <v>485.01684</v>
      </c>
      <c r="J10" s="109">
        <v>5.5115550000000004</v>
      </c>
      <c r="K10" s="212">
        <v>100.07</v>
      </c>
      <c r="L10" s="12"/>
    </row>
    <row r="11" spans="1:12">
      <c r="A11" s="10" t="s">
        <v>279</v>
      </c>
      <c r="B11" s="109">
        <f t="shared" si="0"/>
        <v>5.5115550000000004</v>
      </c>
      <c r="C11" s="110">
        <v>292.112415</v>
      </c>
      <c r="D11" s="110">
        <v>5.5115550000000004</v>
      </c>
      <c r="E11" s="110">
        <f t="shared" si="1"/>
        <v>303.13552499999997</v>
      </c>
      <c r="F11" s="110"/>
      <c r="G11" s="110">
        <f t="shared" si="2"/>
        <v>270.06619499999999</v>
      </c>
      <c r="H11" s="109">
        <v>27.557774999999999</v>
      </c>
      <c r="I11" s="110">
        <f t="shared" si="3"/>
        <v>297.62396999999999</v>
      </c>
      <c r="J11" s="109">
        <v>5.5115550000000004</v>
      </c>
      <c r="K11" s="212">
        <v>111.18</v>
      </c>
      <c r="L11" s="12"/>
    </row>
    <row r="12" spans="1:12">
      <c r="A12" s="10" t="s">
        <v>280</v>
      </c>
      <c r="B12" s="109">
        <f t="shared" si="0"/>
        <v>5.5115550000000004</v>
      </c>
      <c r="C12" s="110">
        <v>353.75585074200001</v>
      </c>
      <c r="D12" s="110">
        <v>5.5115550000000004</v>
      </c>
      <c r="E12" s="110">
        <f t="shared" si="1"/>
        <v>364.77896074199998</v>
      </c>
      <c r="F12" s="110"/>
      <c r="G12" s="110">
        <f t="shared" si="2"/>
        <v>343.83505174200002</v>
      </c>
      <c r="H12" s="109">
        <v>15.432354</v>
      </c>
      <c r="I12" s="110">
        <f t="shared" si="3"/>
        <v>359.26740574199999</v>
      </c>
      <c r="J12" s="109">
        <v>5.5115550000000004</v>
      </c>
      <c r="K12" s="212">
        <v>52.33</v>
      </c>
      <c r="L12" s="12"/>
    </row>
    <row r="13" spans="1:12">
      <c r="A13" s="10" t="s">
        <v>281</v>
      </c>
      <c r="B13" s="109">
        <f t="shared" si="0"/>
        <v>5.5115550000000004</v>
      </c>
      <c r="C13" s="110">
        <v>393.52502700000002</v>
      </c>
      <c r="D13" s="110">
        <v>5.5115550000000004</v>
      </c>
      <c r="E13" s="110">
        <f t="shared" si="1"/>
        <v>404.548137</v>
      </c>
      <c r="F13" s="110"/>
      <c r="G13" s="110">
        <f t="shared" si="2"/>
        <v>350.534898</v>
      </c>
      <c r="H13" s="109">
        <v>48.501683999999997</v>
      </c>
      <c r="I13" s="110">
        <f t="shared" si="3"/>
        <v>399.03658200000001</v>
      </c>
      <c r="J13" s="109">
        <v>5.5115550000000004</v>
      </c>
      <c r="K13" s="212">
        <v>68</v>
      </c>
      <c r="L13" s="12"/>
    </row>
    <row r="14" spans="1:12">
      <c r="A14" s="10" t="s">
        <v>282</v>
      </c>
      <c r="B14" s="109">
        <f t="shared" si="0"/>
        <v>5.5115550000000004</v>
      </c>
      <c r="C14" s="110">
        <v>336.20485500000001</v>
      </c>
      <c r="D14" s="110">
        <v>5.5115550000000004</v>
      </c>
      <c r="E14" s="110">
        <f t="shared" si="1"/>
        <v>347.22796499999998</v>
      </c>
      <c r="F14" s="110"/>
      <c r="G14" s="110">
        <f t="shared" si="2"/>
        <v>295.11226829999998</v>
      </c>
      <c r="H14" s="109">
        <v>46.604141700000007</v>
      </c>
      <c r="I14" s="110">
        <f t="shared" si="3"/>
        <v>341.71641</v>
      </c>
      <c r="J14" s="109">
        <v>5.5115550000000004</v>
      </c>
      <c r="K14" s="212">
        <v>75.86</v>
      </c>
      <c r="L14" s="12"/>
    </row>
    <row r="15" spans="1:12">
      <c r="A15" s="10" t="s">
        <v>283</v>
      </c>
      <c r="B15" s="109">
        <f t="shared" si="0"/>
        <v>5.5115550000000004</v>
      </c>
      <c r="C15" s="110">
        <v>469.7</v>
      </c>
      <c r="D15" s="110">
        <v>0</v>
      </c>
      <c r="E15" s="110">
        <f t="shared" si="1"/>
        <v>475.21155499999998</v>
      </c>
      <c r="F15" s="110"/>
      <c r="G15" s="110">
        <f t="shared" si="2"/>
        <v>419.48831099999995</v>
      </c>
      <c r="H15" s="109">
        <v>51.314</v>
      </c>
      <c r="I15" s="110">
        <f t="shared" si="3"/>
        <v>470.80231099999997</v>
      </c>
      <c r="J15" s="109">
        <v>4.4092440000000002</v>
      </c>
      <c r="K15" s="212">
        <v>103.42</v>
      </c>
      <c r="L15" s="12"/>
    </row>
    <row r="16" spans="1:12">
      <c r="A16" s="10" t="s">
        <v>284</v>
      </c>
      <c r="B16" s="109">
        <f t="shared" si="0"/>
        <v>4.4092440000000002</v>
      </c>
      <c r="C16" s="110">
        <v>320.60000000000002</v>
      </c>
      <c r="D16" s="110">
        <v>13.8757524</v>
      </c>
      <c r="E16" s="110">
        <f t="shared" si="1"/>
        <v>338.88499640000003</v>
      </c>
      <c r="F16" s="110"/>
      <c r="G16" s="110">
        <f t="shared" si="2"/>
        <v>328.78458850000004</v>
      </c>
      <c r="H16" s="109">
        <v>6.7934749000000005</v>
      </c>
      <c r="I16" s="110">
        <f t="shared" si="3"/>
        <v>335.57806340000002</v>
      </c>
      <c r="J16" s="109">
        <v>3.3069329999999999</v>
      </c>
      <c r="K16" s="212">
        <v>119.99</v>
      </c>
      <c r="L16" s="12"/>
    </row>
    <row r="17" spans="1:12">
      <c r="A17" s="10" t="s">
        <v>9</v>
      </c>
      <c r="B17" s="109">
        <f t="shared" si="0"/>
        <v>3.3069329999999999</v>
      </c>
      <c r="C17" s="110">
        <v>290.8</v>
      </c>
      <c r="D17" s="110">
        <v>13.817330500000001</v>
      </c>
      <c r="E17" s="110">
        <f t="shared" si="1"/>
        <v>307.92426350000005</v>
      </c>
      <c r="F17" s="110"/>
      <c r="G17" s="110">
        <f t="shared" si="2"/>
        <v>299.25153480000006</v>
      </c>
      <c r="H17" s="109">
        <v>3.2727287</v>
      </c>
      <c r="I17" s="110">
        <f t="shared" si="3"/>
        <v>302.52426350000007</v>
      </c>
      <c r="J17" s="109">
        <v>5.4</v>
      </c>
      <c r="K17" s="212">
        <v>97.13</v>
      </c>
      <c r="L17" s="12"/>
    </row>
    <row r="18" spans="1:12">
      <c r="A18" s="10" t="s">
        <v>10</v>
      </c>
      <c r="B18" s="109">
        <f t="shared" si="0"/>
        <v>5.4</v>
      </c>
      <c r="C18" s="110">
        <v>323</v>
      </c>
      <c r="D18" s="110">
        <v>20.043120900000002</v>
      </c>
      <c r="E18" s="110">
        <f t="shared" si="1"/>
        <v>348.4431209</v>
      </c>
      <c r="F18" s="110"/>
      <c r="G18" s="110">
        <f t="shared" si="2"/>
        <v>337.46204110000002</v>
      </c>
      <c r="H18" s="109">
        <v>5.9810798000000007</v>
      </c>
      <c r="I18" s="110">
        <f t="shared" si="3"/>
        <v>343.4431209</v>
      </c>
      <c r="J18" s="109">
        <v>5</v>
      </c>
      <c r="K18" s="212">
        <v>88.01</v>
      </c>
      <c r="L18" s="12"/>
    </row>
    <row r="19" spans="1:12">
      <c r="A19" s="10" t="s">
        <v>11</v>
      </c>
      <c r="B19" s="109">
        <f t="shared" si="0"/>
        <v>5</v>
      </c>
      <c r="C19" s="110">
        <v>549</v>
      </c>
      <c r="D19" s="110">
        <v>8</v>
      </c>
      <c r="E19" s="110">
        <f t="shared" si="1"/>
        <v>562</v>
      </c>
      <c r="F19" s="110"/>
      <c r="G19" s="110">
        <f t="shared" si="2"/>
        <v>495.92994759999999</v>
      </c>
      <c r="H19" s="109">
        <v>59.070052400000002</v>
      </c>
      <c r="I19" s="110">
        <f t="shared" si="3"/>
        <v>555</v>
      </c>
      <c r="J19" s="109">
        <v>7</v>
      </c>
      <c r="K19" s="212">
        <v>76.8</v>
      </c>
      <c r="L19" s="12"/>
    </row>
    <row r="20" spans="1:12">
      <c r="A20" s="10" t="s">
        <v>12</v>
      </c>
      <c r="B20" s="109">
        <f t="shared" si="0"/>
        <v>7</v>
      </c>
      <c r="C20" s="110">
        <v>484.8</v>
      </c>
      <c r="D20" s="110">
        <v>5</v>
      </c>
      <c r="E20" s="110">
        <f t="shared" si="1"/>
        <v>496.8</v>
      </c>
      <c r="F20" s="110"/>
      <c r="G20" s="110">
        <f t="shared" si="2"/>
        <v>442.2207737</v>
      </c>
      <c r="H20" s="109">
        <v>52.779226300000005</v>
      </c>
      <c r="I20" s="110">
        <f t="shared" si="3"/>
        <v>495</v>
      </c>
      <c r="J20" s="109">
        <v>1.8</v>
      </c>
      <c r="K20" s="212">
        <v>90.04</v>
      </c>
      <c r="L20" s="12"/>
    </row>
    <row r="21" spans="1:12">
      <c r="A21" s="10" t="s">
        <v>13</v>
      </c>
      <c r="B21" s="109">
        <f t="shared" si="0"/>
        <v>1.8</v>
      </c>
      <c r="C21" s="110">
        <v>360</v>
      </c>
      <c r="D21" s="110">
        <v>4.5999999999999996</v>
      </c>
      <c r="E21" s="110">
        <f t="shared" si="1"/>
        <v>366.40000000000003</v>
      </c>
      <c r="F21" s="110"/>
      <c r="G21" s="110">
        <f t="shared" si="2"/>
        <v>320.50797690000002</v>
      </c>
      <c r="H21" s="109">
        <v>40.892023100000003</v>
      </c>
      <c r="I21" s="110">
        <f t="shared" si="3"/>
        <v>361.40000000000003</v>
      </c>
      <c r="J21" s="109">
        <v>5</v>
      </c>
      <c r="K21" s="212">
        <v>94.59</v>
      </c>
      <c r="L21" s="12"/>
    </row>
    <row r="22" spans="1:12">
      <c r="A22" s="10" t="s">
        <v>14</v>
      </c>
      <c r="B22" s="109">
        <f t="shared" si="0"/>
        <v>5</v>
      </c>
      <c r="C22" s="110">
        <v>720</v>
      </c>
      <c r="D22" s="110">
        <v>0.31966699999999998</v>
      </c>
      <c r="E22" s="110">
        <f t="shared" si="1"/>
        <v>725.31966699999998</v>
      </c>
      <c r="F22" s="110"/>
      <c r="G22" s="110">
        <f t="shared" si="2"/>
        <v>622.73194569999998</v>
      </c>
      <c r="H22" s="109">
        <v>97.587721300000013</v>
      </c>
      <c r="I22" s="110">
        <f t="shared" si="3"/>
        <v>720.31966699999998</v>
      </c>
      <c r="J22" s="109">
        <v>5</v>
      </c>
      <c r="K22" s="212">
        <v>62.7</v>
      </c>
      <c r="L22" s="12"/>
    </row>
    <row r="23" spans="1:12">
      <c r="A23" s="10" t="s">
        <v>15</v>
      </c>
      <c r="B23" s="109">
        <f t="shared" si="0"/>
        <v>5</v>
      </c>
      <c r="C23" s="110">
        <v>505</v>
      </c>
      <c r="D23" s="110">
        <v>0</v>
      </c>
      <c r="E23" s="110">
        <f t="shared" si="1"/>
        <v>510</v>
      </c>
      <c r="F23" s="110"/>
      <c r="G23" s="110">
        <f t="shared" si="2"/>
        <v>477.61445880000002</v>
      </c>
      <c r="H23" s="109">
        <v>27.385541200000002</v>
      </c>
      <c r="I23" s="110">
        <f t="shared" si="3"/>
        <v>505</v>
      </c>
      <c r="J23" s="109">
        <v>5</v>
      </c>
      <c r="K23" s="212">
        <v>123.75</v>
      </c>
      <c r="L23" s="12"/>
    </row>
    <row r="24" spans="1:12">
      <c r="A24" s="10" t="s">
        <v>16</v>
      </c>
      <c r="B24" s="109">
        <f t="shared" si="0"/>
        <v>5</v>
      </c>
      <c r="C24" s="110">
        <v>485</v>
      </c>
      <c r="D24" s="110">
        <v>0.13778750000000001</v>
      </c>
      <c r="E24" s="110">
        <f t="shared" si="1"/>
        <v>490.1377875</v>
      </c>
      <c r="F24" s="110"/>
      <c r="G24" s="110">
        <f t="shared" si="2"/>
        <v>462.00491970000002</v>
      </c>
      <c r="H24" s="109">
        <v>23.132867800000003</v>
      </c>
      <c r="I24" s="110">
        <f t="shared" si="3"/>
        <v>485.1377875</v>
      </c>
      <c r="J24" s="109">
        <v>5</v>
      </c>
      <c r="K24" s="212">
        <v>110.6</v>
      </c>
      <c r="L24" s="12"/>
    </row>
    <row r="25" spans="1:12">
      <c r="A25" s="10" t="s">
        <v>17</v>
      </c>
      <c r="B25" s="109">
        <f t="shared" si="0"/>
        <v>5</v>
      </c>
      <c r="C25" s="110">
        <v>545</v>
      </c>
      <c r="D25" s="110">
        <v>0.16865189999999999</v>
      </c>
      <c r="E25" s="110">
        <f t="shared" si="1"/>
        <v>550.16865189999999</v>
      </c>
      <c r="F25" s="110"/>
      <c r="G25" s="110">
        <f t="shared" si="2"/>
        <v>530.9644141</v>
      </c>
      <c r="H25" s="109">
        <v>14.2042378</v>
      </c>
      <c r="I25" s="110">
        <f t="shared" si="3"/>
        <v>545.16865189999999</v>
      </c>
      <c r="J25" s="109">
        <v>5</v>
      </c>
      <c r="K25" s="212">
        <v>84.2</v>
      </c>
      <c r="L25" s="12"/>
    </row>
    <row r="26" spans="1:12">
      <c r="A26" s="10" t="s">
        <v>18</v>
      </c>
      <c r="B26" s="109">
        <f t="shared" si="0"/>
        <v>5</v>
      </c>
      <c r="C26" s="110">
        <v>623</v>
      </c>
      <c r="D26" s="110">
        <v>0</v>
      </c>
      <c r="E26" s="110">
        <f t="shared" si="1"/>
        <v>628</v>
      </c>
      <c r="F26" s="110"/>
      <c r="G26" s="110">
        <f t="shared" si="2"/>
        <v>577.5620917</v>
      </c>
      <c r="H26" s="109">
        <v>45.437908299999997</v>
      </c>
      <c r="I26" s="110">
        <f t="shared" si="3"/>
        <v>623</v>
      </c>
      <c r="J26" s="109">
        <v>5</v>
      </c>
      <c r="K26" s="212">
        <v>64.2</v>
      </c>
      <c r="L26" s="12"/>
    </row>
    <row r="27" spans="1:12">
      <c r="A27" s="10" t="s">
        <v>19</v>
      </c>
      <c r="B27" s="109">
        <f t="shared" si="0"/>
        <v>5</v>
      </c>
      <c r="C27" s="110">
        <v>603</v>
      </c>
      <c r="D27" s="110">
        <v>1.8187950000000001E-2</v>
      </c>
      <c r="E27" s="110">
        <f t="shared" si="1"/>
        <v>608.01818794999997</v>
      </c>
      <c r="F27" s="110"/>
      <c r="G27" s="110">
        <f t="shared" si="2"/>
        <v>580.07888402999993</v>
      </c>
      <c r="H27" s="109">
        <v>22.939303920000004</v>
      </c>
      <c r="I27" s="110">
        <f t="shared" si="3"/>
        <v>603.01818794999997</v>
      </c>
      <c r="J27" s="109">
        <v>5</v>
      </c>
      <c r="K27" s="212">
        <v>75.099999999999994</v>
      </c>
      <c r="L27" s="12"/>
    </row>
    <row r="28" spans="1:12">
      <c r="A28" s="71" t="s">
        <v>392</v>
      </c>
      <c r="B28" s="111">
        <f t="shared" si="0"/>
        <v>5</v>
      </c>
      <c r="C28" s="112">
        <v>498</v>
      </c>
      <c r="D28" s="112">
        <v>4.6737986400000001E-2</v>
      </c>
      <c r="E28" s="110">
        <f t="shared" si="1"/>
        <v>503.04673798639999</v>
      </c>
      <c r="F28" s="112"/>
      <c r="G28" s="110">
        <f t="shared" si="2"/>
        <v>489.10840774639996</v>
      </c>
      <c r="H28" s="111">
        <v>8.9383302400000009</v>
      </c>
      <c r="I28" s="110">
        <f t="shared" si="3"/>
        <v>498.04673798639999</v>
      </c>
      <c r="J28" s="111">
        <v>5</v>
      </c>
      <c r="K28" s="212">
        <v>90.5</v>
      </c>
      <c r="L28" s="12"/>
    </row>
    <row r="29" spans="1:12">
      <c r="A29" s="71" t="s">
        <v>396</v>
      </c>
      <c r="B29" s="111">
        <f t="shared" ref="B29:B34" si="4">+J28</f>
        <v>5</v>
      </c>
      <c r="C29" s="112">
        <v>390</v>
      </c>
      <c r="D29" s="112">
        <v>28.38450825</v>
      </c>
      <c r="E29" s="110">
        <f t="shared" si="1"/>
        <v>423.38450825000001</v>
      </c>
      <c r="F29" s="112"/>
      <c r="G29" s="110">
        <f t="shared" si="2"/>
        <v>390.09838795000002</v>
      </c>
      <c r="H29" s="111">
        <v>28.286120300000004</v>
      </c>
      <c r="I29" s="110">
        <f t="shared" si="3"/>
        <v>418.38450825000001</v>
      </c>
      <c r="J29" s="111">
        <v>5</v>
      </c>
      <c r="K29" s="212">
        <v>87.27</v>
      </c>
      <c r="L29" s="12"/>
    </row>
    <row r="30" spans="1:12">
      <c r="A30" s="71" t="s">
        <v>409</v>
      </c>
      <c r="B30" s="111">
        <f t="shared" si="4"/>
        <v>5</v>
      </c>
      <c r="C30" s="112">
        <v>187</v>
      </c>
      <c r="D30" s="112">
        <v>69.108999999999995</v>
      </c>
      <c r="E30" s="110">
        <f t="shared" si="1"/>
        <v>261.10899999999998</v>
      </c>
      <c r="F30" s="112"/>
      <c r="G30" s="110">
        <f t="shared" si="2"/>
        <v>252.67799999999997</v>
      </c>
      <c r="H30" s="111">
        <v>3.431</v>
      </c>
      <c r="I30" s="110">
        <f t="shared" si="3"/>
        <v>256.10899999999998</v>
      </c>
      <c r="J30" s="111">
        <v>5</v>
      </c>
      <c r="K30" s="212">
        <v>105</v>
      </c>
      <c r="L30" s="12"/>
    </row>
    <row r="31" spans="1:12">
      <c r="A31" s="71" t="s">
        <v>420</v>
      </c>
      <c r="B31" s="111">
        <f t="shared" si="4"/>
        <v>5</v>
      </c>
      <c r="C31" s="112">
        <v>329</v>
      </c>
      <c r="D31" s="112">
        <v>21.771000000000001</v>
      </c>
      <c r="E31" s="110">
        <f t="shared" ref="E31:E36" si="5">SUM(B31:D31)</f>
        <v>355.77100000000002</v>
      </c>
      <c r="F31" s="112"/>
      <c r="G31" s="110">
        <f>+I31-H31</f>
        <v>337.57</v>
      </c>
      <c r="H31" s="111">
        <v>13.201000000000001</v>
      </c>
      <c r="I31" s="110">
        <f t="shared" ref="I31:I36" si="6">+E31-J31</f>
        <v>350.77100000000002</v>
      </c>
      <c r="J31" s="111">
        <v>5</v>
      </c>
      <c r="K31" s="212">
        <v>111.14</v>
      </c>
      <c r="L31" s="12"/>
    </row>
    <row r="32" spans="1:12">
      <c r="A32" s="71" t="s">
        <v>422</v>
      </c>
      <c r="B32" s="111">
        <f t="shared" si="4"/>
        <v>5</v>
      </c>
      <c r="C32" s="112">
        <v>149</v>
      </c>
      <c r="D32" s="112">
        <v>0</v>
      </c>
      <c r="E32" s="110">
        <f t="shared" si="5"/>
        <v>154</v>
      </c>
      <c r="F32" s="112"/>
      <c r="G32" s="110">
        <f>+I32-H32</f>
        <v>145.56399999999999</v>
      </c>
      <c r="H32" s="111">
        <v>3.4359999999999999</v>
      </c>
      <c r="I32" s="110">
        <f t="shared" si="6"/>
        <v>149</v>
      </c>
      <c r="J32" s="111">
        <v>5</v>
      </c>
      <c r="K32" s="212">
        <v>85.5</v>
      </c>
      <c r="L32" s="12"/>
    </row>
    <row r="33" spans="1:12">
      <c r="A33" s="71" t="s">
        <v>448</v>
      </c>
      <c r="B33" s="111">
        <f t="shared" si="4"/>
        <v>5</v>
      </c>
      <c r="C33" s="112">
        <v>322</v>
      </c>
      <c r="D33" s="112">
        <v>5.3460000000000001</v>
      </c>
      <c r="E33" s="110">
        <f t="shared" si="5"/>
        <v>332.346</v>
      </c>
      <c r="F33" s="112"/>
      <c r="G33" s="110">
        <f>+I33-H33</f>
        <v>320.673</v>
      </c>
      <c r="H33" s="111">
        <v>6.673</v>
      </c>
      <c r="I33" s="110">
        <f t="shared" si="6"/>
        <v>327.346</v>
      </c>
      <c r="J33" s="111">
        <v>5</v>
      </c>
      <c r="K33" s="212">
        <v>77.459999999999994</v>
      </c>
      <c r="L33" s="12"/>
    </row>
    <row r="34" spans="1:12">
      <c r="A34" s="71" t="s">
        <v>463</v>
      </c>
      <c r="B34" s="111">
        <f t="shared" si="4"/>
        <v>5</v>
      </c>
      <c r="C34" s="112">
        <v>350</v>
      </c>
      <c r="D34" s="112">
        <v>21.928999999999998</v>
      </c>
      <c r="E34" s="110">
        <f t="shared" si="5"/>
        <v>376.92899999999997</v>
      </c>
      <c r="F34" s="112"/>
      <c r="G34" s="110">
        <f>+I34-H34</f>
        <v>357.25299999999999</v>
      </c>
      <c r="H34" s="111">
        <v>14.676</v>
      </c>
      <c r="I34" s="110">
        <f t="shared" si="6"/>
        <v>371.92899999999997</v>
      </c>
      <c r="J34" s="111">
        <v>5</v>
      </c>
      <c r="K34" s="212">
        <v>104.88</v>
      </c>
      <c r="L34" s="12"/>
    </row>
    <row r="35" spans="1:12">
      <c r="A35" s="71" t="s">
        <v>470</v>
      </c>
      <c r="B35" s="111">
        <f t="shared" ref="B35:B40" si="7">+J34</f>
        <v>5</v>
      </c>
      <c r="C35" s="112">
        <v>368</v>
      </c>
      <c r="D35" s="112">
        <v>0</v>
      </c>
      <c r="E35" s="110">
        <f t="shared" si="5"/>
        <v>373</v>
      </c>
      <c r="F35" s="112"/>
      <c r="G35" s="110">
        <f>+I35-H35</f>
        <v>349.69600000000003</v>
      </c>
      <c r="H35" s="111">
        <v>18.303999999999998</v>
      </c>
      <c r="I35" s="110">
        <f t="shared" si="6"/>
        <v>368</v>
      </c>
      <c r="J35" s="111">
        <v>5</v>
      </c>
      <c r="K35" s="212">
        <v>172.81</v>
      </c>
      <c r="L35" s="12"/>
    </row>
    <row r="36" spans="1:12">
      <c r="A36" s="71" t="s">
        <v>477</v>
      </c>
      <c r="B36" s="111">
        <f t="shared" si="7"/>
        <v>5</v>
      </c>
      <c r="C36" s="112">
        <v>377</v>
      </c>
      <c r="D36" s="112">
        <v>0.21018425223599999</v>
      </c>
      <c r="E36" s="110">
        <f t="shared" si="5"/>
        <v>382.21018425223599</v>
      </c>
      <c r="F36" s="112"/>
      <c r="G36" s="110">
        <f t="shared" ref="G36:G41" si="8">+I36-H36</f>
        <v>369.34518425223598</v>
      </c>
      <c r="H36" s="111">
        <v>7.8650000000000002</v>
      </c>
      <c r="I36" s="110">
        <f t="shared" si="6"/>
        <v>377.21018425223599</v>
      </c>
      <c r="J36" s="111">
        <v>5</v>
      </c>
      <c r="K36" s="212">
        <v>152.46</v>
      </c>
      <c r="L36" s="12"/>
    </row>
    <row r="37" spans="1:12">
      <c r="A37" s="71" t="s">
        <v>483</v>
      </c>
      <c r="B37" s="111">
        <f t="shared" si="7"/>
        <v>5</v>
      </c>
      <c r="C37" s="112">
        <v>421</v>
      </c>
      <c r="D37" s="112">
        <v>0.36390593043000002</v>
      </c>
      <c r="E37" s="110">
        <f t="shared" ref="E37:E42" si="9">SUM(B37:D37)</f>
        <v>426.36390593043001</v>
      </c>
      <c r="F37" s="112"/>
      <c r="G37" s="110">
        <f t="shared" si="8"/>
        <v>414.67190593043</v>
      </c>
      <c r="H37" s="111">
        <v>6.6920000000000002</v>
      </c>
      <c r="I37" s="110">
        <f t="shared" ref="I37:I42" si="10">+E37-J37</f>
        <v>421.36390593043001</v>
      </c>
      <c r="J37" s="111">
        <v>5</v>
      </c>
      <c r="K37" s="212">
        <v>151.04</v>
      </c>
      <c r="L37" s="12"/>
    </row>
    <row r="38" spans="1:12">
      <c r="A38" s="71" t="s">
        <v>492</v>
      </c>
      <c r="B38" s="111">
        <f t="shared" si="7"/>
        <v>5</v>
      </c>
      <c r="C38" s="112">
        <v>284</v>
      </c>
      <c r="D38" s="112">
        <v>0</v>
      </c>
      <c r="E38" s="110">
        <f t="shared" si="9"/>
        <v>289</v>
      </c>
      <c r="F38" s="112"/>
      <c r="G38" s="110">
        <f t="shared" si="8"/>
        <v>280.83300000000003</v>
      </c>
      <c r="H38" s="111">
        <v>3.1669999999999998</v>
      </c>
      <c r="I38" s="110">
        <f t="shared" si="10"/>
        <v>284</v>
      </c>
      <c r="J38" s="111">
        <v>5</v>
      </c>
      <c r="K38" s="212">
        <v>219.75</v>
      </c>
      <c r="L38" s="12"/>
    </row>
    <row r="39" spans="1:12">
      <c r="A39" s="71" t="s">
        <v>517</v>
      </c>
      <c r="B39" s="111">
        <f t="shared" si="7"/>
        <v>5</v>
      </c>
      <c r="C39" s="112">
        <v>200</v>
      </c>
      <c r="D39" s="112">
        <v>0.50124285792000001</v>
      </c>
      <c r="E39" s="110">
        <f t="shared" si="9"/>
        <v>205.50124285792</v>
      </c>
      <c r="F39" s="112"/>
      <c r="G39" s="110">
        <f t="shared" si="8"/>
        <v>197.02724285792002</v>
      </c>
      <c r="H39" s="111">
        <v>3.4740000000000002</v>
      </c>
      <c r="I39" s="110">
        <f t="shared" si="10"/>
        <v>200.50124285792</v>
      </c>
      <c r="J39" s="111">
        <v>5</v>
      </c>
      <c r="K39" s="212">
        <v>246.75</v>
      </c>
      <c r="L39" s="12"/>
    </row>
    <row r="40" spans="1:12">
      <c r="A40" s="71" t="s">
        <v>506</v>
      </c>
      <c r="B40" s="111">
        <f t="shared" si="7"/>
        <v>5</v>
      </c>
      <c r="C40" s="112">
        <v>262</v>
      </c>
      <c r="D40" s="112">
        <v>0.43891047780299997</v>
      </c>
      <c r="E40" s="110">
        <f t="shared" si="9"/>
        <v>267.43891047780301</v>
      </c>
      <c r="F40" s="112"/>
      <c r="G40" s="110">
        <f t="shared" si="8"/>
        <v>241.05291047780301</v>
      </c>
      <c r="H40" s="111">
        <v>21.385999999999999</v>
      </c>
      <c r="I40" s="110">
        <f t="shared" si="10"/>
        <v>262.43891047780301</v>
      </c>
      <c r="J40" s="111">
        <v>5</v>
      </c>
      <c r="K40" s="212">
        <v>241.57</v>
      </c>
      <c r="L40" s="12"/>
    </row>
    <row r="41" spans="1:12">
      <c r="A41" s="71" t="s">
        <v>541</v>
      </c>
      <c r="B41" s="111">
        <f>+J40</f>
        <v>5</v>
      </c>
      <c r="C41" s="112">
        <v>265</v>
      </c>
      <c r="D41" s="112">
        <v>11.99</v>
      </c>
      <c r="E41" s="110">
        <f t="shared" si="9"/>
        <v>281.99</v>
      </c>
      <c r="F41" s="112"/>
      <c r="G41" s="110">
        <f t="shared" si="8"/>
        <v>268.48900000000003</v>
      </c>
      <c r="H41" s="111">
        <v>8.5009999999999994</v>
      </c>
      <c r="I41" s="110">
        <f t="shared" si="10"/>
        <v>276.99</v>
      </c>
      <c r="J41" s="111">
        <v>5</v>
      </c>
      <c r="K41" s="212">
        <v>244.94</v>
      </c>
      <c r="L41" s="12"/>
    </row>
    <row r="42" spans="1:12">
      <c r="A42" s="71" t="s">
        <v>572</v>
      </c>
      <c r="B42" s="111">
        <f>+J41</f>
        <v>5</v>
      </c>
      <c r="C42" s="246">
        <v>197</v>
      </c>
      <c r="D42" s="246">
        <v>22.504999999999999</v>
      </c>
      <c r="E42" s="110">
        <f t="shared" si="9"/>
        <v>224.505</v>
      </c>
      <c r="F42" s="112"/>
      <c r="G42" s="110">
        <v>224</v>
      </c>
      <c r="H42" s="247">
        <v>8.1929999999999996</v>
      </c>
      <c r="I42" s="110">
        <f t="shared" si="10"/>
        <v>219.505</v>
      </c>
      <c r="J42" s="247">
        <v>5</v>
      </c>
      <c r="K42" s="248">
        <v>209.97</v>
      </c>
      <c r="L42" s="12"/>
    </row>
    <row r="43" spans="1:12">
      <c r="A43" s="71" t="s">
        <v>575</v>
      </c>
      <c r="B43" s="111">
        <f>+J42</f>
        <v>5</v>
      </c>
      <c r="C43" s="246">
        <v>278</v>
      </c>
      <c r="D43" s="246">
        <v>23.103999999999999</v>
      </c>
      <c r="E43" s="110">
        <f>SUM(B43:D43)</f>
        <v>306.10399999999998</v>
      </c>
      <c r="F43" s="112"/>
      <c r="G43" s="110">
        <f>+I43-H43</f>
        <v>288.12599999999998</v>
      </c>
      <c r="H43" s="247">
        <v>12.978</v>
      </c>
      <c r="I43" s="110">
        <f>+E43-J43</f>
        <v>301.10399999999998</v>
      </c>
      <c r="J43" s="247">
        <v>5</v>
      </c>
      <c r="K43" s="248">
        <v>153.16999999999999</v>
      </c>
      <c r="L43" s="12"/>
    </row>
    <row r="44" spans="1:12">
      <c r="A44" s="71" t="s">
        <v>578</v>
      </c>
      <c r="B44" s="111">
        <f>+J43</f>
        <v>5</v>
      </c>
      <c r="C44" s="246">
        <v>285</v>
      </c>
      <c r="D44" s="246">
        <v>13</v>
      </c>
      <c r="E44" s="110">
        <f>SUM(B44:D44)</f>
        <v>303</v>
      </c>
      <c r="F44" s="112"/>
      <c r="G44" s="110">
        <f>+I44-H44</f>
        <v>293</v>
      </c>
      <c r="H44" s="247">
        <v>5</v>
      </c>
      <c r="I44" s="110">
        <f>+E44-J44</f>
        <v>298</v>
      </c>
      <c r="J44" s="247">
        <v>5</v>
      </c>
      <c r="K44" s="248">
        <v>145.1</v>
      </c>
      <c r="L44" s="12"/>
    </row>
    <row r="45" spans="1:12">
      <c r="A45" s="150" t="s">
        <v>667</v>
      </c>
      <c r="B45" s="113">
        <f>+J44</f>
        <v>5</v>
      </c>
      <c r="C45" s="297">
        <v>275</v>
      </c>
      <c r="D45" s="297">
        <v>10</v>
      </c>
      <c r="E45" s="297">
        <f>SUM(B45:D45)</f>
        <v>290</v>
      </c>
      <c r="F45" s="297"/>
      <c r="G45" s="297">
        <f>+I45-H45</f>
        <v>270</v>
      </c>
      <c r="H45" s="298">
        <v>15</v>
      </c>
      <c r="I45" s="297">
        <v>285</v>
      </c>
      <c r="J45" s="298">
        <v>5</v>
      </c>
      <c r="K45" s="357" t="s">
        <v>740</v>
      </c>
      <c r="L45" s="12"/>
    </row>
    <row r="46" spans="1:12" s="6" customFormat="1" ht="12" customHeight="1">
      <c r="A46" s="117" t="s">
        <v>427</v>
      </c>
    </row>
    <row r="47" spans="1:12" s="6" customFormat="1" ht="12" customHeight="1">
      <c r="A47" s="117" t="s">
        <v>631</v>
      </c>
    </row>
    <row r="48" spans="1:12" ht="10.25" customHeight="1">
      <c r="A48" s="117" t="s">
        <v>632</v>
      </c>
      <c r="K48" s="305" t="s">
        <v>679</v>
      </c>
      <c r="L48" s="311"/>
    </row>
    <row r="49" ht="10.25" customHeight="1"/>
  </sheetData>
  <phoneticPr fontId="0" type="noConversion"/>
  <pageMargins left="0.7" right="0.7" top="0.75" bottom="0.75" header="0.3" footer="0.3"/>
  <pageSetup scale="87" firstPageNumber="5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49"/>
  <sheetViews>
    <sheetView zoomScaleNormal="100" zoomScaleSheetLayoutView="100" workbookViewId="0"/>
  </sheetViews>
  <sheetFormatPr baseColWidth="10" defaultColWidth="8.75" defaultRowHeight="11"/>
  <cols>
    <col min="1" max="1" width="11.5" customWidth="1"/>
    <col min="2" max="5" width="12.75" customWidth="1"/>
    <col min="6" max="6" width="4.75" customWidth="1"/>
    <col min="7" max="11" width="12.75" customWidth="1"/>
  </cols>
  <sheetData>
    <row r="1" spans="1:11">
      <c r="A1" s="126" t="s">
        <v>708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107</v>
      </c>
      <c r="B2" s="321"/>
      <c r="C2" s="351" t="s">
        <v>119</v>
      </c>
      <c r="D2" s="321"/>
      <c r="E2" s="321"/>
      <c r="G2" s="3"/>
      <c r="H2" s="310" t="s">
        <v>117</v>
      </c>
      <c r="I2" s="310"/>
      <c r="J2" s="7" t="s">
        <v>143</v>
      </c>
      <c r="K2" s="7" t="s">
        <v>118</v>
      </c>
    </row>
    <row r="3" spans="1:11">
      <c r="A3" t="s">
        <v>100</v>
      </c>
      <c r="B3" s="7" t="s">
        <v>141</v>
      </c>
      <c r="C3" s="7" t="s">
        <v>66</v>
      </c>
      <c r="D3" s="7" t="s">
        <v>88</v>
      </c>
      <c r="E3" s="264" t="s">
        <v>3</v>
      </c>
      <c r="G3" s="7" t="s">
        <v>142</v>
      </c>
      <c r="H3" s="7" t="s">
        <v>90</v>
      </c>
      <c r="I3" s="264" t="s">
        <v>3</v>
      </c>
      <c r="J3" s="7" t="s">
        <v>110</v>
      </c>
      <c r="K3" s="7" t="s">
        <v>252</v>
      </c>
    </row>
    <row r="4" spans="1:11">
      <c r="A4" t="s">
        <v>140</v>
      </c>
      <c r="B4" s="7" t="s">
        <v>110</v>
      </c>
      <c r="K4" s="7" t="s">
        <v>257</v>
      </c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170</v>
      </c>
    </row>
    <row r="6" spans="1:11">
      <c r="C6" s="309"/>
      <c r="D6" s="309"/>
      <c r="E6" s="309"/>
      <c r="F6" s="309"/>
      <c r="G6" s="326" t="s">
        <v>285</v>
      </c>
      <c r="H6" s="309"/>
      <c r="I6" s="309"/>
      <c r="J6" s="309"/>
      <c r="K6" s="116" t="s">
        <v>521</v>
      </c>
    </row>
    <row r="7" spans="1:11">
      <c r="B7" s="115"/>
      <c r="C7" s="2"/>
      <c r="D7" s="2"/>
      <c r="E7" s="2"/>
      <c r="F7" s="2"/>
      <c r="G7" s="2"/>
      <c r="H7" s="2"/>
      <c r="I7" s="2"/>
      <c r="J7" s="2"/>
      <c r="K7" s="116"/>
    </row>
    <row r="8" spans="1:11">
      <c r="A8" s="10" t="s">
        <v>276</v>
      </c>
      <c r="B8" s="110">
        <v>161</v>
      </c>
      <c r="C8" s="110">
        <v>657</v>
      </c>
      <c r="D8" s="110">
        <v>0</v>
      </c>
      <c r="E8" s="110">
        <f>SUM(B8:D8)</f>
        <v>818</v>
      </c>
      <c r="F8" s="110"/>
      <c r="G8" s="110">
        <f t="shared" ref="G8:G28" si="0">+I8-H8</f>
        <v>64.11099999999999</v>
      </c>
      <c r="H8" s="110">
        <v>664.096</v>
      </c>
      <c r="I8" s="110">
        <f t="shared" ref="I8:I18" si="1">+E8-J8</f>
        <v>728.20699999999999</v>
      </c>
      <c r="J8" s="110">
        <v>89.793000000000006</v>
      </c>
      <c r="K8" s="118">
        <v>26.95</v>
      </c>
    </row>
    <row r="9" spans="1:11">
      <c r="A9" s="10" t="s">
        <v>277</v>
      </c>
      <c r="B9" s="110">
        <f t="shared" ref="B9:B28" si="2">+J8</f>
        <v>89.793000000000006</v>
      </c>
      <c r="C9" s="110">
        <v>302.03321399999999</v>
      </c>
      <c r="D9" s="110">
        <v>0</v>
      </c>
      <c r="E9" s="110">
        <f>SUM(B9:D9)</f>
        <v>391.82621399999999</v>
      </c>
      <c r="F9" s="110"/>
      <c r="G9" s="110">
        <f t="shared" si="0"/>
        <v>138.03221400000001</v>
      </c>
      <c r="H9" s="110">
        <v>226.49</v>
      </c>
      <c r="I9" s="110">
        <f t="shared" si="1"/>
        <v>364.52221400000002</v>
      </c>
      <c r="J9" s="110">
        <v>27.303999999999998</v>
      </c>
      <c r="K9" s="118">
        <v>24.885000000000002</v>
      </c>
    </row>
    <row r="10" spans="1:11">
      <c r="A10" s="10" t="s">
        <v>278</v>
      </c>
      <c r="B10" s="110">
        <f t="shared" si="2"/>
        <v>27.303999999999998</v>
      </c>
      <c r="C10" s="110">
        <v>668.00046599999996</v>
      </c>
      <c r="D10" s="110">
        <v>0</v>
      </c>
      <c r="E10" s="110">
        <f t="shared" ref="E10:E31" si="3">SUM(B10:D10)</f>
        <v>695.30446599999993</v>
      </c>
      <c r="F10" s="110"/>
      <c r="G10" s="110">
        <f t="shared" si="0"/>
        <v>95.554465999999934</v>
      </c>
      <c r="H10" s="110">
        <v>504.36099999999999</v>
      </c>
      <c r="I10" s="110">
        <f t="shared" si="1"/>
        <v>599.91546599999992</v>
      </c>
      <c r="J10" s="110">
        <v>95.388999999999996</v>
      </c>
      <c r="K10" s="118">
        <v>21.38</v>
      </c>
    </row>
    <row r="11" spans="1:11">
      <c r="A11" s="10" t="s">
        <v>279</v>
      </c>
      <c r="B11" s="110">
        <f t="shared" si="2"/>
        <v>95.388999999999996</v>
      </c>
      <c r="C11" s="110">
        <v>449.74288799999999</v>
      </c>
      <c r="D11" s="110">
        <v>0.98299999999999998</v>
      </c>
      <c r="E11" s="110">
        <f t="shared" si="3"/>
        <v>546.11488799999995</v>
      </c>
      <c r="F11" s="110"/>
      <c r="G11" s="110">
        <f t="shared" si="0"/>
        <v>117.01288799999992</v>
      </c>
      <c r="H11" s="110">
        <v>414.84800000000001</v>
      </c>
      <c r="I11" s="110">
        <f t="shared" si="1"/>
        <v>531.86088799999993</v>
      </c>
      <c r="J11" s="110">
        <v>14.254</v>
      </c>
      <c r="K11" s="118">
        <v>32.33</v>
      </c>
    </row>
    <row r="12" spans="1:11">
      <c r="A12" s="10" t="s">
        <v>280</v>
      </c>
      <c r="B12" s="110">
        <f t="shared" si="2"/>
        <v>14.254</v>
      </c>
      <c r="C12" s="110">
        <v>482.81221799999997</v>
      </c>
      <c r="D12" s="110">
        <v>8.8999999999999996E-2</v>
      </c>
      <c r="E12" s="110">
        <f t="shared" si="3"/>
        <v>497.15521799999999</v>
      </c>
      <c r="F12" s="110"/>
      <c r="G12" s="110">
        <f t="shared" si="0"/>
        <v>144.53021799999999</v>
      </c>
      <c r="H12" s="110">
        <v>287.08199999999999</v>
      </c>
      <c r="I12" s="110">
        <f t="shared" si="1"/>
        <v>431.61221799999998</v>
      </c>
      <c r="J12" s="110">
        <v>65.543000000000006</v>
      </c>
      <c r="K12" s="118">
        <v>30.01</v>
      </c>
    </row>
    <row r="13" spans="1:11">
      <c r="A13" s="10" t="s">
        <v>281</v>
      </c>
      <c r="B13" s="110">
        <f t="shared" si="2"/>
        <v>65.543000000000006</v>
      </c>
      <c r="C13" s="110">
        <v>584.22483</v>
      </c>
      <c r="D13" s="110">
        <v>0.23100000000000001</v>
      </c>
      <c r="E13" s="110">
        <f t="shared" si="3"/>
        <v>649.99883</v>
      </c>
      <c r="F13" s="110"/>
      <c r="G13" s="110">
        <f t="shared" si="0"/>
        <v>143.31483000000003</v>
      </c>
      <c r="H13" s="110">
        <v>452.93200000000002</v>
      </c>
      <c r="I13" s="110">
        <f t="shared" si="1"/>
        <v>596.24683000000005</v>
      </c>
      <c r="J13" s="110">
        <v>53.752000000000002</v>
      </c>
      <c r="K13" s="118">
        <v>19.100000000000001</v>
      </c>
    </row>
    <row r="14" spans="1:11">
      <c r="A14" s="10" t="s">
        <v>282</v>
      </c>
      <c r="B14" s="110">
        <f t="shared" si="2"/>
        <v>53.752000000000002</v>
      </c>
      <c r="C14" s="110">
        <v>587.00585775197305</v>
      </c>
      <c r="D14" s="110">
        <v>2.5999999999999999E-2</v>
      </c>
      <c r="E14" s="110">
        <f t="shared" si="3"/>
        <v>640.78385775197296</v>
      </c>
      <c r="F14" s="110"/>
      <c r="G14" s="110">
        <f t="shared" si="0"/>
        <v>185.21285775197299</v>
      </c>
      <c r="H14" s="110">
        <v>343.15600000000001</v>
      </c>
      <c r="I14" s="110">
        <f t="shared" si="1"/>
        <v>528.368857751973</v>
      </c>
      <c r="J14" s="110">
        <v>112.41500000000001</v>
      </c>
      <c r="K14" s="118">
        <v>15.99</v>
      </c>
    </row>
    <row r="15" spans="1:11">
      <c r="A15" s="10" t="s">
        <v>283</v>
      </c>
      <c r="B15" s="110">
        <f t="shared" si="2"/>
        <v>112.41500000000001</v>
      </c>
      <c r="C15" s="110">
        <v>831</v>
      </c>
      <c r="D15" s="110">
        <v>33.44</v>
      </c>
      <c r="E15" s="110">
        <f t="shared" si="3"/>
        <v>976.85500000000002</v>
      </c>
      <c r="F15" s="110"/>
      <c r="G15" s="110">
        <f t="shared" si="0"/>
        <v>116.80899999999997</v>
      </c>
      <c r="H15" s="110">
        <v>702.79100000000005</v>
      </c>
      <c r="I15" s="110">
        <f t="shared" si="1"/>
        <v>819.6</v>
      </c>
      <c r="J15" s="110">
        <v>157.255</v>
      </c>
      <c r="K15" s="118">
        <v>23.49</v>
      </c>
    </row>
    <row r="16" spans="1:11">
      <c r="A16" s="10" t="s">
        <v>284</v>
      </c>
      <c r="B16" s="110">
        <f t="shared" si="2"/>
        <v>157.255</v>
      </c>
      <c r="C16" s="110">
        <v>518</v>
      </c>
      <c r="D16" s="110">
        <v>18.350999999999999</v>
      </c>
      <c r="E16" s="110">
        <f t="shared" si="3"/>
        <v>693.60599999999999</v>
      </c>
      <c r="F16" s="110"/>
      <c r="G16" s="110">
        <f t="shared" si="0"/>
        <v>144.60339839999995</v>
      </c>
      <c r="H16" s="110">
        <v>468.048</v>
      </c>
      <c r="I16" s="110">
        <f t="shared" si="1"/>
        <v>612.65139839999995</v>
      </c>
      <c r="J16" s="110">
        <v>80.954601600000004</v>
      </c>
      <c r="K16" s="118">
        <v>22.66</v>
      </c>
    </row>
    <row r="17" spans="1:11">
      <c r="A17" s="10" t="s">
        <v>9</v>
      </c>
      <c r="B17" s="110">
        <f t="shared" si="2"/>
        <v>80.954601600000004</v>
      </c>
      <c r="C17" s="110">
        <v>475</v>
      </c>
      <c r="D17" s="110">
        <v>4.5170000000000003</v>
      </c>
      <c r="E17" s="110">
        <f t="shared" si="3"/>
        <v>560.4716016000001</v>
      </c>
      <c r="F17" s="110"/>
      <c r="G17" s="110">
        <f t="shared" si="0"/>
        <v>172.6376016000001</v>
      </c>
      <c r="H17" s="110">
        <v>349.834</v>
      </c>
      <c r="I17" s="110">
        <f t="shared" si="1"/>
        <v>522.4716016000001</v>
      </c>
      <c r="J17" s="110">
        <v>38</v>
      </c>
      <c r="K17" s="118">
        <v>24.37</v>
      </c>
    </row>
    <row r="18" spans="1:11">
      <c r="A18" s="10" t="s">
        <v>10</v>
      </c>
      <c r="B18" s="110">
        <f t="shared" si="2"/>
        <v>38</v>
      </c>
      <c r="C18" s="110">
        <v>535.72314600000004</v>
      </c>
      <c r="D18" s="110">
        <v>32.832000000000001</v>
      </c>
      <c r="E18" s="110">
        <f t="shared" si="3"/>
        <v>606.55514600000004</v>
      </c>
      <c r="F18" s="110"/>
      <c r="G18" s="110">
        <f t="shared" si="0"/>
        <v>200.71214600000002</v>
      </c>
      <c r="H18" s="110">
        <v>358.84300000000002</v>
      </c>
      <c r="I18" s="110">
        <f t="shared" si="1"/>
        <v>559.55514600000004</v>
      </c>
      <c r="J18" s="110">
        <v>47</v>
      </c>
      <c r="K18" s="118">
        <v>23.67</v>
      </c>
    </row>
    <row r="19" spans="1:11">
      <c r="A19" s="10" t="s">
        <v>11</v>
      </c>
      <c r="B19" s="110">
        <f t="shared" si="2"/>
        <v>47</v>
      </c>
      <c r="C19" s="110">
        <v>911</v>
      </c>
      <c r="D19" s="110">
        <v>8.8916064932520005</v>
      </c>
      <c r="E19" s="110">
        <f t="shared" si="3"/>
        <v>966.89160649325197</v>
      </c>
      <c r="F19" s="110"/>
      <c r="G19" s="110">
        <f t="shared" si="0"/>
        <v>340.16772749725192</v>
      </c>
      <c r="H19" s="110">
        <v>526.72387899600005</v>
      </c>
      <c r="I19" s="110">
        <f>+E19-J19</f>
        <v>866.89160649325197</v>
      </c>
      <c r="J19" s="110">
        <v>100</v>
      </c>
      <c r="K19" s="118">
        <v>21.63</v>
      </c>
    </row>
    <row r="20" spans="1:11">
      <c r="A20" s="10" t="s">
        <v>12</v>
      </c>
      <c r="B20" s="110">
        <f t="shared" si="2"/>
        <v>100</v>
      </c>
      <c r="C20" s="110">
        <v>729.6</v>
      </c>
      <c r="D20" s="110">
        <v>0.15870000000000001</v>
      </c>
      <c r="E20" s="110">
        <f t="shared" si="3"/>
        <v>829.75869999999998</v>
      </c>
      <c r="F20" s="110"/>
      <c r="G20" s="110">
        <f t="shared" si="0"/>
        <v>187.74270000000001</v>
      </c>
      <c r="H20" s="110">
        <v>586.11599999999999</v>
      </c>
      <c r="I20" s="110">
        <f t="shared" ref="I20:I28" si="4">+E20-J20</f>
        <v>773.8587</v>
      </c>
      <c r="J20" s="110">
        <v>55.9</v>
      </c>
      <c r="K20" s="118">
        <v>25.37</v>
      </c>
    </row>
    <row r="21" spans="1:11">
      <c r="A21" s="10" t="s">
        <v>13</v>
      </c>
      <c r="B21" s="110">
        <f t="shared" si="2"/>
        <v>55.9</v>
      </c>
      <c r="C21" s="110">
        <v>580</v>
      </c>
      <c r="D21" s="110">
        <v>7.7240000000000002</v>
      </c>
      <c r="E21" s="110">
        <f t="shared" si="3"/>
        <v>643.62400000000002</v>
      </c>
      <c r="F21" s="110"/>
      <c r="G21" s="110">
        <f t="shared" si="0"/>
        <v>128.97726029800009</v>
      </c>
      <c r="H21" s="110">
        <v>450.05373970199997</v>
      </c>
      <c r="I21" s="110">
        <f t="shared" si="4"/>
        <v>579.03100000000006</v>
      </c>
      <c r="J21" s="110">
        <v>64.593000000000004</v>
      </c>
      <c r="K21" s="118">
        <v>31.08</v>
      </c>
    </row>
    <row r="22" spans="1:11">
      <c r="A22" s="10" t="s">
        <v>14</v>
      </c>
      <c r="B22" s="110">
        <f t="shared" si="2"/>
        <v>64.593000000000004</v>
      </c>
      <c r="C22" s="110">
        <v>1165</v>
      </c>
      <c r="D22" s="110">
        <v>1.2090000000000001</v>
      </c>
      <c r="E22" s="110">
        <f t="shared" si="3"/>
        <v>1230.8020000000001</v>
      </c>
      <c r="F22" s="110"/>
      <c r="G22" s="110">
        <f t="shared" si="0"/>
        <v>177.75000000000023</v>
      </c>
      <c r="H22" s="110">
        <v>971.40300000000002</v>
      </c>
      <c r="I22" s="110">
        <f t="shared" si="4"/>
        <v>1149.1530000000002</v>
      </c>
      <c r="J22" s="110">
        <v>81.649000000000001</v>
      </c>
      <c r="K22" s="118">
        <v>28.1</v>
      </c>
    </row>
    <row r="23" spans="1:11">
      <c r="A23" s="10" t="s">
        <v>15</v>
      </c>
      <c r="B23" s="110">
        <f t="shared" si="2"/>
        <v>81.649000000000001</v>
      </c>
      <c r="C23" s="110">
        <v>859.79399999999998</v>
      </c>
      <c r="D23" s="110">
        <v>2.028232</v>
      </c>
      <c r="E23" s="110">
        <f t="shared" si="3"/>
        <v>943.47123199999999</v>
      </c>
      <c r="F23" s="110"/>
      <c r="G23" s="110">
        <f t="shared" si="0"/>
        <v>168.71923200000003</v>
      </c>
      <c r="H23" s="110">
        <v>627.31799999999998</v>
      </c>
      <c r="I23" s="110">
        <f t="shared" si="4"/>
        <v>796.03723200000002</v>
      </c>
      <c r="J23" s="110">
        <v>147.434</v>
      </c>
      <c r="K23" s="118">
        <v>25.4</v>
      </c>
    </row>
    <row r="24" spans="1:11">
      <c r="A24" s="10" t="s">
        <v>16</v>
      </c>
      <c r="B24" s="110">
        <f t="shared" si="2"/>
        <v>147.434</v>
      </c>
      <c r="C24" s="110">
        <v>839.95259999999996</v>
      </c>
      <c r="D24" s="110">
        <v>21.9666344</v>
      </c>
      <c r="E24" s="110">
        <f t="shared" si="3"/>
        <v>1009.3532343999999</v>
      </c>
      <c r="F24" s="110"/>
      <c r="G24" s="110">
        <f t="shared" si="0"/>
        <v>207.29923439999993</v>
      </c>
      <c r="H24" s="110">
        <v>708.90499999999997</v>
      </c>
      <c r="I24" s="110">
        <f t="shared" si="4"/>
        <v>916.2042343999999</v>
      </c>
      <c r="J24" s="110">
        <v>93.149000000000001</v>
      </c>
      <c r="K24" s="118">
        <v>22.64</v>
      </c>
    </row>
    <row r="25" spans="1:11">
      <c r="A25" s="10" t="s">
        <v>17</v>
      </c>
      <c r="B25" s="110">
        <f t="shared" si="2"/>
        <v>93.149000000000001</v>
      </c>
      <c r="C25" s="110">
        <v>959.00099999999998</v>
      </c>
      <c r="D25" s="110">
        <v>7.6764172000000004</v>
      </c>
      <c r="E25" s="110">
        <f t="shared" si="3"/>
        <v>1059.8264172000002</v>
      </c>
      <c r="F25" s="110"/>
      <c r="G25" s="110">
        <f t="shared" si="0"/>
        <v>185.51741720000007</v>
      </c>
      <c r="H25" s="110">
        <v>814.73900000000003</v>
      </c>
      <c r="I25" s="110">
        <f t="shared" si="4"/>
        <v>1000.2564172000001</v>
      </c>
      <c r="J25" s="110">
        <v>59.57</v>
      </c>
      <c r="K25" s="118">
        <v>27</v>
      </c>
    </row>
    <row r="26" spans="1:11">
      <c r="A26" s="10" t="s">
        <v>18</v>
      </c>
      <c r="B26" s="110">
        <f t="shared" si="2"/>
        <v>59.57</v>
      </c>
      <c r="C26" s="110">
        <v>1090</v>
      </c>
      <c r="D26" s="110">
        <v>5.1909999999999998</v>
      </c>
      <c r="E26" s="110">
        <f t="shared" si="3"/>
        <v>1154.761</v>
      </c>
      <c r="F26" s="110"/>
      <c r="G26" s="110">
        <f t="shared" si="0"/>
        <v>233.54100000000005</v>
      </c>
      <c r="H26" s="110">
        <v>799.79399999999998</v>
      </c>
      <c r="I26" s="110">
        <f t="shared" si="4"/>
        <v>1033.335</v>
      </c>
      <c r="J26" s="110">
        <v>121.426</v>
      </c>
      <c r="K26" s="118">
        <v>20.100000000000001</v>
      </c>
    </row>
    <row r="27" spans="1:11">
      <c r="A27" s="10" t="s">
        <v>19</v>
      </c>
      <c r="B27" s="110">
        <f t="shared" si="2"/>
        <v>121.426</v>
      </c>
      <c r="C27" s="110">
        <v>1055</v>
      </c>
      <c r="D27" s="110">
        <v>4.3879999999999999</v>
      </c>
      <c r="E27" s="110">
        <f t="shared" si="3"/>
        <v>1180.8139999999999</v>
      </c>
      <c r="F27" s="110"/>
      <c r="G27" s="112">
        <f t="shared" si="0"/>
        <v>393.68168888499997</v>
      </c>
      <c r="H27" s="110">
        <v>630.48331111499999</v>
      </c>
      <c r="I27" s="110">
        <f t="shared" si="4"/>
        <v>1024.165</v>
      </c>
      <c r="J27" s="110">
        <v>156.649</v>
      </c>
      <c r="K27" s="118">
        <v>16.68</v>
      </c>
    </row>
    <row r="28" spans="1:11">
      <c r="A28" s="71" t="s">
        <v>392</v>
      </c>
      <c r="B28" s="112">
        <f t="shared" si="2"/>
        <v>156.649</v>
      </c>
      <c r="C28" s="112">
        <v>854</v>
      </c>
      <c r="D28" s="112">
        <v>7.9328913425999996</v>
      </c>
      <c r="E28" s="110">
        <f t="shared" si="3"/>
        <v>1018.5818913426</v>
      </c>
      <c r="F28" s="112"/>
      <c r="G28" s="112">
        <f t="shared" si="0"/>
        <v>337.59389134260005</v>
      </c>
      <c r="H28" s="112">
        <v>544.87699999999995</v>
      </c>
      <c r="I28" s="112">
        <f t="shared" si="4"/>
        <v>882.4708913426</v>
      </c>
      <c r="J28" s="112">
        <v>136.11099999999999</v>
      </c>
      <c r="K28" s="118">
        <v>15.89</v>
      </c>
    </row>
    <row r="29" spans="1:11">
      <c r="A29" s="71" t="s">
        <v>396</v>
      </c>
      <c r="B29" s="112">
        <f t="shared" ref="B29:B34" si="5">+J28</f>
        <v>136.11099999999999</v>
      </c>
      <c r="C29" s="112">
        <v>669</v>
      </c>
      <c r="D29" s="112">
        <v>36.216648367200001</v>
      </c>
      <c r="E29" s="110">
        <f t="shared" si="3"/>
        <v>841.32764836720003</v>
      </c>
      <c r="F29" s="112"/>
      <c r="G29" s="112">
        <f t="shared" ref="G29:G34" si="6">+I29-H29</f>
        <v>365.67364836720003</v>
      </c>
      <c r="H29" s="112">
        <v>452.84199999999998</v>
      </c>
      <c r="I29" s="112">
        <f t="shared" ref="I29:I34" si="7">+E29-J29</f>
        <v>818.51564836720001</v>
      </c>
      <c r="J29" s="112">
        <v>22.812000000000001</v>
      </c>
      <c r="K29" s="118">
        <v>23.25</v>
      </c>
    </row>
    <row r="30" spans="1:11">
      <c r="A30" s="71" t="s">
        <v>409</v>
      </c>
      <c r="B30" s="112">
        <f t="shared" si="5"/>
        <v>22.812000000000001</v>
      </c>
      <c r="C30" s="112">
        <v>321</v>
      </c>
      <c r="D30" s="112">
        <v>60.750999999999998</v>
      </c>
      <c r="E30" s="110">
        <f t="shared" si="3"/>
        <v>404.56299999999999</v>
      </c>
      <c r="F30" s="112"/>
      <c r="G30" s="112">
        <f t="shared" si="6"/>
        <v>264.21800000000002</v>
      </c>
      <c r="H30" s="112">
        <v>113.44499999999999</v>
      </c>
      <c r="I30" s="112">
        <f t="shared" si="7"/>
        <v>377.66300000000001</v>
      </c>
      <c r="J30" s="112">
        <v>26.9</v>
      </c>
      <c r="K30" s="118">
        <v>33.11</v>
      </c>
    </row>
    <row r="31" spans="1:11">
      <c r="A31" s="71" t="s">
        <v>420</v>
      </c>
      <c r="B31" s="112">
        <f t="shared" si="5"/>
        <v>26.9</v>
      </c>
      <c r="C31" s="112">
        <v>564</v>
      </c>
      <c r="D31" s="112">
        <v>25.37</v>
      </c>
      <c r="E31" s="110">
        <f t="shared" si="3"/>
        <v>616.27</v>
      </c>
      <c r="F31" s="112"/>
      <c r="G31" s="112">
        <f t="shared" si="6"/>
        <v>339.62800000000004</v>
      </c>
      <c r="H31" s="112">
        <v>236.74199999999999</v>
      </c>
      <c r="I31" s="112">
        <f t="shared" si="7"/>
        <v>576.37</v>
      </c>
      <c r="J31" s="112">
        <v>39.9</v>
      </c>
      <c r="K31" s="118">
        <v>33.409999999999997</v>
      </c>
    </row>
    <row r="32" spans="1:11">
      <c r="A32" s="71" t="s">
        <v>422</v>
      </c>
      <c r="B32" s="112">
        <f t="shared" si="5"/>
        <v>39.9</v>
      </c>
      <c r="C32" s="112">
        <v>255</v>
      </c>
      <c r="D32" s="112">
        <v>75.400999999999996</v>
      </c>
      <c r="E32" s="110">
        <f t="shared" ref="E32:E37" si="8">SUM(B32:D32)</f>
        <v>370.30099999999999</v>
      </c>
      <c r="F32" s="112"/>
      <c r="G32" s="112">
        <f t="shared" si="6"/>
        <v>222.98199999999997</v>
      </c>
      <c r="H32" s="112">
        <v>125.024</v>
      </c>
      <c r="I32" s="112">
        <f t="shared" si="7"/>
        <v>348.00599999999997</v>
      </c>
      <c r="J32" s="112">
        <v>22.295000000000002</v>
      </c>
      <c r="K32" s="118">
        <v>43.78</v>
      </c>
    </row>
    <row r="33" spans="1:11">
      <c r="A33" s="71" t="s">
        <v>448</v>
      </c>
      <c r="B33" s="112">
        <f t="shared" si="5"/>
        <v>22.295000000000002</v>
      </c>
      <c r="C33" s="112">
        <v>553</v>
      </c>
      <c r="D33" s="112">
        <v>56.463000000000001</v>
      </c>
      <c r="E33" s="110">
        <f t="shared" si="8"/>
        <v>631.75799999999992</v>
      </c>
      <c r="F33" s="112"/>
      <c r="G33" s="112">
        <f t="shared" si="6"/>
        <v>367.64899999999994</v>
      </c>
      <c r="H33" s="112">
        <v>210.00299999999999</v>
      </c>
      <c r="I33" s="112">
        <f t="shared" si="7"/>
        <v>577.65199999999993</v>
      </c>
      <c r="J33" s="112">
        <v>54.106000000000002</v>
      </c>
      <c r="K33" s="118">
        <v>37.72</v>
      </c>
    </row>
    <row r="34" spans="1:11">
      <c r="A34" s="71" t="s">
        <v>463</v>
      </c>
      <c r="B34" s="112">
        <f t="shared" si="5"/>
        <v>54.106000000000002</v>
      </c>
      <c r="C34" s="112">
        <v>600</v>
      </c>
      <c r="D34" s="112">
        <v>155.797</v>
      </c>
      <c r="E34" s="110">
        <f t="shared" si="8"/>
        <v>809.90300000000002</v>
      </c>
      <c r="F34" s="112"/>
      <c r="G34" s="112">
        <f t="shared" si="6"/>
        <v>580.06500000000005</v>
      </c>
      <c r="H34" s="112">
        <v>169.93799999999999</v>
      </c>
      <c r="I34" s="112">
        <f t="shared" si="7"/>
        <v>750.00300000000004</v>
      </c>
      <c r="J34" s="112">
        <v>59.9</v>
      </c>
      <c r="K34" s="118">
        <v>58.03</v>
      </c>
    </row>
    <row r="35" spans="1:11">
      <c r="A35" s="71" t="s">
        <v>470</v>
      </c>
      <c r="B35" s="112">
        <f t="shared" ref="B35:B40" si="9">+J34</f>
        <v>59.9</v>
      </c>
      <c r="C35" s="112">
        <v>632</v>
      </c>
      <c r="D35" s="112">
        <v>103.49299999999999</v>
      </c>
      <c r="E35" s="110">
        <f t="shared" si="8"/>
        <v>795.39300000000003</v>
      </c>
      <c r="F35" s="112"/>
      <c r="G35" s="112">
        <f t="shared" ref="G35:G41" si="10">+I35-H35</f>
        <v>600.00099999999998</v>
      </c>
      <c r="H35" s="112">
        <v>169.06700000000001</v>
      </c>
      <c r="I35" s="112">
        <f t="shared" ref="I35:I40" si="11">+E35-J35</f>
        <v>769.06799999999998</v>
      </c>
      <c r="J35" s="112">
        <v>26.324999999999999</v>
      </c>
      <c r="K35" s="118">
        <v>91.15</v>
      </c>
    </row>
    <row r="36" spans="1:11">
      <c r="A36" s="71" t="s">
        <v>477</v>
      </c>
      <c r="B36" s="112">
        <f t="shared" si="9"/>
        <v>26.324999999999999</v>
      </c>
      <c r="C36" s="112">
        <v>646</v>
      </c>
      <c r="D36" s="112">
        <v>67.033000000000001</v>
      </c>
      <c r="E36" s="110">
        <f t="shared" si="8"/>
        <v>739.35800000000006</v>
      </c>
      <c r="F36" s="112"/>
      <c r="G36" s="112">
        <f t="shared" si="10"/>
        <v>428.548</v>
      </c>
      <c r="H36" s="112">
        <v>199.71</v>
      </c>
      <c r="I36" s="112">
        <f t="shared" si="11"/>
        <v>628.25800000000004</v>
      </c>
      <c r="J36" s="112">
        <v>111.1</v>
      </c>
      <c r="K36" s="118">
        <v>50.24</v>
      </c>
    </row>
    <row r="37" spans="1:11">
      <c r="A37" s="71" t="s">
        <v>483</v>
      </c>
      <c r="B37" s="112">
        <f t="shared" si="9"/>
        <v>111.1</v>
      </c>
      <c r="C37" s="112">
        <v>722</v>
      </c>
      <c r="D37" s="112">
        <v>48.64</v>
      </c>
      <c r="E37" s="110">
        <f t="shared" si="8"/>
        <v>881.74</v>
      </c>
      <c r="F37" s="112"/>
      <c r="G37" s="112">
        <f t="shared" si="10"/>
        <v>583.27099999999996</v>
      </c>
      <c r="H37" s="112">
        <v>215.02199999999999</v>
      </c>
      <c r="I37" s="112">
        <f t="shared" si="11"/>
        <v>798.29300000000001</v>
      </c>
      <c r="J37" s="112">
        <v>83.447000000000003</v>
      </c>
      <c r="K37" s="118">
        <v>52.8</v>
      </c>
    </row>
    <row r="38" spans="1:11">
      <c r="A38" s="71" t="s">
        <v>487</v>
      </c>
      <c r="B38" s="112">
        <f t="shared" si="9"/>
        <v>83.447000000000003</v>
      </c>
      <c r="C38" s="112">
        <v>487</v>
      </c>
      <c r="D38" s="112">
        <v>102.559</v>
      </c>
      <c r="E38" s="110">
        <f t="shared" ref="E38:E43" si="12">SUM(B38:D38)</f>
        <v>673.00599999999997</v>
      </c>
      <c r="F38" s="112"/>
      <c r="G38" s="112">
        <f t="shared" si="10"/>
        <v>529.30599999999993</v>
      </c>
      <c r="H38" s="112">
        <v>83.7</v>
      </c>
      <c r="I38" s="112">
        <f t="shared" si="11"/>
        <v>613.00599999999997</v>
      </c>
      <c r="J38" s="112">
        <v>60</v>
      </c>
      <c r="K38" s="118">
        <v>86.12</v>
      </c>
    </row>
    <row r="39" spans="1:11">
      <c r="A39" s="71" t="s">
        <v>517</v>
      </c>
      <c r="B39" s="112">
        <f t="shared" si="9"/>
        <v>60</v>
      </c>
      <c r="C39" s="112">
        <v>322</v>
      </c>
      <c r="D39" s="112">
        <v>162.607</v>
      </c>
      <c r="E39" s="110">
        <f t="shared" si="12"/>
        <v>544.60699999999997</v>
      </c>
      <c r="F39" s="112"/>
      <c r="G39" s="112">
        <f t="shared" si="10"/>
        <v>453.25299999999999</v>
      </c>
      <c r="H39" s="112">
        <v>41.353999999999999</v>
      </c>
      <c r="I39" s="112">
        <f t="shared" si="11"/>
        <v>494.60699999999997</v>
      </c>
      <c r="J39" s="112">
        <v>50</v>
      </c>
      <c r="K39" s="118">
        <v>83.2</v>
      </c>
    </row>
    <row r="40" spans="1:11">
      <c r="A40" s="71" t="s">
        <v>542</v>
      </c>
      <c r="B40" s="112">
        <f t="shared" si="9"/>
        <v>50</v>
      </c>
      <c r="C40" s="112">
        <v>428</v>
      </c>
      <c r="D40" s="112">
        <v>71.561000000000007</v>
      </c>
      <c r="E40" s="110">
        <f t="shared" si="12"/>
        <v>549.56100000000004</v>
      </c>
      <c r="F40" s="112"/>
      <c r="G40" s="112">
        <f t="shared" si="10"/>
        <v>437.04200000000003</v>
      </c>
      <c r="H40" s="112">
        <v>62.518999999999998</v>
      </c>
      <c r="I40" s="112">
        <f t="shared" si="11"/>
        <v>499.56100000000004</v>
      </c>
      <c r="J40" s="112">
        <v>50</v>
      </c>
      <c r="K40" s="118">
        <v>65.87</v>
      </c>
    </row>
    <row r="41" spans="1:11">
      <c r="A41" s="71" t="s">
        <v>541</v>
      </c>
      <c r="B41" s="112">
        <f>+J40</f>
        <v>50</v>
      </c>
      <c r="C41" s="112">
        <v>430</v>
      </c>
      <c r="D41" s="112">
        <v>76.418000000000006</v>
      </c>
      <c r="E41" s="110">
        <f t="shared" si="12"/>
        <v>556.41800000000001</v>
      </c>
      <c r="F41" s="112"/>
      <c r="G41" s="112">
        <f t="shared" si="10"/>
        <v>424.60699999999997</v>
      </c>
      <c r="H41" s="112">
        <v>81.811000000000007</v>
      </c>
      <c r="I41" s="112">
        <f>+E41-J41</f>
        <v>506.41800000000001</v>
      </c>
      <c r="J41" s="112">
        <v>50</v>
      </c>
      <c r="K41" s="118">
        <v>59.12</v>
      </c>
    </row>
    <row r="42" spans="1:11">
      <c r="A42" s="71" t="s">
        <v>576</v>
      </c>
      <c r="B42" s="112">
        <f>+J41</f>
        <v>50</v>
      </c>
      <c r="C42" s="246">
        <v>322</v>
      </c>
      <c r="D42" s="246">
        <v>176.83799999999999</v>
      </c>
      <c r="E42" s="110">
        <f t="shared" si="12"/>
        <v>548.83799999999997</v>
      </c>
      <c r="F42" s="112"/>
      <c r="G42" s="112">
        <f>+I42-H42</f>
        <v>435.28799999999995</v>
      </c>
      <c r="H42" s="246">
        <v>63.55</v>
      </c>
      <c r="I42" s="112">
        <f>+E42-J42</f>
        <v>498.83799999999997</v>
      </c>
      <c r="J42" s="112">
        <v>50</v>
      </c>
      <c r="K42" s="249">
        <v>66.72</v>
      </c>
    </row>
    <row r="43" spans="1:11">
      <c r="A43" s="71" t="s">
        <v>575</v>
      </c>
      <c r="B43" s="112">
        <f>+J42</f>
        <v>50</v>
      </c>
      <c r="C43" s="246">
        <v>452</v>
      </c>
      <c r="D43" s="246">
        <v>92.628</v>
      </c>
      <c r="E43" s="110">
        <f t="shared" si="12"/>
        <v>594.62800000000004</v>
      </c>
      <c r="F43" s="112"/>
      <c r="G43" s="112">
        <f>+I43-H43</f>
        <v>433.32200000000006</v>
      </c>
      <c r="H43" s="246">
        <v>85.55</v>
      </c>
      <c r="I43" s="112">
        <f>+E43-J43</f>
        <v>518.87200000000007</v>
      </c>
      <c r="J43" s="112">
        <v>75.756</v>
      </c>
      <c r="K43" s="249">
        <v>57.81</v>
      </c>
    </row>
    <row r="44" spans="1:11">
      <c r="A44" s="71" t="s">
        <v>578</v>
      </c>
      <c r="B44" s="112">
        <f>+J43</f>
        <v>75.756</v>
      </c>
      <c r="C44" s="246">
        <v>465</v>
      </c>
      <c r="D44" s="246">
        <v>120</v>
      </c>
      <c r="E44" s="110">
        <f>SUM(B44:D44)</f>
        <v>660.75599999999997</v>
      </c>
      <c r="F44" s="112"/>
      <c r="G44" s="112">
        <f>+I44-H44</f>
        <v>498.75599999999997</v>
      </c>
      <c r="H44" s="246">
        <v>71</v>
      </c>
      <c r="I44" s="112">
        <f>+E44-J44</f>
        <v>569.75599999999997</v>
      </c>
      <c r="J44" s="246">
        <v>91</v>
      </c>
      <c r="K44" s="249">
        <v>53.54</v>
      </c>
    </row>
    <row r="45" spans="1:11">
      <c r="A45" s="150" t="s">
        <v>668</v>
      </c>
      <c r="B45" s="114">
        <f>+J44</f>
        <v>91</v>
      </c>
      <c r="C45" s="297">
        <v>445</v>
      </c>
      <c r="D45" s="297">
        <v>110</v>
      </c>
      <c r="E45" s="297">
        <f>SUM(B45:D45)</f>
        <v>646</v>
      </c>
      <c r="F45" s="297"/>
      <c r="G45" s="297">
        <f>+I45-H45</f>
        <v>526</v>
      </c>
      <c r="H45" s="297">
        <v>60</v>
      </c>
      <c r="I45" s="297">
        <f>+E45-J45</f>
        <v>586</v>
      </c>
      <c r="J45" s="297">
        <v>60</v>
      </c>
      <c r="K45" s="358" t="s">
        <v>741</v>
      </c>
    </row>
    <row r="46" spans="1:11" s="6" customFormat="1" ht="12" customHeight="1">
      <c r="A46" s="117" t="s">
        <v>426</v>
      </c>
    </row>
    <row r="47" spans="1:11" s="6" customFormat="1" ht="12" customHeight="1">
      <c r="A47" s="117" t="s">
        <v>633</v>
      </c>
    </row>
    <row r="48" spans="1:11">
      <c r="A48" s="117" t="s">
        <v>634</v>
      </c>
    </row>
    <row r="49" spans="11:11" ht="10.25" customHeight="1">
      <c r="K49" s="305" t="s">
        <v>679</v>
      </c>
    </row>
  </sheetData>
  <phoneticPr fontId="0" type="noConversion"/>
  <pageMargins left="0.7" right="0.7" top="0.75" bottom="0.75" header="0.3" footer="0.3"/>
  <pageSetup scale="81" firstPageNumber="51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R37"/>
  <sheetViews>
    <sheetView zoomScaleNormal="100" zoomScaleSheetLayoutView="100" workbookViewId="0"/>
  </sheetViews>
  <sheetFormatPr baseColWidth="10" defaultColWidth="8.75" defaultRowHeight="11"/>
  <cols>
    <col min="1" max="1" width="11.75" customWidth="1"/>
    <col min="2" max="4" width="9.75" customWidth="1"/>
    <col min="5" max="5" width="2.75" customWidth="1"/>
    <col min="6" max="9" width="9.75" customWidth="1"/>
    <col min="10" max="10" width="0.75" customWidth="1"/>
    <col min="11" max="14" width="9.75" customWidth="1"/>
    <col min="15" max="15" width="0.75" customWidth="1"/>
    <col min="16" max="16" width="12.75" customWidth="1"/>
    <col min="17" max="18" width="9.75" customWidth="1"/>
  </cols>
  <sheetData>
    <row r="1" spans="1:18">
      <c r="A1" s="126" t="s">
        <v>709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t="s">
        <v>20</v>
      </c>
      <c r="B2" s="197" t="s">
        <v>62</v>
      </c>
      <c r="C2" s="197" t="s">
        <v>63</v>
      </c>
      <c r="D2" s="198" t="s">
        <v>64</v>
      </c>
      <c r="E2" s="37"/>
      <c r="F2" s="314"/>
      <c r="G2" s="334" t="s">
        <v>119</v>
      </c>
      <c r="H2" s="314"/>
      <c r="I2" s="314"/>
      <c r="J2" s="37"/>
      <c r="K2" s="314"/>
      <c r="L2" s="213" t="s">
        <v>117</v>
      </c>
      <c r="M2" s="314"/>
      <c r="N2" s="314"/>
      <c r="O2" s="37"/>
      <c r="P2" s="327" t="s">
        <v>118</v>
      </c>
      <c r="Q2" s="306"/>
    </row>
    <row r="3" spans="1:18">
      <c r="A3" t="s">
        <v>100</v>
      </c>
      <c r="E3" s="7"/>
      <c r="F3" s="7" t="s">
        <v>141</v>
      </c>
      <c r="G3" s="7" t="s">
        <v>66</v>
      </c>
      <c r="H3" s="187" t="s">
        <v>88</v>
      </c>
      <c r="I3" s="187" t="s">
        <v>3</v>
      </c>
      <c r="J3" s="7"/>
      <c r="K3" s="10" t="s">
        <v>111</v>
      </c>
      <c r="L3" s="10" t="s">
        <v>90</v>
      </c>
      <c r="M3" s="10" t="s">
        <v>177</v>
      </c>
      <c r="N3" s="199" t="s">
        <v>270</v>
      </c>
      <c r="P3" s="7" t="s">
        <v>647</v>
      </c>
      <c r="Q3" s="7"/>
      <c r="R3" s="7" t="s">
        <v>67</v>
      </c>
    </row>
    <row r="4" spans="1:18">
      <c r="A4" s="49" t="s">
        <v>271</v>
      </c>
      <c r="E4" s="7"/>
      <c r="F4" s="7" t="s">
        <v>110</v>
      </c>
      <c r="G4" s="7"/>
      <c r="H4" s="7"/>
      <c r="I4" s="7"/>
      <c r="J4" s="7"/>
      <c r="N4" s="199" t="s">
        <v>273</v>
      </c>
      <c r="P4" s="7" t="s">
        <v>114</v>
      </c>
      <c r="Q4" s="7" t="s">
        <v>535</v>
      </c>
      <c r="R4" s="7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 t="s">
        <v>169</v>
      </c>
      <c r="Q5" s="9"/>
      <c r="R5" s="9"/>
    </row>
    <row r="6" spans="1:18">
      <c r="C6" s="328" t="s">
        <v>725</v>
      </c>
      <c r="D6" s="116" t="s">
        <v>523</v>
      </c>
      <c r="E6" s="2"/>
      <c r="G6" s="312"/>
      <c r="H6" s="342" t="s">
        <v>285</v>
      </c>
      <c r="J6" s="312"/>
      <c r="K6" s="312"/>
      <c r="L6" s="312"/>
      <c r="M6" s="312"/>
      <c r="N6" s="312"/>
      <c r="O6" s="2"/>
      <c r="P6" s="7" t="s">
        <v>524</v>
      </c>
      <c r="Q6" s="7" t="s">
        <v>524</v>
      </c>
      <c r="R6" s="140" t="s">
        <v>435</v>
      </c>
    </row>
    <row r="8" spans="1:18">
      <c r="A8" s="10" t="s">
        <v>11</v>
      </c>
      <c r="B8" s="39">
        <v>155</v>
      </c>
      <c r="C8" s="39">
        <v>147</v>
      </c>
      <c r="D8" s="39">
        <f>+G8*1000/C8</f>
        <v>1300</v>
      </c>
      <c r="E8" s="39"/>
      <c r="F8" s="39">
        <v>32</v>
      </c>
      <c r="G8" s="39">
        <v>191.1</v>
      </c>
      <c r="H8" s="39">
        <v>1.7017609495320001</v>
      </c>
      <c r="I8" s="39">
        <f t="shared" ref="I8:I17" si="0">SUM(F8:H8)</f>
        <v>224.801760949532</v>
      </c>
      <c r="J8" s="39"/>
      <c r="K8" s="39">
        <v>111</v>
      </c>
      <c r="L8" s="39">
        <v>96.608028569094003</v>
      </c>
      <c r="M8" s="39">
        <f t="shared" ref="M8:M17" si="1">+I8-N8</f>
        <v>211.801760949532</v>
      </c>
      <c r="N8" s="39">
        <v>13</v>
      </c>
      <c r="O8" s="39"/>
      <c r="P8" s="35">
        <v>9.7200000000000006</v>
      </c>
      <c r="Q8" s="35">
        <v>8.9</v>
      </c>
      <c r="R8" s="138">
        <v>18582</v>
      </c>
    </row>
    <row r="9" spans="1:18">
      <c r="A9" s="10" t="s">
        <v>12</v>
      </c>
      <c r="B9" s="39">
        <v>140</v>
      </c>
      <c r="C9" s="39">
        <v>112</v>
      </c>
      <c r="D9" s="39">
        <f t="shared" ref="D9:D22" si="2">+G9*1000/C9</f>
        <v>1286.0446428571429</v>
      </c>
      <c r="E9" s="39"/>
      <c r="F9" s="39">
        <f t="shared" ref="F9:F17" si="3">+N8</f>
        <v>13</v>
      </c>
      <c r="G9" s="39">
        <v>144.03700000000001</v>
      </c>
      <c r="H9" s="39">
        <v>27</v>
      </c>
      <c r="I9" s="39">
        <f t="shared" si="0"/>
        <v>184.03700000000001</v>
      </c>
      <c r="J9" s="39"/>
      <c r="K9" s="39">
        <v>59</v>
      </c>
      <c r="L9" s="39">
        <v>104.34911559307199</v>
      </c>
      <c r="M9" s="39">
        <f t="shared" si="1"/>
        <v>173.85500000000002</v>
      </c>
      <c r="N9" s="39">
        <v>10.182</v>
      </c>
      <c r="O9" s="39"/>
      <c r="P9" s="35">
        <v>9.9</v>
      </c>
      <c r="Q9" s="35">
        <v>8.9</v>
      </c>
      <c r="R9" s="138">
        <v>14262</v>
      </c>
    </row>
    <row r="10" spans="1:18">
      <c r="A10" s="10" t="s">
        <v>13</v>
      </c>
      <c r="B10" s="39">
        <v>199</v>
      </c>
      <c r="C10" s="39">
        <v>187</v>
      </c>
      <c r="D10" s="39">
        <f t="shared" si="2"/>
        <v>1350</v>
      </c>
      <c r="E10" s="39"/>
      <c r="F10" s="39">
        <f t="shared" si="3"/>
        <v>10.182</v>
      </c>
      <c r="G10" s="39">
        <v>252.45</v>
      </c>
      <c r="H10" s="39">
        <v>772.91406844230607</v>
      </c>
      <c r="I10" s="39">
        <f t="shared" si="0"/>
        <v>1035.546068442306</v>
      </c>
      <c r="J10" s="39"/>
      <c r="K10" s="39">
        <v>845</v>
      </c>
      <c r="L10" s="39">
        <v>77.515221612906004</v>
      </c>
      <c r="M10" s="39">
        <f t="shared" si="1"/>
        <v>940.26206844230603</v>
      </c>
      <c r="N10" s="39">
        <v>95.284000000000006</v>
      </c>
      <c r="O10" s="39"/>
      <c r="P10" s="35">
        <v>10.9</v>
      </c>
      <c r="Q10" s="35">
        <v>8.9</v>
      </c>
      <c r="R10" s="138">
        <v>27476</v>
      </c>
    </row>
    <row r="11" spans="1:18">
      <c r="A11" s="10" t="s">
        <v>14</v>
      </c>
      <c r="B11" s="39">
        <v>354</v>
      </c>
      <c r="C11" s="39">
        <v>340</v>
      </c>
      <c r="D11" s="39">
        <f t="shared" si="2"/>
        <v>1316</v>
      </c>
      <c r="E11" s="39"/>
      <c r="F11" s="39">
        <f t="shared" si="3"/>
        <v>95.284000000000006</v>
      </c>
      <c r="G11" s="39">
        <v>447.44</v>
      </c>
      <c r="H11" s="39">
        <v>629.80212480481805</v>
      </c>
      <c r="I11" s="39">
        <f t="shared" si="0"/>
        <v>1172.5261248048182</v>
      </c>
      <c r="J11" s="39"/>
      <c r="K11" s="39">
        <v>891</v>
      </c>
      <c r="L11" s="39">
        <v>226.75532656833005</v>
      </c>
      <c r="M11" s="39">
        <f t="shared" si="1"/>
        <v>1138.2761248048182</v>
      </c>
      <c r="N11" s="39">
        <v>34.25</v>
      </c>
      <c r="O11" s="39"/>
      <c r="P11" s="35">
        <v>11.1</v>
      </c>
      <c r="Q11" s="35">
        <v>8.6999999999999993</v>
      </c>
      <c r="R11" s="138">
        <v>49802</v>
      </c>
    </row>
    <row r="12" spans="1:18">
      <c r="A12" s="10" t="s">
        <v>15</v>
      </c>
      <c r="B12" s="39">
        <v>446</v>
      </c>
      <c r="C12" s="39">
        <v>429</v>
      </c>
      <c r="D12" s="39">
        <f t="shared" si="2"/>
        <v>1278.4312354312353</v>
      </c>
      <c r="E12" s="39"/>
      <c r="F12" s="39">
        <f t="shared" si="3"/>
        <v>34.25</v>
      </c>
      <c r="G12" s="39">
        <v>548.447</v>
      </c>
      <c r="H12" s="39">
        <v>557.98296521171403</v>
      </c>
      <c r="I12" s="39">
        <f t="shared" si="0"/>
        <v>1140.679965211714</v>
      </c>
      <c r="J12" s="39"/>
      <c r="K12" s="39">
        <v>893</v>
      </c>
      <c r="L12" s="39">
        <v>138</v>
      </c>
      <c r="M12" s="39">
        <f t="shared" si="1"/>
        <v>1052.6649652117139</v>
      </c>
      <c r="N12" s="39">
        <v>88.015000000000001</v>
      </c>
      <c r="O12" s="39"/>
      <c r="P12" s="35">
        <v>11.1</v>
      </c>
      <c r="Q12" s="35">
        <v>8.6999999999999993</v>
      </c>
      <c r="R12" s="138">
        <v>60837</v>
      </c>
    </row>
    <row r="13" spans="1:18">
      <c r="A13" s="10" t="s">
        <v>16</v>
      </c>
      <c r="B13" s="39">
        <v>367</v>
      </c>
      <c r="C13" s="39">
        <v>347</v>
      </c>
      <c r="D13" s="39">
        <f t="shared" si="2"/>
        <v>1384.78674351585</v>
      </c>
      <c r="E13" s="39"/>
      <c r="F13" s="39">
        <f t="shared" si="3"/>
        <v>88.015000000000001</v>
      </c>
      <c r="G13" s="39">
        <v>480.52100000000002</v>
      </c>
      <c r="H13" s="39">
        <v>570</v>
      </c>
      <c r="I13" s="39">
        <f t="shared" si="0"/>
        <v>1138.5360000000001</v>
      </c>
      <c r="J13" s="39"/>
      <c r="K13" s="39">
        <v>847</v>
      </c>
      <c r="L13" s="39">
        <v>173</v>
      </c>
      <c r="M13" s="39">
        <f t="shared" si="1"/>
        <v>1059.0260000000001</v>
      </c>
      <c r="N13" s="39">
        <v>79.510000000000005</v>
      </c>
      <c r="O13" s="39"/>
      <c r="P13" s="35">
        <v>12.9</v>
      </c>
      <c r="Q13" s="35">
        <v>8.91</v>
      </c>
      <c r="R13" s="138">
        <v>62048</v>
      </c>
    </row>
    <row r="14" spans="1:18">
      <c r="A14" s="10" t="s">
        <v>17</v>
      </c>
      <c r="B14" s="39">
        <v>671</v>
      </c>
      <c r="C14" s="39">
        <v>631</v>
      </c>
      <c r="D14" s="39">
        <f t="shared" si="2"/>
        <v>1237.2583201267828</v>
      </c>
      <c r="E14" s="39"/>
      <c r="F14" s="39">
        <f t="shared" si="3"/>
        <v>79.510000000000005</v>
      </c>
      <c r="G14" s="39">
        <v>780.71</v>
      </c>
      <c r="H14" s="39">
        <v>782.2</v>
      </c>
      <c r="I14" s="39">
        <f t="shared" si="0"/>
        <v>1642.42</v>
      </c>
      <c r="J14" s="39"/>
      <c r="K14" s="39">
        <v>1292</v>
      </c>
      <c r="L14" s="39">
        <v>277</v>
      </c>
      <c r="M14" s="39">
        <f t="shared" si="1"/>
        <v>1600.5130000000001</v>
      </c>
      <c r="N14" s="39">
        <v>41.906999999999996</v>
      </c>
      <c r="O14" s="39"/>
      <c r="P14" s="35">
        <v>11.3</v>
      </c>
      <c r="Q14" s="35">
        <v>9.3000000000000007</v>
      </c>
      <c r="R14" s="138">
        <v>88235</v>
      </c>
    </row>
    <row r="15" spans="1:18">
      <c r="A15" s="10" t="s">
        <v>18</v>
      </c>
      <c r="B15" s="39">
        <v>1115</v>
      </c>
      <c r="C15" s="39">
        <v>1076</v>
      </c>
      <c r="D15" s="39">
        <f t="shared" si="2"/>
        <v>1447.7695167286245</v>
      </c>
      <c r="E15" s="39"/>
      <c r="F15" s="39">
        <f t="shared" si="3"/>
        <v>41.906999999999996</v>
      </c>
      <c r="G15" s="39">
        <v>1557.8</v>
      </c>
      <c r="H15" s="39">
        <v>683.9</v>
      </c>
      <c r="I15" s="39">
        <f t="shared" si="0"/>
        <v>2283.607</v>
      </c>
      <c r="J15" s="39"/>
      <c r="K15" s="39">
        <v>1531</v>
      </c>
      <c r="L15" s="39">
        <v>543</v>
      </c>
      <c r="M15" s="39">
        <f t="shared" si="1"/>
        <v>2115.0659999999998</v>
      </c>
      <c r="N15" s="39">
        <v>168.541</v>
      </c>
      <c r="O15" s="39"/>
      <c r="P15" s="35">
        <v>10.3</v>
      </c>
      <c r="Q15" s="35">
        <v>9.3000000000000007</v>
      </c>
      <c r="R15" s="138">
        <v>160112</v>
      </c>
    </row>
    <row r="16" spans="1:18">
      <c r="A16" s="10" t="s">
        <v>19</v>
      </c>
      <c r="B16" s="39">
        <v>1076</v>
      </c>
      <c r="C16" s="39">
        <v>1044</v>
      </c>
      <c r="D16" s="39">
        <f t="shared" si="2"/>
        <v>1306.2068965517242</v>
      </c>
      <c r="E16" s="39"/>
      <c r="F16" s="39">
        <f t="shared" si="3"/>
        <v>168.541</v>
      </c>
      <c r="G16" s="39">
        <v>1363.68</v>
      </c>
      <c r="H16" s="39">
        <v>533.9</v>
      </c>
      <c r="I16" s="39">
        <f t="shared" si="0"/>
        <v>2066.1210000000001</v>
      </c>
      <c r="J16" s="39"/>
      <c r="K16" s="39">
        <v>1617</v>
      </c>
      <c r="L16" s="39">
        <v>299</v>
      </c>
      <c r="M16" s="39">
        <f t="shared" si="1"/>
        <v>1956.7040000000002</v>
      </c>
      <c r="N16" s="39">
        <v>109.417</v>
      </c>
      <c r="O16" s="39"/>
      <c r="P16" s="35">
        <v>7.82</v>
      </c>
      <c r="Q16" s="35">
        <v>9.3000000000000007</v>
      </c>
      <c r="R16" s="138">
        <v>106685</v>
      </c>
    </row>
    <row r="17" spans="1:18">
      <c r="A17" s="71" t="s">
        <v>392</v>
      </c>
      <c r="B17" s="39">
        <v>1555</v>
      </c>
      <c r="C17" s="39">
        <v>1498</v>
      </c>
      <c r="D17" s="39">
        <f t="shared" si="2"/>
        <v>1333.9853137516689</v>
      </c>
      <c r="E17" s="84"/>
      <c r="F17" s="84">
        <f t="shared" si="3"/>
        <v>109.417</v>
      </c>
      <c r="G17" s="84">
        <v>1998.31</v>
      </c>
      <c r="H17" s="84">
        <v>479</v>
      </c>
      <c r="I17" s="84">
        <f t="shared" si="0"/>
        <v>2586.7269999999999</v>
      </c>
      <c r="J17" s="84"/>
      <c r="K17" s="39">
        <v>1969</v>
      </c>
      <c r="L17" s="84">
        <v>485.9</v>
      </c>
      <c r="M17" s="84">
        <f t="shared" si="1"/>
        <v>2502.9169999999999</v>
      </c>
      <c r="N17" s="39">
        <v>83.81</v>
      </c>
      <c r="O17" s="84"/>
      <c r="P17" s="35">
        <v>6.71</v>
      </c>
      <c r="Q17" s="35">
        <v>9.3000000000000007</v>
      </c>
      <c r="R17" s="138">
        <v>120933</v>
      </c>
    </row>
    <row r="18" spans="1:18">
      <c r="A18" s="71" t="s">
        <v>396</v>
      </c>
      <c r="B18" s="39">
        <v>1494</v>
      </c>
      <c r="C18" s="39">
        <v>1455</v>
      </c>
      <c r="D18" s="39">
        <f t="shared" si="2"/>
        <v>1373.5498281786943</v>
      </c>
      <c r="E18" s="84"/>
      <c r="F18" s="84">
        <f t="shared" ref="F18:F23" si="4">+N17</f>
        <v>83.81</v>
      </c>
      <c r="G18" s="84">
        <v>1998.5150000000001</v>
      </c>
      <c r="H18" s="84">
        <v>276</v>
      </c>
      <c r="I18" s="84">
        <f t="shared" ref="I18:I23" si="5">SUM(F18:H18)</f>
        <v>2358.3250000000003</v>
      </c>
      <c r="J18" s="84"/>
      <c r="K18" s="39">
        <v>1686</v>
      </c>
      <c r="L18" s="84">
        <v>480</v>
      </c>
      <c r="M18" s="84">
        <f t="shared" ref="M18:M23" si="6">+I18-N18</f>
        <v>2209.2550000000001</v>
      </c>
      <c r="N18" s="39">
        <v>149.07</v>
      </c>
      <c r="O18" s="84"/>
      <c r="P18" s="35">
        <v>8.77</v>
      </c>
      <c r="Q18" s="35">
        <v>9.3000000000000007</v>
      </c>
      <c r="R18" s="138">
        <v>175351</v>
      </c>
    </row>
    <row r="19" spans="1:18">
      <c r="A19" s="71" t="s">
        <v>409</v>
      </c>
      <c r="B19" s="39">
        <v>1460</v>
      </c>
      <c r="C19" s="39">
        <v>1281</v>
      </c>
      <c r="D19" s="39">
        <f t="shared" si="2"/>
        <v>1197.049180327869</v>
      </c>
      <c r="E19" s="84"/>
      <c r="F19" s="84">
        <f t="shared" si="4"/>
        <v>149.07</v>
      </c>
      <c r="G19" s="84">
        <v>1533.42</v>
      </c>
      <c r="H19" s="84">
        <v>434</v>
      </c>
      <c r="I19" s="84">
        <f t="shared" si="5"/>
        <v>2116.4899999999998</v>
      </c>
      <c r="J19" s="84"/>
      <c r="K19" s="39">
        <v>1290</v>
      </c>
      <c r="L19" s="84">
        <v>633</v>
      </c>
      <c r="M19" s="84">
        <f t="shared" si="6"/>
        <v>1961.0159999999998</v>
      </c>
      <c r="N19" s="39">
        <v>155.47399999999999</v>
      </c>
      <c r="O19" s="84"/>
      <c r="P19" s="35">
        <v>10.6</v>
      </c>
      <c r="Q19" s="35">
        <v>9.6</v>
      </c>
      <c r="R19" s="138">
        <v>162719</v>
      </c>
    </row>
    <row r="20" spans="1:18">
      <c r="A20" s="71" t="s">
        <v>420</v>
      </c>
      <c r="B20" s="39">
        <v>1082</v>
      </c>
      <c r="C20" s="39">
        <v>1068</v>
      </c>
      <c r="D20" s="39">
        <f t="shared" si="2"/>
        <v>1415.9644194756554</v>
      </c>
      <c r="E20" s="84"/>
      <c r="F20" s="84">
        <f t="shared" si="4"/>
        <v>155.47399999999999</v>
      </c>
      <c r="G20" s="84">
        <v>1512.25</v>
      </c>
      <c r="H20" s="84">
        <v>536.79999999999995</v>
      </c>
      <c r="I20" s="84">
        <f t="shared" si="5"/>
        <v>2204.5239999999999</v>
      </c>
      <c r="J20" s="84"/>
      <c r="K20" s="39">
        <v>1407</v>
      </c>
      <c r="L20" s="84">
        <v>670.7</v>
      </c>
      <c r="M20" s="84">
        <f t="shared" si="6"/>
        <v>2116.364</v>
      </c>
      <c r="N20" s="39">
        <v>88.16</v>
      </c>
      <c r="O20" s="84"/>
      <c r="P20" s="35">
        <v>10.6</v>
      </c>
      <c r="Q20" s="35">
        <v>9.6</v>
      </c>
      <c r="R20" s="138">
        <v>159849</v>
      </c>
    </row>
    <row r="21" spans="1:18">
      <c r="A21" s="71" t="s">
        <v>422</v>
      </c>
      <c r="B21" s="39">
        <v>865</v>
      </c>
      <c r="C21" s="39">
        <v>828</v>
      </c>
      <c r="D21" s="39">
        <f t="shared" si="2"/>
        <v>1617.7898550724638</v>
      </c>
      <c r="E21" s="84"/>
      <c r="F21" s="84">
        <f t="shared" si="4"/>
        <v>88.16</v>
      </c>
      <c r="G21" s="84">
        <v>1339.53</v>
      </c>
      <c r="H21" s="84">
        <v>1029.9000000000001</v>
      </c>
      <c r="I21" s="84">
        <f t="shared" si="5"/>
        <v>2457.59</v>
      </c>
      <c r="J21" s="84"/>
      <c r="K21" s="39">
        <v>1976</v>
      </c>
      <c r="L21" s="84">
        <v>308</v>
      </c>
      <c r="M21" s="84">
        <f t="shared" si="6"/>
        <v>2327.0940000000001</v>
      </c>
      <c r="N21" s="39">
        <v>130.49600000000001</v>
      </c>
      <c r="O21" s="84"/>
      <c r="P21" s="35">
        <v>10.7</v>
      </c>
      <c r="Q21" s="35">
        <v>9.3000000000000007</v>
      </c>
      <c r="R21" s="138">
        <v>143853</v>
      </c>
    </row>
    <row r="22" spans="1:18">
      <c r="A22" s="71" t="s">
        <v>464</v>
      </c>
      <c r="B22" s="39">
        <v>1159</v>
      </c>
      <c r="C22" s="39">
        <v>1114</v>
      </c>
      <c r="D22" s="39">
        <f t="shared" si="2"/>
        <v>1419.1965888689408</v>
      </c>
      <c r="E22" s="84"/>
      <c r="F22" s="84">
        <f t="shared" si="4"/>
        <v>130.49600000000001</v>
      </c>
      <c r="G22" s="84">
        <v>1580.9849999999999</v>
      </c>
      <c r="H22" s="84">
        <v>1142.5</v>
      </c>
      <c r="I22" s="84">
        <f t="shared" si="5"/>
        <v>2853.9809999999998</v>
      </c>
      <c r="J22" s="84"/>
      <c r="K22" s="39">
        <v>2269</v>
      </c>
      <c r="L22" s="84">
        <v>345.9</v>
      </c>
      <c r="M22" s="84">
        <f t="shared" si="6"/>
        <v>2663.3849999999998</v>
      </c>
      <c r="N22" s="39">
        <v>190.596</v>
      </c>
      <c r="O22" s="84"/>
      <c r="P22" s="35">
        <v>9.6199999999999992</v>
      </c>
      <c r="Q22" s="35">
        <v>9.3000000000000007</v>
      </c>
      <c r="R22" s="138">
        <v>152033</v>
      </c>
    </row>
    <row r="23" spans="1:18">
      <c r="A23" s="71" t="s">
        <v>463</v>
      </c>
      <c r="B23" s="39">
        <v>1044</v>
      </c>
      <c r="C23" s="39">
        <v>1021</v>
      </c>
      <c r="D23" s="39">
        <f t="shared" ref="D23:D28" si="7">+G23*1000/C23</f>
        <v>1365.6336924583741</v>
      </c>
      <c r="E23" s="84"/>
      <c r="F23" s="84">
        <f t="shared" si="4"/>
        <v>190.596</v>
      </c>
      <c r="G23" s="84">
        <v>1394.3119999999999</v>
      </c>
      <c r="H23" s="84">
        <v>1427.1</v>
      </c>
      <c r="I23" s="84">
        <f t="shared" si="5"/>
        <v>3012.0079999999998</v>
      </c>
      <c r="J23" s="84"/>
      <c r="K23" s="39">
        <v>2123</v>
      </c>
      <c r="L23" s="84">
        <v>542</v>
      </c>
      <c r="M23" s="84">
        <f t="shared" si="6"/>
        <v>2717.1030000000001</v>
      </c>
      <c r="N23" s="39">
        <v>294.90499999999997</v>
      </c>
      <c r="O23" s="84"/>
      <c r="P23" s="35">
        <v>11.9</v>
      </c>
      <c r="Q23" s="35">
        <v>9.3000000000000007</v>
      </c>
      <c r="R23" s="138">
        <v>165491</v>
      </c>
    </row>
    <row r="24" spans="1:18">
      <c r="A24" s="71" t="s">
        <v>470</v>
      </c>
      <c r="B24" s="39">
        <v>1176</v>
      </c>
      <c r="C24" s="39">
        <v>1155.5</v>
      </c>
      <c r="D24" s="39">
        <f t="shared" si="7"/>
        <v>1238.1947209000432</v>
      </c>
      <c r="E24" s="84"/>
      <c r="F24" s="84">
        <f t="shared" ref="F24:F29" si="8">+N23</f>
        <v>294.90499999999997</v>
      </c>
      <c r="G24" s="84">
        <v>1430.7339999999999</v>
      </c>
      <c r="H24" s="84">
        <v>1925.7</v>
      </c>
      <c r="I24" s="84">
        <f t="shared" ref="I24:I29" si="9">SUM(F24:H24)</f>
        <v>3651.3389999999999</v>
      </c>
      <c r="J24" s="84"/>
      <c r="K24" s="39">
        <v>2313</v>
      </c>
      <c r="L24" s="84">
        <v>932.84347717146602</v>
      </c>
      <c r="M24" s="84">
        <f t="shared" ref="M24:M29" si="10">+I24-N24</f>
        <v>3306.3620000000001</v>
      </c>
      <c r="N24" s="39">
        <v>344.97699999999998</v>
      </c>
      <c r="O24" s="84"/>
      <c r="P24" s="35">
        <v>18.3</v>
      </c>
      <c r="Q24" s="35">
        <v>9.3000000000000007</v>
      </c>
      <c r="R24" s="138">
        <v>260339</v>
      </c>
    </row>
    <row r="25" spans="1:18">
      <c r="A25" s="71" t="s">
        <v>477</v>
      </c>
      <c r="B25" s="39">
        <v>1011</v>
      </c>
      <c r="C25" s="39">
        <v>989</v>
      </c>
      <c r="D25" s="39">
        <f t="shared" si="7"/>
        <v>1461.1365015166834</v>
      </c>
      <c r="E25" s="84"/>
      <c r="F25" s="84">
        <f t="shared" si="8"/>
        <v>344.97699999999998</v>
      </c>
      <c r="G25" s="84">
        <v>1445.0640000000001</v>
      </c>
      <c r="H25" s="84">
        <v>1819.2175636550585</v>
      </c>
      <c r="I25" s="84">
        <f t="shared" si="9"/>
        <v>3609.2585636550584</v>
      </c>
      <c r="J25" s="84"/>
      <c r="K25" s="39">
        <v>2680</v>
      </c>
      <c r="L25" s="84">
        <v>420.06141165050997</v>
      </c>
      <c r="M25" s="84">
        <f t="shared" si="10"/>
        <v>3159.3015636550585</v>
      </c>
      <c r="N25" s="39">
        <v>449.95699999999999</v>
      </c>
      <c r="O25" s="84"/>
      <c r="P25" s="35">
        <v>18.7</v>
      </c>
      <c r="Q25" s="35">
        <v>9.3000000000000007</v>
      </c>
      <c r="R25" s="138">
        <v>270988</v>
      </c>
    </row>
    <row r="26" spans="1:18">
      <c r="A26" s="127" t="s">
        <v>483</v>
      </c>
      <c r="B26" s="39">
        <v>820</v>
      </c>
      <c r="C26" s="39">
        <v>808</v>
      </c>
      <c r="D26" s="39">
        <f t="shared" si="7"/>
        <v>1812.8465346534654</v>
      </c>
      <c r="E26" s="84"/>
      <c r="F26" s="84">
        <f t="shared" si="8"/>
        <v>449.95699999999999</v>
      </c>
      <c r="G26" s="84">
        <v>1464.78</v>
      </c>
      <c r="H26" s="84">
        <v>1252.2020628115151</v>
      </c>
      <c r="I26" s="84">
        <f t="shared" si="9"/>
        <v>3166.9390628115152</v>
      </c>
      <c r="J26" s="84"/>
      <c r="K26" s="39">
        <v>2452</v>
      </c>
      <c r="L26" s="84">
        <v>387.81815130928806</v>
      </c>
      <c r="M26" s="84">
        <f t="shared" si="10"/>
        <v>2898.0490628115153</v>
      </c>
      <c r="N26" s="39">
        <v>268.89</v>
      </c>
      <c r="O26" s="84"/>
      <c r="P26" s="35">
        <v>16.2</v>
      </c>
      <c r="Q26" s="35">
        <v>9.3000000000000007</v>
      </c>
      <c r="R26" s="138">
        <v>237156</v>
      </c>
    </row>
    <row r="27" spans="1:18">
      <c r="A27" s="127" t="s">
        <v>492</v>
      </c>
      <c r="B27" s="39">
        <v>1448.8</v>
      </c>
      <c r="C27" s="39">
        <v>1430.7</v>
      </c>
      <c r="D27" s="39">
        <f t="shared" si="7"/>
        <v>1710.7905221220381</v>
      </c>
      <c r="E27" s="84"/>
      <c r="F27" s="84">
        <f t="shared" si="8"/>
        <v>268.89</v>
      </c>
      <c r="G27" s="84">
        <v>2447.6280000000002</v>
      </c>
      <c r="H27" s="84">
        <v>1063.0395625737131</v>
      </c>
      <c r="I27" s="84">
        <f t="shared" si="9"/>
        <v>3779.5575625737129</v>
      </c>
      <c r="J27" s="84"/>
      <c r="K27" s="39">
        <v>2844</v>
      </c>
      <c r="L27" s="84">
        <v>647.56657976503504</v>
      </c>
      <c r="M27" s="84">
        <f t="shared" si="10"/>
        <v>3554.9035625737129</v>
      </c>
      <c r="N27" s="39">
        <v>224.654</v>
      </c>
      <c r="O27" s="84"/>
      <c r="P27" s="35">
        <v>19.3</v>
      </c>
      <c r="Q27" s="35">
        <v>10.09</v>
      </c>
      <c r="R27" s="138">
        <v>471068</v>
      </c>
    </row>
    <row r="28" spans="1:18">
      <c r="A28" s="127" t="s">
        <v>493</v>
      </c>
      <c r="B28" s="39">
        <v>1061.5</v>
      </c>
      <c r="C28" s="39">
        <v>1033</v>
      </c>
      <c r="D28" s="39">
        <f t="shared" si="7"/>
        <v>1479.1965150048402</v>
      </c>
      <c r="E28" s="84"/>
      <c r="F28" s="84">
        <f t="shared" si="8"/>
        <v>224.654</v>
      </c>
      <c r="G28" s="84">
        <v>1528.01</v>
      </c>
      <c r="H28" s="84">
        <v>1371.204860796036</v>
      </c>
      <c r="I28" s="84">
        <f t="shared" si="9"/>
        <v>3123.8688607960357</v>
      </c>
      <c r="J28" s="84"/>
      <c r="K28" s="39">
        <v>2572</v>
      </c>
      <c r="L28" s="84">
        <v>336.98183213608195</v>
      </c>
      <c r="M28" s="84">
        <f t="shared" si="10"/>
        <v>2969.3888607960357</v>
      </c>
      <c r="N28" s="39">
        <v>154.47999999999999</v>
      </c>
      <c r="O28" s="84"/>
      <c r="P28" s="35">
        <v>24</v>
      </c>
      <c r="Q28" s="35">
        <v>10.09</v>
      </c>
      <c r="R28" s="138">
        <v>364197</v>
      </c>
    </row>
    <row r="29" spans="1:18">
      <c r="A29" s="127" t="s">
        <v>506</v>
      </c>
      <c r="B29" s="39">
        <v>1754.4</v>
      </c>
      <c r="C29" s="39">
        <v>1717.9</v>
      </c>
      <c r="D29" s="39">
        <f t="shared" ref="D29:D34" si="11">+G29*1000/C29</f>
        <v>1392.1706734967111</v>
      </c>
      <c r="E29" s="84"/>
      <c r="F29" s="84">
        <f t="shared" si="8"/>
        <v>154.47999999999999</v>
      </c>
      <c r="G29" s="84">
        <v>2391.61</v>
      </c>
      <c r="H29" s="84">
        <v>868.69611994674608</v>
      </c>
      <c r="I29" s="84">
        <f t="shared" si="9"/>
        <v>3414.7861199467461</v>
      </c>
      <c r="J29" s="84">
        <v>2799</v>
      </c>
      <c r="K29" s="39">
        <v>2787</v>
      </c>
      <c r="L29" s="84">
        <v>390.50081252065797</v>
      </c>
      <c r="M29" s="84">
        <f t="shared" si="10"/>
        <v>3236.4021199467461</v>
      </c>
      <c r="N29" s="39">
        <v>178.38399999999999</v>
      </c>
      <c r="O29" s="84"/>
      <c r="P29" s="35">
        <v>26.5</v>
      </c>
      <c r="Q29" s="35">
        <v>10.09</v>
      </c>
      <c r="R29" s="138">
        <v>630253</v>
      </c>
    </row>
    <row r="30" spans="1:18">
      <c r="A30" s="127" t="s">
        <v>574</v>
      </c>
      <c r="B30" s="39">
        <v>1348</v>
      </c>
      <c r="C30" s="39">
        <v>1264.5</v>
      </c>
      <c r="D30" s="39">
        <f t="shared" si="11"/>
        <v>1748.1257413997628</v>
      </c>
      <c r="E30" s="84"/>
      <c r="F30" s="84">
        <f>+N29</f>
        <v>178.38399999999999</v>
      </c>
      <c r="G30" s="84">
        <v>2210.5050000000001</v>
      </c>
      <c r="H30" s="84">
        <v>2057.183124129504</v>
      </c>
      <c r="I30" s="84">
        <f>SUM(F30:H30)</f>
        <v>4446.0721241295041</v>
      </c>
      <c r="J30" s="84">
        <v>2799</v>
      </c>
      <c r="K30" s="39">
        <v>3721</v>
      </c>
      <c r="L30" s="84">
        <v>348.53457082502524</v>
      </c>
      <c r="M30" s="84">
        <f>+I30-N30</f>
        <v>4161.875124129504</v>
      </c>
      <c r="N30" s="39">
        <v>284.197</v>
      </c>
      <c r="O30" s="84"/>
      <c r="P30" s="35">
        <v>20.6</v>
      </c>
      <c r="Q30" s="35">
        <v>10.09</v>
      </c>
      <c r="R30" s="138">
        <v>465448</v>
      </c>
    </row>
    <row r="31" spans="1:18">
      <c r="A31" s="127" t="s">
        <v>572</v>
      </c>
      <c r="B31" s="228">
        <v>1715</v>
      </c>
      <c r="C31" s="228">
        <v>1556.7</v>
      </c>
      <c r="D31" s="228">
        <f t="shared" si="11"/>
        <v>1613.0243463737393</v>
      </c>
      <c r="E31" s="84"/>
      <c r="F31" s="84">
        <f>+N30</f>
        <v>284.197</v>
      </c>
      <c r="G31" s="227">
        <v>2510.9949999999999</v>
      </c>
      <c r="H31" s="227">
        <v>1712.6889741851401</v>
      </c>
      <c r="I31" s="84">
        <f>SUM(F31:H31)</f>
        <v>4507.8809741851401</v>
      </c>
      <c r="J31" s="84">
        <v>2799</v>
      </c>
      <c r="K31" s="228">
        <v>3826</v>
      </c>
      <c r="L31" s="227">
        <v>345.17353287374999</v>
      </c>
      <c r="M31" s="84">
        <f>+I31-N31</f>
        <v>4266.5889741851397</v>
      </c>
      <c r="N31" s="228">
        <v>241.292</v>
      </c>
      <c r="O31" s="84"/>
      <c r="P31" s="35">
        <v>16.899999999999999</v>
      </c>
      <c r="Q31" s="35">
        <v>10.09</v>
      </c>
      <c r="R31" s="243">
        <v>423382</v>
      </c>
    </row>
    <row r="32" spans="1:18">
      <c r="A32" s="127" t="s">
        <v>575</v>
      </c>
      <c r="B32" s="228">
        <v>1777</v>
      </c>
      <c r="C32" s="228">
        <v>1713.5</v>
      </c>
      <c r="D32" s="228">
        <f t="shared" si="11"/>
        <v>1679.8774438284213</v>
      </c>
      <c r="E32" s="84"/>
      <c r="F32" s="84">
        <f>+N31</f>
        <v>241.292</v>
      </c>
      <c r="G32" s="227">
        <v>2878.47</v>
      </c>
      <c r="H32" s="227">
        <v>791</v>
      </c>
      <c r="I32" s="84">
        <f>SUM(F32:H32)</f>
        <v>3910.7619999999997</v>
      </c>
      <c r="J32" s="84">
        <v>2799</v>
      </c>
      <c r="K32" s="228">
        <v>3397.826</v>
      </c>
      <c r="L32" s="227">
        <v>388</v>
      </c>
      <c r="M32" s="84">
        <f>+I32-N32</f>
        <v>3556.2369999999996</v>
      </c>
      <c r="N32" s="228">
        <v>354.52499999999998</v>
      </c>
      <c r="O32" s="84"/>
      <c r="P32" s="35">
        <v>15.6</v>
      </c>
      <c r="Q32" s="35">
        <v>10.09</v>
      </c>
      <c r="R32" s="243">
        <v>448552</v>
      </c>
    </row>
    <row r="33" spans="1:18">
      <c r="A33" s="127" t="s">
        <v>578</v>
      </c>
      <c r="B33" s="228">
        <v>1714</v>
      </c>
      <c r="C33" s="228">
        <v>1691.7</v>
      </c>
      <c r="D33" s="39">
        <f t="shared" si="11"/>
        <v>1824.4014896258202</v>
      </c>
      <c r="E33" s="84"/>
      <c r="F33" s="84">
        <f>+N32</f>
        <v>354.52499999999998</v>
      </c>
      <c r="G33" s="227">
        <v>3086.34</v>
      </c>
      <c r="H33" s="227">
        <v>1531.7290787454181</v>
      </c>
      <c r="I33" s="84">
        <f>SUM(F33:H33)</f>
        <v>4972.5940787454183</v>
      </c>
      <c r="J33" s="84">
        <v>2799</v>
      </c>
      <c r="K33" s="228">
        <v>4398</v>
      </c>
      <c r="L33" s="227">
        <v>262</v>
      </c>
      <c r="M33" s="84">
        <f>+I33-N33</f>
        <v>4734.5940787454183</v>
      </c>
      <c r="N33" s="228">
        <v>238</v>
      </c>
      <c r="O33" s="84"/>
      <c r="P33" s="35">
        <v>16.600000000000001</v>
      </c>
      <c r="Q33" s="35">
        <v>10.09</v>
      </c>
      <c r="R33" s="243">
        <v>510098</v>
      </c>
    </row>
    <row r="34" spans="1:18">
      <c r="A34" s="150" t="s">
        <v>667</v>
      </c>
      <c r="B34" s="226">
        <v>2077</v>
      </c>
      <c r="C34" s="226">
        <v>2002</v>
      </c>
      <c r="D34" s="40">
        <f t="shared" si="11"/>
        <v>1557.942057942058</v>
      </c>
      <c r="E34" s="40"/>
      <c r="F34" s="40">
        <f>+N33</f>
        <v>238</v>
      </c>
      <c r="G34" s="226">
        <v>3119</v>
      </c>
      <c r="H34" s="226">
        <v>1299</v>
      </c>
      <c r="I34" s="40">
        <f>SUM(F34:H34)</f>
        <v>4656</v>
      </c>
      <c r="J34" s="40">
        <v>2799</v>
      </c>
      <c r="K34" s="226">
        <v>3998</v>
      </c>
      <c r="L34" s="226">
        <v>281</v>
      </c>
      <c r="M34" s="40">
        <v>4361</v>
      </c>
      <c r="N34" s="226">
        <v>295</v>
      </c>
      <c r="O34" s="40"/>
      <c r="P34" s="356" t="s">
        <v>736</v>
      </c>
      <c r="Q34" s="36">
        <v>10.09</v>
      </c>
      <c r="R34" s="295">
        <v>532654</v>
      </c>
    </row>
    <row r="35" spans="1:18" s="6" customFormat="1" ht="12" customHeight="1">
      <c r="A35" s="117" t="s">
        <v>502</v>
      </c>
    </row>
    <row r="36" spans="1:18" s="6" customFormat="1" ht="12" customHeight="1">
      <c r="A36" s="158" t="s">
        <v>635</v>
      </c>
      <c r="B36" s="52"/>
      <c r="C36" s="52"/>
      <c r="D36" s="52"/>
    </row>
    <row r="37" spans="1:18" ht="10.25" customHeight="1">
      <c r="A37" t="s">
        <v>636</v>
      </c>
      <c r="O37" s="176"/>
      <c r="P37" s="176"/>
      <c r="Q37" s="176"/>
      <c r="R37" s="176" t="s">
        <v>679</v>
      </c>
    </row>
  </sheetData>
  <phoneticPr fontId="0" type="noConversion"/>
  <pageMargins left="0.7" right="0.7" top="0.75" bottom="0.75" header="0.3" footer="0.3"/>
  <pageSetup scale="70" firstPageNumber="52" orientation="portrait" useFirstPageNumber="1" r:id="rId1"/>
  <headerFooter alignWithMargins="0">
    <oddFooter>&amp;C&amp;P
Oil Crops Yearbook/OCS-2018
March 2018
Economic Research Service, USDA</oddFooter>
  </headerFooter>
  <ignoredErrors>
    <ignoredError sqref="R6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M37"/>
  <sheetViews>
    <sheetView zoomScaleNormal="100" zoomScaleSheetLayoutView="100" workbookViewId="0"/>
  </sheetViews>
  <sheetFormatPr baseColWidth="10" defaultColWidth="8.75" defaultRowHeight="11"/>
  <cols>
    <col min="1" max="1" width="10.5" customWidth="1"/>
    <col min="2" max="5" width="11.75" customWidth="1"/>
    <col min="6" max="6" width="2.75" customWidth="1"/>
    <col min="7" max="11" width="11.75" customWidth="1"/>
  </cols>
  <sheetData>
    <row r="1" spans="1:12">
      <c r="A1" s="126" t="s">
        <v>710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20</v>
      </c>
      <c r="B2" s="314"/>
      <c r="C2" s="335" t="s">
        <v>119</v>
      </c>
      <c r="D2" s="314"/>
      <c r="E2" s="314"/>
      <c r="F2" s="12"/>
      <c r="G2" s="3"/>
      <c r="H2" s="314" t="s">
        <v>117</v>
      </c>
      <c r="I2" s="314"/>
      <c r="J2" s="12"/>
      <c r="K2" s="23" t="s">
        <v>118</v>
      </c>
    </row>
    <row r="3" spans="1:12">
      <c r="A3" t="s">
        <v>100</v>
      </c>
      <c r="B3" s="7" t="s">
        <v>141</v>
      </c>
      <c r="C3" s="10" t="s">
        <v>258</v>
      </c>
      <c r="D3" s="199" t="s">
        <v>261</v>
      </c>
      <c r="E3" s="187" t="s">
        <v>269</v>
      </c>
      <c r="G3" s="7" t="s">
        <v>142</v>
      </c>
      <c r="H3" s="187" t="s">
        <v>90</v>
      </c>
      <c r="I3" s="7" t="s">
        <v>3</v>
      </c>
      <c r="J3" s="187" t="s">
        <v>143</v>
      </c>
      <c r="K3" s="7" t="s">
        <v>288</v>
      </c>
    </row>
    <row r="4" spans="1:12">
      <c r="A4" s="165" t="s">
        <v>140</v>
      </c>
      <c r="B4" s="9" t="s">
        <v>272</v>
      </c>
      <c r="C4" s="9"/>
      <c r="D4" s="9"/>
      <c r="E4" s="9"/>
      <c r="F4" s="1"/>
      <c r="G4" s="9"/>
      <c r="H4" s="9"/>
      <c r="I4" s="9"/>
      <c r="J4" s="190" t="s">
        <v>110</v>
      </c>
      <c r="K4" s="9"/>
    </row>
    <row r="5" spans="1:12" ht="12.5" customHeight="1">
      <c r="C5" s="303"/>
      <c r="D5" s="303"/>
      <c r="E5" s="330" t="s">
        <v>91</v>
      </c>
      <c r="F5" s="303"/>
      <c r="G5" s="303"/>
      <c r="H5" s="303"/>
      <c r="I5" s="303"/>
      <c r="J5" s="303"/>
      <c r="K5" s="7" t="s">
        <v>521</v>
      </c>
    </row>
    <row r="6" spans="1:12" ht="12.5" customHeight="1">
      <c r="B6" s="38"/>
      <c r="C6" s="38"/>
      <c r="D6" s="38"/>
      <c r="E6" s="38"/>
      <c r="F6" s="38"/>
      <c r="G6" s="38"/>
      <c r="H6" s="38"/>
      <c r="I6" s="38"/>
      <c r="J6" s="38"/>
      <c r="K6" s="7"/>
    </row>
    <row r="7" spans="1:12">
      <c r="A7" s="10" t="s">
        <v>11</v>
      </c>
      <c r="B7" s="12">
        <v>41</v>
      </c>
      <c r="C7" s="12">
        <v>36.308234301863997</v>
      </c>
      <c r="D7" s="25">
        <v>815.48085931200001</v>
      </c>
      <c r="E7" s="25">
        <f t="shared" ref="E7:E16" si="0">SUM(B7:D7)</f>
        <v>892.789093613864</v>
      </c>
      <c r="F7" s="12"/>
      <c r="G7" s="39">
        <f t="shared" ref="G7:G16" si="1">+I7-H7</f>
        <v>806.16429816129801</v>
      </c>
      <c r="H7" s="12">
        <v>15.224795452566001</v>
      </c>
      <c r="I7" s="25">
        <f t="shared" ref="I7:I16" si="2">+E7-J7</f>
        <v>821.38909361386402</v>
      </c>
      <c r="J7" s="12">
        <v>71.400000000000006</v>
      </c>
      <c r="K7" s="61">
        <v>23.65</v>
      </c>
      <c r="L7" s="39"/>
    </row>
    <row r="8" spans="1:12">
      <c r="A8" s="10" t="s">
        <v>12</v>
      </c>
      <c r="B8" s="12">
        <f t="shared" ref="B8:B16" si="3">+J7</f>
        <v>71.400000000000006</v>
      </c>
      <c r="C8" s="12">
        <v>126.22527012051052</v>
      </c>
      <c r="D8" s="25">
        <v>861.18487799400009</v>
      </c>
      <c r="E8" s="25">
        <f t="shared" si="0"/>
        <v>1058.8101481145106</v>
      </c>
      <c r="F8" s="12"/>
      <c r="G8" s="39">
        <f t="shared" si="1"/>
        <v>976.29388564867463</v>
      </c>
      <c r="H8" s="12">
        <v>15.816262465835999</v>
      </c>
      <c r="I8" s="25">
        <f t="shared" si="2"/>
        <v>992.11014811451059</v>
      </c>
      <c r="J8" s="12">
        <v>66.7</v>
      </c>
      <c r="K8" s="61">
        <v>21.98</v>
      </c>
      <c r="L8" s="39"/>
    </row>
    <row r="9" spans="1:12">
      <c r="A9" s="10" t="s">
        <v>13</v>
      </c>
      <c r="B9" s="12">
        <f t="shared" si="3"/>
        <v>66.7</v>
      </c>
      <c r="C9" s="12">
        <v>351.67289329486135</v>
      </c>
      <c r="D9" s="25">
        <v>903.742901082</v>
      </c>
      <c r="E9" s="25">
        <f t="shared" si="0"/>
        <v>1322.1157943768612</v>
      </c>
      <c r="F9" s="12"/>
      <c r="G9" s="39">
        <f t="shared" si="1"/>
        <v>1109.3208811965594</v>
      </c>
      <c r="H9" s="12">
        <v>76.194913180302009</v>
      </c>
      <c r="I9" s="25">
        <f t="shared" si="2"/>
        <v>1185.5157943768613</v>
      </c>
      <c r="J9" s="12">
        <v>136.6</v>
      </c>
      <c r="K9" s="61">
        <v>23.97</v>
      </c>
      <c r="L9" s="39"/>
    </row>
    <row r="10" spans="1:12">
      <c r="A10" s="10" t="s">
        <v>14</v>
      </c>
      <c r="B10" s="12">
        <f t="shared" si="3"/>
        <v>136.6</v>
      </c>
      <c r="C10" s="12">
        <v>370.98611957999697</v>
      </c>
      <c r="D10" s="25">
        <v>937.5463702080001</v>
      </c>
      <c r="E10" s="25">
        <f t="shared" si="0"/>
        <v>1445.1324897879972</v>
      </c>
      <c r="F10" s="12"/>
      <c r="G10" s="39">
        <f t="shared" si="1"/>
        <v>1237.5415004847532</v>
      </c>
      <c r="H10" s="12">
        <v>153.390989303244</v>
      </c>
      <c r="I10" s="25">
        <f t="shared" si="2"/>
        <v>1390.9324897879972</v>
      </c>
      <c r="J10" s="12">
        <v>54.2</v>
      </c>
      <c r="K10" s="61">
        <v>28.55</v>
      </c>
      <c r="L10" s="39"/>
    </row>
    <row r="11" spans="1:12">
      <c r="A11" s="10" t="s">
        <v>15</v>
      </c>
      <c r="B11" s="12">
        <f t="shared" si="3"/>
        <v>54.2</v>
      </c>
      <c r="C11" s="12">
        <v>361.390168916996</v>
      </c>
      <c r="D11" s="25">
        <v>1087.707583872</v>
      </c>
      <c r="E11" s="25">
        <f t="shared" si="0"/>
        <v>1503.2977527889959</v>
      </c>
      <c r="F11" s="12"/>
      <c r="G11" s="39">
        <f t="shared" si="1"/>
        <v>1277.6389228865919</v>
      </c>
      <c r="H11" s="12">
        <v>147.05882990240403</v>
      </c>
      <c r="I11" s="25">
        <f t="shared" si="2"/>
        <v>1424.697752788996</v>
      </c>
      <c r="J11" s="12">
        <v>78.599999999999994</v>
      </c>
      <c r="K11" s="61">
        <v>29.03</v>
      </c>
      <c r="L11" s="39"/>
    </row>
    <row r="12" spans="1:12">
      <c r="A12" s="10" t="s">
        <v>16</v>
      </c>
      <c r="B12" s="12">
        <f t="shared" si="3"/>
        <v>78.599999999999994</v>
      </c>
      <c r="C12" s="12">
        <v>410.55523585860863</v>
      </c>
      <c r="D12" s="25">
        <v>1074.9406178700001</v>
      </c>
      <c r="E12" s="25">
        <f t="shared" si="0"/>
        <v>1564.0958537286087</v>
      </c>
      <c r="F12" s="12"/>
      <c r="G12" s="39">
        <f t="shared" si="1"/>
        <v>1201.2958537286088</v>
      </c>
      <c r="H12" s="12">
        <v>295</v>
      </c>
      <c r="I12" s="25">
        <f t="shared" si="2"/>
        <v>1496.2958537286088</v>
      </c>
      <c r="J12" s="12">
        <v>67.8</v>
      </c>
      <c r="K12" s="61">
        <v>25.68</v>
      </c>
      <c r="L12" s="39"/>
    </row>
    <row r="13" spans="1:12">
      <c r="A13" s="10" t="s">
        <v>17</v>
      </c>
      <c r="B13" s="12">
        <f t="shared" si="3"/>
        <v>67.8</v>
      </c>
      <c r="C13" s="12">
        <v>567.03583626274815</v>
      </c>
      <c r="D13" s="25">
        <v>1088.3381057639999</v>
      </c>
      <c r="E13" s="25">
        <f t="shared" si="0"/>
        <v>1723.1739420267481</v>
      </c>
      <c r="F13" s="12"/>
      <c r="G13" s="39">
        <f t="shared" si="1"/>
        <v>1262.0739420267482</v>
      </c>
      <c r="H13" s="12">
        <v>349</v>
      </c>
      <c r="I13" s="25">
        <f t="shared" si="2"/>
        <v>1611.0739420267482</v>
      </c>
      <c r="J13" s="12">
        <v>112.1</v>
      </c>
      <c r="K13" s="61">
        <v>28.83</v>
      </c>
      <c r="L13" s="39"/>
    </row>
    <row r="14" spans="1:12">
      <c r="A14" s="10" t="s">
        <v>18</v>
      </c>
      <c r="B14" s="12">
        <f t="shared" si="3"/>
        <v>112.1</v>
      </c>
      <c r="C14" s="12">
        <v>636.36348191963134</v>
      </c>
      <c r="D14" s="25">
        <v>1060.6392349560001</v>
      </c>
      <c r="E14" s="25">
        <f t="shared" si="0"/>
        <v>1809.1027168756314</v>
      </c>
      <c r="F14" s="12"/>
      <c r="G14" s="39">
        <f t="shared" si="1"/>
        <v>1367.8027168756314</v>
      </c>
      <c r="H14" s="12">
        <v>272</v>
      </c>
      <c r="I14" s="25">
        <f t="shared" si="2"/>
        <v>1639.8027168756314</v>
      </c>
      <c r="J14" s="12">
        <v>169.3</v>
      </c>
      <c r="K14" s="61">
        <v>22.48</v>
      </c>
      <c r="L14" s="39"/>
    </row>
    <row r="15" spans="1:12">
      <c r="A15" s="10" t="s">
        <v>19</v>
      </c>
      <c r="B15" s="12">
        <f t="shared" si="3"/>
        <v>169.3</v>
      </c>
      <c r="C15" s="12">
        <v>700.16255646288084</v>
      </c>
      <c r="D15" s="25">
        <v>1145.4973403580002</v>
      </c>
      <c r="E15" s="25">
        <f t="shared" si="0"/>
        <v>2014.9598968208811</v>
      </c>
      <c r="F15" s="12"/>
      <c r="G15" s="39">
        <f t="shared" si="1"/>
        <v>1524.6598968208812</v>
      </c>
      <c r="H15" s="12">
        <v>284</v>
      </c>
      <c r="I15" s="25">
        <f t="shared" si="2"/>
        <v>1808.6598968208812</v>
      </c>
      <c r="J15" s="12">
        <v>206.3</v>
      </c>
      <c r="K15" s="61">
        <v>17.11</v>
      </c>
      <c r="L15" s="39"/>
    </row>
    <row r="16" spans="1:12">
      <c r="A16" s="71" t="s">
        <v>392</v>
      </c>
      <c r="B16" s="56">
        <f t="shared" si="3"/>
        <v>206.3</v>
      </c>
      <c r="C16" s="56">
        <v>759.06192213603731</v>
      </c>
      <c r="D16" s="60">
        <v>1193.1987465720001</v>
      </c>
      <c r="E16" s="60">
        <f t="shared" si="0"/>
        <v>2158.5606687080372</v>
      </c>
      <c r="F16" s="56"/>
      <c r="G16" s="84">
        <f t="shared" si="1"/>
        <v>1861.760668708037</v>
      </c>
      <c r="H16" s="56">
        <v>187</v>
      </c>
      <c r="I16" s="60">
        <f t="shared" si="2"/>
        <v>2048.760668708037</v>
      </c>
      <c r="J16" s="56">
        <v>109.8</v>
      </c>
      <c r="K16" s="61">
        <v>17.559999999999999</v>
      </c>
      <c r="L16" s="39"/>
    </row>
    <row r="17" spans="1:12">
      <c r="A17" s="71" t="s">
        <v>396</v>
      </c>
      <c r="B17" s="56">
        <f t="shared" ref="B17:B22" si="4">+J16</f>
        <v>109.8</v>
      </c>
      <c r="C17" s="56">
        <v>631.29694898677985</v>
      </c>
      <c r="D17" s="60">
        <v>1107.9548323200002</v>
      </c>
      <c r="E17" s="60">
        <f t="shared" ref="E17:E22" si="5">SUM(B17:D17)</f>
        <v>1849.05178130678</v>
      </c>
      <c r="F17" s="56"/>
      <c r="G17" s="84">
        <f t="shared" ref="G17:G22" si="6">+I17-H17</f>
        <v>1541.6517813067799</v>
      </c>
      <c r="H17" s="56">
        <v>255</v>
      </c>
      <c r="I17" s="60">
        <f t="shared" ref="I17:I22" si="7">+E17-J17</f>
        <v>1796.6517813067799</v>
      </c>
      <c r="J17" s="56">
        <v>52.4</v>
      </c>
      <c r="K17" s="61">
        <v>23.45</v>
      </c>
      <c r="L17" s="39"/>
    </row>
    <row r="18" spans="1:12">
      <c r="A18" s="71" t="s">
        <v>409</v>
      </c>
      <c r="B18" s="56">
        <f t="shared" si="4"/>
        <v>52.4</v>
      </c>
      <c r="C18" s="56">
        <v>535.30659714701835</v>
      </c>
      <c r="D18" s="60">
        <v>981.38549914019995</v>
      </c>
      <c r="E18" s="60">
        <f t="shared" si="5"/>
        <v>1569.0920962872183</v>
      </c>
      <c r="F18" s="56"/>
      <c r="G18" s="84">
        <f t="shared" si="6"/>
        <v>1332.5070962872182</v>
      </c>
      <c r="H18" s="56">
        <v>160.52799999999999</v>
      </c>
      <c r="I18" s="60">
        <f t="shared" si="7"/>
        <v>1493.0350962872183</v>
      </c>
      <c r="J18" s="56">
        <v>76.057000000000002</v>
      </c>
      <c r="K18" s="61">
        <v>29.75</v>
      </c>
      <c r="L18" s="39"/>
    </row>
    <row r="19" spans="1:12">
      <c r="A19" s="71" t="s">
        <v>420</v>
      </c>
      <c r="B19" s="56">
        <f t="shared" si="4"/>
        <v>76.057000000000002</v>
      </c>
      <c r="C19" s="56">
        <v>637.96903746526107</v>
      </c>
      <c r="D19" s="60">
        <v>1222.7362721280001</v>
      </c>
      <c r="E19" s="60">
        <f t="shared" si="5"/>
        <v>1936.7623095932613</v>
      </c>
      <c r="F19" s="56"/>
      <c r="G19" s="84">
        <f t="shared" si="6"/>
        <v>1567.3613095932615</v>
      </c>
      <c r="H19" s="56">
        <v>278.00299999999999</v>
      </c>
      <c r="I19" s="60">
        <f t="shared" si="7"/>
        <v>1845.3643095932614</v>
      </c>
      <c r="J19" s="56">
        <v>91.397999999999996</v>
      </c>
      <c r="K19" s="61">
        <v>33.76</v>
      </c>
      <c r="L19" s="39"/>
    </row>
    <row r="20" spans="1:12">
      <c r="A20" s="71" t="s">
        <v>422</v>
      </c>
      <c r="B20" s="56">
        <f t="shared" si="4"/>
        <v>91.397999999999996</v>
      </c>
      <c r="C20" s="56">
        <v>832.25867613789922</v>
      </c>
      <c r="D20" s="60">
        <v>1133.2470000000001</v>
      </c>
      <c r="E20" s="60">
        <f t="shared" si="5"/>
        <v>2056.9036761378993</v>
      </c>
      <c r="F20" s="56"/>
      <c r="G20" s="84">
        <f t="shared" si="6"/>
        <v>1660.4126761378993</v>
      </c>
      <c r="H20" s="56">
        <v>268.50700000000001</v>
      </c>
      <c r="I20" s="60">
        <f t="shared" si="7"/>
        <v>1928.9196761378994</v>
      </c>
      <c r="J20" s="56">
        <v>127.98399999999999</v>
      </c>
      <c r="K20" s="61">
        <v>30.78</v>
      </c>
      <c r="L20" s="39"/>
    </row>
    <row r="21" spans="1:12">
      <c r="A21" s="71" t="s">
        <v>464</v>
      </c>
      <c r="B21" s="56">
        <f t="shared" si="4"/>
        <v>127.98399999999999</v>
      </c>
      <c r="C21" s="56">
        <v>928.17222296226657</v>
      </c>
      <c r="D21" s="60">
        <v>1597.797</v>
      </c>
      <c r="E21" s="60">
        <f t="shared" si="5"/>
        <v>2653.9532229622664</v>
      </c>
      <c r="F21" s="56"/>
      <c r="G21" s="84">
        <f t="shared" si="6"/>
        <v>1919.0077029622664</v>
      </c>
      <c r="H21" s="56">
        <v>471.44551999999999</v>
      </c>
      <c r="I21" s="60">
        <f t="shared" si="7"/>
        <v>2390.4532229622664</v>
      </c>
      <c r="J21" s="56">
        <v>263.5</v>
      </c>
      <c r="K21" s="61">
        <v>31</v>
      </c>
      <c r="L21" s="39"/>
    </row>
    <row r="22" spans="1:12">
      <c r="A22" s="71" t="s">
        <v>463</v>
      </c>
      <c r="B22" s="56">
        <f t="shared" si="4"/>
        <v>263.5</v>
      </c>
      <c r="C22" s="56">
        <v>932.35848317969794</v>
      </c>
      <c r="D22" s="60">
        <v>1567.806</v>
      </c>
      <c r="E22" s="60">
        <f t="shared" si="5"/>
        <v>2763.664483179698</v>
      </c>
      <c r="F22" s="56"/>
      <c r="G22" s="84">
        <f t="shared" si="6"/>
        <v>1984.7564831796981</v>
      </c>
      <c r="H22" s="56">
        <v>629.70799999999997</v>
      </c>
      <c r="I22" s="60">
        <f t="shared" si="7"/>
        <v>2614.4644831796982</v>
      </c>
      <c r="J22" s="56">
        <v>149.19999999999999</v>
      </c>
      <c r="K22" s="61">
        <v>40.57</v>
      </c>
      <c r="L22" s="39"/>
    </row>
    <row r="23" spans="1:12">
      <c r="A23" s="71" t="s">
        <v>470</v>
      </c>
      <c r="B23" s="56">
        <f t="shared" ref="B23:B28" si="8">+J22</f>
        <v>149.19999999999999</v>
      </c>
      <c r="C23" s="56">
        <v>1015.0025294441491</v>
      </c>
      <c r="D23" s="60">
        <v>2240.6689999999999</v>
      </c>
      <c r="E23" s="60">
        <f t="shared" ref="E23:E28" si="9">SUM(B23:D23)</f>
        <v>3404.871529444149</v>
      </c>
      <c r="F23" s="56"/>
      <c r="G23" s="84">
        <f t="shared" ref="G23:G28" si="10">+I23-H23</f>
        <v>2923.3665294441489</v>
      </c>
      <c r="H23" s="56">
        <v>348.505</v>
      </c>
      <c r="I23" s="60">
        <f t="shared" ref="I23:I28" si="11">+E23-J23</f>
        <v>3271.871529444149</v>
      </c>
      <c r="J23" s="56">
        <v>133</v>
      </c>
      <c r="K23" s="61">
        <v>65.64</v>
      </c>
      <c r="L23" s="39"/>
    </row>
    <row r="24" spans="1:12">
      <c r="A24" s="71" t="s">
        <v>477</v>
      </c>
      <c r="B24" s="56">
        <f t="shared" si="8"/>
        <v>133</v>
      </c>
      <c r="C24" s="56">
        <v>1103</v>
      </c>
      <c r="D24" s="60">
        <v>2315.194</v>
      </c>
      <c r="E24" s="60">
        <f t="shared" si="9"/>
        <v>3551.194</v>
      </c>
      <c r="F24" s="56"/>
      <c r="G24" s="84">
        <f t="shared" si="10"/>
        <v>2830.6699999999996</v>
      </c>
      <c r="H24" s="56">
        <v>548.72400000000005</v>
      </c>
      <c r="I24" s="60">
        <f t="shared" si="11"/>
        <v>3379.3939999999998</v>
      </c>
      <c r="J24" s="56">
        <v>171.8</v>
      </c>
      <c r="K24" s="61">
        <v>39.54</v>
      </c>
      <c r="L24" s="39"/>
    </row>
    <row r="25" spans="1:12">
      <c r="A25" s="127" t="s">
        <v>483</v>
      </c>
      <c r="B25" s="56">
        <f t="shared" si="8"/>
        <v>171.8</v>
      </c>
      <c r="C25" s="56">
        <v>1072</v>
      </c>
      <c r="D25" s="60">
        <v>2350.9380000000001</v>
      </c>
      <c r="E25" s="60">
        <f t="shared" si="9"/>
        <v>3594.7380000000003</v>
      </c>
      <c r="F25" s="56"/>
      <c r="G25" s="84">
        <f t="shared" si="10"/>
        <v>2847.9120000000003</v>
      </c>
      <c r="H25" s="56">
        <v>553.09400000000005</v>
      </c>
      <c r="I25" s="60">
        <f t="shared" si="11"/>
        <v>3401.0060000000003</v>
      </c>
      <c r="J25" s="56">
        <v>193.732</v>
      </c>
      <c r="K25" s="61">
        <v>42.88</v>
      </c>
      <c r="L25" s="39"/>
    </row>
    <row r="26" spans="1:12">
      <c r="A26" s="127" t="s">
        <v>487</v>
      </c>
      <c r="B26" s="56">
        <f t="shared" si="8"/>
        <v>193.732</v>
      </c>
      <c r="C26" s="56">
        <v>1136</v>
      </c>
      <c r="D26" s="60">
        <v>3130.9859999999999</v>
      </c>
      <c r="E26" s="60">
        <f t="shared" si="9"/>
        <v>4460.7179999999998</v>
      </c>
      <c r="F26" s="56"/>
      <c r="G26" s="84">
        <f t="shared" si="10"/>
        <v>3651.0846296281479</v>
      </c>
      <c r="H26" s="56">
        <v>510.63337037185198</v>
      </c>
      <c r="I26" s="60">
        <f t="shared" si="11"/>
        <v>4161.7179999999998</v>
      </c>
      <c r="J26" s="56">
        <v>299</v>
      </c>
      <c r="K26" s="61">
        <v>58.68</v>
      </c>
      <c r="L26" s="39"/>
    </row>
    <row r="27" spans="1:12">
      <c r="A27" s="127" t="s">
        <v>493</v>
      </c>
      <c r="B27" s="56">
        <f t="shared" si="8"/>
        <v>299</v>
      </c>
      <c r="C27" s="56">
        <v>1099</v>
      </c>
      <c r="D27" s="60">
        <v>3288.7330000000002</v>
      </c>
      <c r="E27" s="60">
        <f t="shared" si="9"/>
        <v>4686.7330000000002</v>
      </c>
      <c r="F27" s="56"/>
      <c r="G27" s="84">
        <f t="shared" si="10"/>
        <v>3834.7926474462142</v>
      </c>
      <c r="H27" s="56">
        <v>663.94035255378606</v>
      </c>
      <c r="I27" s="60">
        <f t="shared" si="11"/>
        <v>4498.7330000000002</v>
      </c>
      <c r="J27" s="56">
        <v>188</v>
      </c>
      <c r="K27" s="61">
        <v>57.19</v>
      </c>
      <c r="L27" s="39"/>
    </row>
    <row r="28" spans="1:12">
      <c r="A28" s="127" t="s">
        <v>506</v>
      </c>
      <c r="B28" s="56">
        <f t="shared" si="8"/>
        <v>188</v>
      </c>
      <c r="C28" s="56">
        <v>1274</v>
      </c>
      <c r="D28" s="60">
        <v>2760.6170000000002</v>
      </c>
      <c r="E28" s="60">
        <f t="shared" si="9"/>
        <v>4222.6170000000002</v>
      </c>
      <c r="F28" s="56"/>
      <c r="G28" s="84">
        <f t="shared" si="10"/>
        <v>3607.4241178921793</v>
      </c>
      <c r="H28" s="56">
        <v>475.19288210782082</v>
      </c>
      <c r="I28" s="60">
        <f t="shared" si="11"/>
        <v>4082.6170000000002</v>
      </c>
      <c r="J28" s="56">
        <v>140</v>
      </c>
      <c r="K28" s="61">
        <v>56.17</v>
      </c>
      <c r="L28" s="39"/>
    </row>
    <row r="29" spans="1:12">
      <c r="A29" s="127" t="s">
        <v>574</v>
      </c>
      <c r="B29" s="56">
        <f>+J28</f>
        <v>140</v>
      </c>
      <c r="C29" s="56">
        <v>1562</v>
      </c>
      <c r="D29" s="60">
        <v>3390.5639999999999</v>
      </c>
      <c r="E29" s="60">
        <f>SUM(B29:D29)</f>
        <v>5092.5640000000003</v>
      </c>
      <c r="F29" s="56"/>
      <c r="G29" s="84">
        <f>+I29-H29</f>
        <v>4555.1610000000001</v>
      </c>
      <c r="H29" s="56">
        <v>262.40300000000002</v>
      </c>
      <c r="I29" s="60">
        <f>+E29-J29</f>
        <v>4817.5640000000003</v>
      </c>
      <c r="J29" s="56">
        <v>275</v>
      </c>
      <c r="K29" s="61">
        <v>43.7</v>
      </c>
      <c r="L29" s="39"/>
    </row>
    <row r="30" spans="1:12">
      <c r="A30" s="127" t="s">
        <v>576</v>
      </c>
      <c r="B30" s="56">
        <f>+J29</f>
        <v>275</v>
      </c>
      <c r="C30" s="102">
        <v>1552</v>
      </c>
      <c r="D30" s="231">
        <v>3692.2186000000002</v>
      </c>
      <c r="E30" s="60">
        <f>SUM(B30:D30)</f>
        <v>5519.2186000000002</v>
      </c>
      <c r="F30" s="56"/>
      <c r="G30" s="84">
        <f>+I30-H30</f>
        <v>5010.820456299286</v>
      </c>
      <c r="H30" s="102">
        <v>241.398143700714</v>
      </c>
      <c r="I30" s="60">
        <f>+E30-J30</f>
        <v>5252.2186000000002</v>
      </c>
      <c r="J30" s="102">
        <v>267</v>
      </c>
      <c r="K30" s="250">
        <v>37.81</v>
      </c>
      <c r="L30" s="39"/>
    </row>
    <row r="31" spans="1:12">
      <c r="A31" s="127" t="s">
        <v>585</v>
      </c>
      <c r="B31" s="56">
        <f>+J30</f>
        <v>267</v>
      </c>
      <c r="C31" s="102">
        <v>1587.894</v>
      </c>
      <c r="D31" s="231">
        <v>3955.7310694888138</v>
      </c>
      <c r="E31" s="60">
        <f>SUM(B31:D31)</f>
        <v>5810.625069488814</v>
      </c>
      <c r="F31" s="56"/>
      <c r="G31" s="84">
        <f>+I31-H31</f>
        <v>5312.0579366803904</v>
      </c>
      <c r="H31" s="102">
        <v>245.938132808424</v>
      </c>
      <c r="I31" s="60">
        <f>+E31-J31</f>
        <v>5557.9960694888141</v>
      </c>
      <c r="J31" s="102">
        <v>252.62899999999999</v>
      </c>
      <c r="K31" s="250">
        <v>35.270000000000003</v>
      </c>
      <c r="L31" s="39"/>
    </row>
    <row r="32" spans="1:12">
      <c r="A32" s="127" t="s">
        <v>578</v>
      </c>
      <c r="B32" s="56">
        <f>+J31</f>
        <v>252.62899999999999</v>
      </c>
      <c r="C32" s="102">
        <v>1751.6469999999997</v>
      </c>
      <c r="D32" s="231">
        <v>4405.5075550462452</v>
      </c>
      <c r="E32" s="60">
        <f>SUM(B32:D32)</f>
        <v>6409.7835550462451</v>
      </c>
      <c r="F32" s="56"/>
      <c r="G32" s="84">
        <f>+I32-H32</f>
        <v>5843.7835550462451</v>
      </c>
      <c r="H32" s="102">
        <v>271</v>
      </c>
      <c r="I32" s="60">
        <f>+E32-J32</f>
        <v>6114.7835550462451</v>
      </c>
      <c r="J32" s="102">
        <v>295</v>
      </c>
      <c r="K32" s="250">
        <v>38.700000000000003</v>
      </c>
      <c r="L32" s="39"/>
    </row>
    <row r="33" spans="1:13">
      <c r="A33" s="50" t="s">
        <v>668</v>
      </c>
      <c r="B33" s="13">
        <f>+J32</f>
        <v>295</v>
      </c>
      <c r="C33" s="270">
        <v>1683</v>
      </c>
      <c r="D33" s="230">
        <v>4544</v>
      </c>
      <c r="E33" s="26">
        <f>SUM(B33:D33)</f>
        <v>6522</v>
      </c>
      <c r="F33" s="13"/>
      <c r="G33" s="40">
        <v>6040</v>
      </c>
      <c r="H33" s="270">
        <v>243</v>
      </c>
      <c r="I33" s="26">
        <v>6283</v>
      </c>
      <c r="J33" s="270">
        <v>239</v>
      </c>
      <c r="K33" s="360" t="s">
        <v>742</v>
      </c>
      <c r="L33" s="39"/>
    </row>
    <row r="34" spans="1:13" ht="13.25" customHeight="1">
      <c r="A34" s="117" t="s">
        <v>426</v>
      </c>
    </row>
    <row r="35" spans="1:13" ht="13.25" customHeight="1">
      <c r="A35" s="117" t="s">
        <v>637</v>
      </c>
    </row>
    <row r="36" spans="1:13">
      <c r="A36" s="117" t="s">
        <v>638</v>
      </c>
    </row>
    <row r="37" spans="1:13">
      <c r="J37" s="305"/>
      <c r="K37" s="305" t="s">
        <v>679</v>
      </c>
      <c r="L37" s="176"/>
      <c r="M37" s="176"/>
    </row>
  </sheetData>
  <phoneticPr fontId="0" type="noConversion"/>
  <pageMargins left="0.7" right="0.7" top="0.75" bottom="0.75" header="0.3" footer="0.3"/>
  <pageSetup scale="90" firstPageNumber="53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K39"/>
  <sheetViews>
    <sheetView zoomScaleNormal="100" zoomScaleSheetLayoutView="100" workbookViewId="0"/>
  </sheetViews>
  <sheetFormatPr baseColWidth="10" defaultColWidth="8.75" defaultRowHeight="11"/>
  <cols>
    <col min="1" max="1" width="11.25" customWidth="1"/>
    <col min="2" max="5" width="11.75" customWidth="1"/>
    <col min="6" max="6" width="2.75" customWidth="1"/>
    <col min="7" max="11" width="11.75" customWidth="1"/>
    <col min="12" max="12" width="10.75" customWidth="1"/>
  </cols>
  <sheetData>
    <row r="1" spans="1:11">
      <c r="A1" s="126" t="s">
        <v>711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20</v>
      </c>
      <c r="B2" s="314"/>
      <c r="C2" s="335" t="s">
        <v>119</v>
      </c>
      <c r="D2" s="314"/>
      <c r="E2" s="314"/>
      <c r="F2" s="12"/>
      <c r="G2" s="3"/>
      <c r="H2" s="306" t="s">
        <v>117</v>
      </c>
      <c r="I2" s="306"/>
      <c r="J2" s="12"/>
      <c r="K2" s="23" t="s">
        <v>118</v>
      </c>
    </row>
    <row r="3" spans="1:11">
      <c r="A3" t="s">
        <v>100</v>
      </c>
      <c r="B3" s="7" t="s">
        <v>141</v>
      </c>
      <c r="C3" s="10" t="s">
        <v>258</v>
      </c>
      <c r="D3" s="187" t="s">
        <v>88</v>
      </c>
      <c r="E3" s="187" t="s">
        <v>3</v>
      </c>
      <c r="G3" s="10" t="s">
        <v>142</v>
      </c>
      <c r="H3" s="187" t="s">
        <v>90</v>
      </c>
      <c r="I3" s="187" t="s">
        <v>3</v>
      </c>
      <c r="J3" s="7" t="s">
        <v>143</v>
      </c>
      <c r="K3" s="7" t="s">
        <v>416</v>
      </c>
    </row>
    <row r="4" spans="1:11">
      <c r="A4" s="164" t="s">
        <v>525</v>
      </c>
      <c r="B4" s="9" t="s">
        <v>272</v>
      </c>
      <c r="C4" s="9"/>
      <c r="D4" s="9"/>
      <c r="E4" s="9"/>
      <c r="F4" s="1"/>
      <c r="G4" s="9"/>
      <c r="H4" s="9"/>
      <c r="I4" s="9"/>
      <c r="J4" s="9" t="s">
        <v>110</v>
      </c>
      <c r="K4" s="9"/>
    </row>
    <row r="5" spans="1:11">
      <c r="C5" s="303"/>
      <c r="D5" s="303"/>
      <c r="E5" s="329" t="s">
        <v>202</v>
      </c>
      <c r="F5" s="303"/>
      <c r="G5" s="303"/>
      <c r="H5" s="303"/>
      <c r="I5" s="303"/>
      <c r="J5" s="303"/>
      <c r="K5" s="7" t="s">
        <v>289</v>
      </c>
    </row>
    <row r="7" spans="1:11">
      <c r="A7" s="10" t="s">
        <v>11</v>
      </c>
      <c r="B7" s="12">
        <v>6</v>
      </c>
      <c r="C7" s="12">
        <v>28.838142016943259</v>
      </c>
      <c r="D7" s="12">
        <v>621.36742842568799</v>
      </c>
      <c r="E7" s="12">
        <f t="shared" ref="E7:E14" si="0">SUM(B7:D7)</f>
        <v>656.20557044263126</v>
      </c>
      <c r="F7" s="12"/>
      <c r="G7" s="12">
        <f t="shared" ref="G7:G14" si="1">+I7-H7</f>
        <v>650.20557044263126</v>
      </c>
      <c r="H7" s="12">
        <v>0</v>
      </c>
      <c r="I7" s="12">
        <f t="shared" ref="I7:I14" si="2">+E7-J7</f>
        <v>650.20557044263126</v>
      </c>
      <c r="J7" s="12">
        <v>6</v>
      </c>
      <c r="K7" s="61">
        <v>130.63999999999999</v>
      </c>
    </row>
    <row r="8" spans="1:11">
      <c r="A8" s="10" t="s">
        <v>12</v>
      </c>
      <c r="B8" s="12">
        <f t="shared" ref="B8:B14" si="3">+J7</f>
        <v>6</v>
      </c>
      <c r="C8" s="12">
        <v>96.974640250672678</v>
      </c>
      <c r="D8" s="12">
        <v>603.4539134604961</v>
      </c>
      <c r="E8" s="12">
        <f t="shared" si="0"/>
        <v>706.42855371116877</v>
      </c>
      <c r="F8" s="12"/>
      <c r="G8" s="12">
        <f t="shared" si="1"/>
        <v>700.42855371116877</v>
      </c>
      <c r="H8" s="12">
        <v>0</v>
      </c>
      <c r="I8" s="12">
        <f t="shared" si="2"/>
        <v>700.42855371116877</v>
      </c>
      <c r="J8" s="12">
        <v>6</v>
      </c>
      <c r="K8" s="61">
        <v>138</v>
      </c>
    </row>
    <row r="9" spans="1:11">
      <c r="A9" s="10" t="s">
        <v>13</v>
      </c>
      <c r="B9" s="12">
        <f t="shared" si="3"/>
        <v>6</v>
      </c>
      <c r="C9" s="12">
        <v>247.86450101494103</v>
      </c>
      <c r="D9" s="12">
        <v>779.89454544393016</v>
      </c>
      <c r="E9" s="12">
        <f t="shared" si="0"/>
        <v>1033.7590464588711</v>
      </c>
      <c r="F9" s="12"/>
      <c r="G9" s="12">
        <f t="shared" si="1"/>
        <v>1027.7590464588711</v>
      </c>
      <c r="H9" s="12">
        <v>0</v>
      </c>
      <c r="I9" s="12">
        <f t="shared" si="2"/>
        <v>1027.7590464588711</v>
      </c>
      <c r="J9" s="12">
        <v>6</v>
      </c>
      <c r="K9" s="61">
        <v>129</v>
      </c>
    </row>
    <row r="10" spans="1:11">
      <c r="A10" s="10" t="s">
        <v>14</v>
      </c>
      <c r="B10" s="12">
        <f t="shared" si="3"/>
        <v>6</v>
      </c>
      <c r="C10" s="12">
        <v>253.78064028029596</v>
      </c>
      <c r="D10" s="12">
        <v>815.05850885234997</v>
      </c>
      <c r="E10" s="12">
        <f t="shared" si="0"/>
        <v>1074.8391491326461</v>
      </c>
      <c r="F10" s="12"/>
      <c r="G10" s="12">
        <f t="shared" si="1"/>
        <v>1064.8391491326461</v>
      </c>
      <c r="H10" s="12">
        <v>4</v>
      </c>
      <c r="I10" s="12">
        <f t="shared" si="2"/>
        <v>1068.8391491326461</v>
      </c>
      <c r="J10" s="12">
        <v>6</v>
      </c>
      <c r="K10" s="61">
        <v>128.01</v>
      </c>
    </row>
    <row r="11" spans="1:11">
      <c r="A11" s="10" t="s">
        <v>15</v>
      </c>
      <c r="B11" s="12">
        <f t="shared" si="3"/>
        <v>6</v>
      </c>
      <c r="C11" s="12">
        <v>251.64788506738839</v>
      </c>
      <c r="D11" s="12">
        <v>1012.6530114211981</v>
      </c>
      <c r="E11" s="12">
        <f t="shared" si="0"/>
        <v>1270.3008964885867</v>
      </c>
      <c r="F11" s="12"/>
      <c r="G11" s="12">
        <f t="shared" si="1"/>
        <v>1262.3008964885867</v>
      </c>
      <c r="H11" s="12">
        <v>2</v>
      </c>
      <c r="I11" s="12">
        <f t="shared" si="2"/>
        <v>1264.3008964885867</v>
      </c>
      <c r="J11" s="12">
        <v>6</v>
      </c>
      <c r="K11" s="61">
        <v>177.22</v>
      </c>
    </row>
    <row r="12" spans="1:11">
      <c r="A12" s="10" t="s">
        <v>16</v>
      </c>
      <c r="B12" s="12">
        <f t="shared" si="3"/>
        <v>6</v>
      </c>
      <c r="C12" s="12">
        <v>285.10726968724788</v>
      </c>
      <c r="D12" s="12">
        <v>954.43172332722895</v>
      </c>
      <c r="E12" s="12">
        <f t="shared" si="0"/>
        <v>1245.5389930144768</v>
      </c>
      <c r="F12" s="12"/>
      <c r="G12" s="12">
        <f t="shared" si="1"/>
        <v>1229.5389930144768</v>
      </c>
      <c r="H12" s="12">
        <v>10</v>
      </c>
      <c r="I12" s="12">
        <f t="shared" si="2"/>
        <v>1239.5389930144768</v>
      </c>
      <c r="J12" s="12">
        <v>6</v>
      </c>
      <c r="K12" s="61">
        <v>192.02</v>
      </c>
    </row>
    <row r="13" spans="1:11">
      <c r="A13" s="10" t="s">
        <v>17</v>
      </c>
      <c r="B13" s="12">
        <f t="shared" si="3"/>
        <v>6</v>
      </c>
      <c r="C13" s="12">
        <v>392.18618390408676</v>
      </c>
      <c r="D13" s="12">
        <v>1372</v>
      </c>
      <c r="E13" s="12">
        <f t="shared" si="0"/>
        <v>1770.1861839040866</v>
      </c>
      <c r="F13" s="12"/>
      <c r="G13" s="12">
        <f t="shared" si="1"/>
        <v>1746.1861839040866</v>
      </c>
      <c r="H13" s="12">
        <v>18</v>
      </c>
      <c r="I13" s="12">
        <f t="shared" si="2"/>
        <v>1764.1861839040866</v>
      </c>
      <c r="J13" s="12">
        <v>6</v>
      </c>
      <c r="K13" s="61">
        <v>131.15</v>
      </c>
    </row>
    <row r="14" spans="1:11">
      <c r="A14" s="10" t="s">
        <v>18</v>
      </c>
      <c r="B14" s="12">
        <f t="shared" si="3"/>
        <v>6</v>
      </c>
      <c r="C14" s="12">
        <v>450.12038629817573</v>
      </c>
      <c r="D14" s="12">
        <v>1194</v>
      </c>
      <c r="E14" s="12">
        <f t="shared" si="0"/>
        <v>1650.1203862981756</v>
      </c>
      <c r="F14" s="12"/>
      <c r="G14" s="12">
        <f t="shared" si="1"/>
        <v>1637.1203862981756</v>
      </c>
      <c r="H14" s="12">
        <v>7</v>
      </c>
      <c r="I14" s="12">
        <f t="shared" si="2"/>
        <v>1644.1203862981756</v>
      </c>
      <c r="J14" s="12">
        <v>6</v>
      </c>
      <c r="K14" s="61">
        <v>112.28</v>
      </c>
    </row>
    <row r="15" spans="1:11">
      <c r="A15" s="10" t="s">
        <v>19</v>
      </c>
      <c r="B15" s="56">
        <f t="shared" ref="B15:B20" si="4">+J14</f>
        <v>6</v>
      </c>
      <c r="C15" s="56">
        <v>504.30103871683468</v>
      </c>
      <c r="D15" s="56">
        <v>1260</v>
      </c>
      <c r="E15" s="56">
        <f t="shared" ref="E15:E20" si="5">SUM(B15:D15)</f>
        <v>1770.3010387168347</v>
      </c>
      <c r="F15" s="56"/>
      <c r="G15" s="56">
        <f t="shared" ref="G15:G20" si="6">+I15-H15</f>
        <v>1752.3010387168347</v>
      </c>
      <c r="H15" s="56">
        <v>12</v>
      </c>
      <c r="I15" s="56">
        <f t="shared" ref="I15:I20" si="7">+E15-J15</f>
        <v>1764.3010387168347</v>
      </c>
      <c r="J15" s="56">
        <v>6</v>
      </c>
      <c r="K15" s="61">
        <v>117.07</v>
      </c>
    </row>
    <row r="16" spans="1:11">
      <c r="A16" s="71" t="s">
        <v>392</v>
      </c>
      <c r="B16" s="56">
        <f t="shared" si="4"/>
        <v>6</v>
      </c>
      <c r="C16" s="56">
        <v>543.83510300756132</v>
      </c>
      <c r="D16" s="56">
        <v>1178.2602279000002</v>
      </c>
      <c r="E16" s="56">
        <f t="shared" si="5"/>
        <v>1728.0953309075617</v>
      </c>
      <c r="F16" s="56"/>
      <c r="G16" s="56">
        <f t="shared" si="6"/>
        <v>1711.0953309075617</v>
      </c>
      <c r="H16" s="56">
        <v>11</v>
      </c>
      <c r="I16" s="56">
        <f t="shared" si="7"/>
        <v>1722.0953309075617</v>
      </c>
      <c r="J16" s="56">
        <v>6</v>
      </c>
      <c r="K16" s="61">
        <v>139.19999999999999</v>
      </c>
    </row>
    <row r="17" spans="1:11">
      <c r="A17" s="71" t="s">
        <v>396</v>
      </c>
      <c r="B17" s="56">
        <f t="shared" si="4"/>
        <v>6</v>
      </c>
      <c r="C17" s="56">
        <v>449.6311039469694</v>
      </c>
      <c r="D17" s="56">
        <v>921.31153380000001</v>
      </c>
      <c r="E17" s="56">
        <f t="shared" si="5"/>
        <v>1376.9426377469695</v>
      </c>
      <c r="F17" s="56"/>
      <c r="G17" s="56">
        <f t="shared" si="6"/>
        <v>1362.9426377469695</v>
      </c>
      <c r="H17" s="56">
        <v>8</v>
      </c>
      <c r="I17" s="56">
        <f t="shared" si="7"/>
        <v>1370.9426377469695</v>
      </c>
      <c r="J17" s="56">
        <v>6</v>
      </c>
      <c r="K17" s="61">
        <v>143.33000000000001</v>
      </c>
    </row>
    <row r="18" spans="1:11">
      <c r="A18" s="71" t="s">
        <v>409</v>
      </c>
      <c r="B18" s="56">
        <f t="shared" si="4"/>
        <v>6</v>
      </c>
      <c r="C18" s="56">
        <v>386.96994350287861</v>
      </c>
      <c r="D18" s="56">
        <v>1012.9135779000001</v>
      </c>
      <c r="E18" s="56">
        <f t="shared" si="5"/>
        <v>1405.8835214028786</v>
      </c>
      <c r="F18" s="56"/>
      <c r="G18" s="56">
        <f t="shared" si="6"/>
        <v>1366.0435214028787</v>
      </c>
      <c r="H18" s="56">
        <v>33.840000000000003</v>
      </c>
      <c r="I18" s="56">
        <f t="shared" si="7"/>
        <v>1399.8835214028786</v>
      </c>
      <c r="J18" s="56">
        <v>6</v>
      </c>
      <c r="K18" s="61">
        <v>144.13</v>
      </c>
    </row>
    <row r="19" spans="1:11">
      <c r="A19" s="71" t="s">
        <v>420</v>
      </c>
      <c r="B19" s="56">
        <f t="shared" si="4"/>
        <v>6</v>
      </c>
      <c r="C19" s="56">
        <v>467.23885481606919</v>
      </c>
      <c r="D19" s="56">
        <v>1637.7034527000001</v>
      </c>
      <c r="E19" s="56">
        <f t="shared" si="5"/>
        <v>2110.9423075160694</v>
      </c>
      <c r="F19" s="56"/>
      <c r="G19" s="56">
        <f t="shared" si="6"/>
        <v>2065.5898048160693</v>
      </c>
      <c r="H19" s="56">
        <v>39.352502700000002</v>
      </c>
      <c r="I19" s="56">
        <f t="shared" si="7"/>
        <v>2104.9423075160694</v>
      </c>
      <c r="J19" s="56">
        <v>6</v>
      </c>
      <c r="K19" s="61">
        <v>188.45</v>
      </c>
    </row>
    <row r="20" spans="1:11">
      <c r="A20" s="71" t="s">
        <v>422</v>
      </c>
      <c r="B20" s="56">
        <f t="shared" si="4"/>
        <v>6</v>
      </c>
      <c r="C20" s="56">
        <v>604.94714877737988</v>
      </c>
      <c r="D20" s="56">
        <v>1470.9237984000001</v>
      </c>
      <c r="E20" s="56">
        <f t="shared" si="5"/>
        <v>2081.87094717738</v>
      </c>
      <c r="F20" s="56"/>
      <c r="G20" s="56">
        <f t="shared" si="6"/>
        <v>2041.6993061773801</v>
      </c>
      <c r="H20" s="56">
        <v>34.171641000000001</v>
      </c>
      <c r="I20" s="56">
        <f t="shared" si="7"/>
        <v>2075.87094717738</v>
      </c>
      <c r="J20" s="56">
        <v>6</v>
      </c>
      <c r="K20" s="61">
        <v>139.75</v>
      </c>
    </row>
    <row r="21" spans="1:11">
      <c r="A21" s="71" t="s">
        <v>448</v>
      </c>
      <c r="B21" s="56">
        <f t="shared" ref="B21:B26" si="8">+J20</f>
        <v>6</v>
      </c>
      <c r="C21" s="56">
        <v>629.324814358357</v>
      </c>
      <c r="D21" s="56">
        <v>1610.6968332000001</v>
      </c>
      <c r="E21" s="56">
        <f t="shared" ref="E21:E26" si="9">SUM(B21:D21)</f>
        <v>2246.021647558357</v>
      </c>
      <c r="F21" s="56"/>
      <c r="G21" s="56">
        <f t="shared" ref="G21:G26" si="10">+I21-H21</f>
        <v>2185.9643161183571</v>
      </c>
      <c r="H21" s="56">
        <v>54.057331439999999</v>
      </c>
      <c r="I21" s="56">
        <f t="shared" ref="I21:I26" si="11">+E21-J21</f>
        <v>2240.021647558357</v>
      </c>
      <c r="J21" s="56">
        <v>6</v>
      </c>
      <c r="K21" s="61">
        <v>140.52000000000001</v>
      </c>
    </row>
    <row r="22" spans="1:11">
      <c r="A22" s="71" t="s">
        <v>463</v>
      </c>
      <c r="B22" s="56">
        <f t="shared" si="8"/>
        <v>6</v>
      </c>
      <c r="C22" s="56">
        <v>610.60179438910779</v>
      </c>
      <c r="D22" s="56">
        <v>1650.6004914000002</v>
      </c>
      <c r="E22" s="56">
        <f t="shared" si="9"/>
        <v>2267.2022857891079</v>
      </c>
      <c r="F22" s="56"/>
      <c r="G22" s="56">
        <f t="shared" si="10"/>
        <v>2195.1522857891077</v>
      </c>
      <c r="H22" s="56">
        <v>66.05</v>
      </c>
      <c r="I22" s="56">
        <f t="shared" si="11"/>
        <v>2261.2022857891079</v>
      </c>
      <c r="J22" s="56">
        <v>6</v>
      </c>
      <c r="K22" s="61">
        <v>173.5</v>
      </c>
    </row>
    <row r="23" spans="1:11">
      <c r="A23" s="71" t="s">
        <v>479</v>
      </c>
      <c r="B23" s="56">
        <f t="shared" si="8"/>
        <v>6</v>
      </c>
      <c r="C23" s="56">
        <v>692.27360396579479</v>
      </c>
      <c r="D23" s="56">
        <v>1999.4819229000002</v>
      </c>
      <c r="E23" s="56">
        <f t="shared" si="9"/>
        <v>2697.7555268657952</v>
      </c>
      <c r="F23" s="56"/>
      <c r="G23" s="56">
        <f t="shared" si="10"/>
        <v>2583.0255268657952</v>
      </c>
      <c r="H23" s="56">
        <v>108.73</v>
      </c>
      <c r="I23" s="56">
        <f t="shared" si="11"/>
        <v>2691.7555268657952</v>
      </c>
      <c r="J23" s="56">
        <v>6</v>
      </c>
      <c r="K23" s="61">
        <v>251.33</v>
      </c>
    </row>
    <row r="24" spans="1:11">
      <c r="A24" s="71" t="s">
        <v>477</v>
      </c>
      <c r="B24" s="56">
        <f t="shared" si="8"/>
        <v>6</v>
      </c>
      <c r="C24" s="56">
        <v>731</v>
      </c>
      <c r="D24" s="56">
        <v>1867.29</v>
      </c>
      <c r="E24" s="56">
        <f t="shared" si="9"/>
        <v>2604.29</v>
      </c>
      <c r="F24" s="56"/>
      <c r="G24" s="56">
        <f t="shared" si="10"/>
        <v>2523.4229999999998</v>
      </c>
      <c r="H24" s="56">
        <v>74.867000000000004</v>
      </c>
      <c r="I24" s="56">
        <f t="shared" si="11"/>
        <v>2598.29</v>
      </c>
      <c r="J24" s="56">
        <v>6</v>
      </c>
      <c r="K24" s="61">
        <v>248.82</v>
      </c>
    </row>
    <row r="25" spans="1:11">
      <c r="A25" s="127" t="s">
        <v>483</v>
      </c>
      <c r="B25" s="56">
        <f t="shared" si="8"/>
        <v>6</v>
      </c>
      <c r="C25" s="56">
        <v>736</v>
      </c>
      <c r="D25" s="56">
        <v>1277.8199466008132</v>
      </c>
      <c r="E25" s="56">
        <f t="shared" si="9"/>
        <v>2019.8199466008132</v>
      </c>
      <c r="F25" s="56"/>
      <c r="G25" s="56">
        <f t="shared" si="10"/>
        <v>1983.9319466008133</v>
      </c>
      <c r="H25" s="56">
        <v>29.888000000000002</v>
      </c>
      <c r="I25" s="56">
        <f t="shared" si="11"/>
        <v>2013.8199466008132</v>
      </c>
      <c r="J25" s="56">
        <v>6</v>
      </c>
      <c r="K25" s="61">
        <v>224.92</v>
      </c>
    </row>
    <row r="26" spans="1:11">
      <c r="A26" s="127" t="s">
        <v>487</v>
      </c>
      <c r="B26" s="56">
        <f t="shared" si="8"/>
        <v>6</v>
      </c>
      <c r="C26" s="56">
        <v>788</v>
      </c>
      <c r="D26" s="56">
        <v>2251.8323443004756</v>
      </c>
      <c r="E26" s="56">
        <f t="shared" si="9"/>
        <v>3045.8323443004756</v>
      </c>
      <c r="F26" s="56"/>
      <c r="G26" s="56">
        <f t="shared" si="10"/>
        <v>2967.9240716815098</v>
      </c>
      <c r="H26" s="56">
        <v>71.908272618965995</v>
      </c>
      <c r="I26" s="56">
        <f t="shared" si="11"/>
        <v>3039.8323443004756</v>
      </c>
      <c r="J26" s="56">
        <v>6</v>
      </c>
      <c r="K26" s="61">
        <v>263.63</v>
      </c>
    </row>
    <row r="27" spans="1:11">
      <c r="A27" s="127" t="s">
        <v>517</v>
      </c>
      <c r="B27" s="56">
        <f t="shared" ref="B27:B32" si="12">+J26</f>
        <v>6</v>
      </c>
      <c r="C27" s="56">
        <v>753</v>
      </c>
      <c r="D27" s="56">
        <v>3077.5660583688714</v>
      </c>
      <c r="E27" s="56">
        <f t="shared" ref="E27:E32" si="13">SUM(B27:D27)</f>
        <v>3836.5660583688714</v>
      </c>
      <c r="F27" s="56"/>
      <c r="G27" s="56">
        <f t="shared" ref="G27:G32" si="14">+I27-H27</f>
        <v>3752.9656435480192</v>
      </c>
      <c r="H27" s="56">
        <v>77.600414820851995</v>
      </c>
      <c r="I27" s="56">
        <f t="shared" ref="I27:I32" si="15">+E27-J27</f>
        <v>3830.5660583688714</v>
      </c>
      <c r="J27" s="56">
        <v>6</v>
      </c>
      <c r="K27" s="61">
        <v>307.58999999999997</v>
      </c>
    </row>
    <row r="28" spans="1:11">
      <c r="A28" s="127" t="s">
        <v>506</v>
      </c>
      <c r="B28" s="56">
        <f t="shared" si="12"/>
        <v>6</v>
      </c>
      <c r="C28" s="56">
        <v>889</v>
      </c>
      <c r="D28" s="56">
        <v>3442.72255</v>
      </c>
      <c r="E28" s="56">
        <f t="shared" si="13"/>
        <v>4337.7225500000004</v>
      </c>
      <c r="F28" s="56"/>
      <c r="G28" s="56">
        <f t="shared" si="14"/>
        <v>4259.5063589286056</v>
      </c>
      <c r="H28" s="56">
        <v>72.216191071395002</v>
      </c>
      <c r="I28" s="56">
        <f t="shared" si="15"/>
        <v>4331.7225500000004</v>
      </c>
      <c r="J28" s="56">
        <v>6</v>
      </c>
      <c r="K28" s="61">
        <v>354.22</v>
      </c>
    </row>
    <row r="29" spans="1:11">
      <c r="A29" s="127" t="s">
        <v>574</v>
      </c>
      <c r="B29" s="56">
        <f t="shared" si="12"/>
        <v>6</v>
      </c>
      <c r="C29" s="56">
        <v>1069</v>
      </c>
      <c r="D29" s="56">
        <v>3730.9090000000001</v>
      </c>
      <c r="E29" s="56">
        <f t="shared" si="13"/>
        <v>4805.9089999999997</v>
      </c>
      <c r="F29" s="56"/>
      <c r="G29" s="56">
        <f t="shared" si="14"/>
        <v>4750.2506147706381</v>
      </c>
      <c r="H29" s="56">
        <v>49.658385229362004</v>
      </c>
      <c r="I29" s="56">
        <f t="shared" si="15"/>
        <v>4799.9089999999997</v>
      </c>
      <c r="J29" s="56">
        <v>6</v>
      </c>
      <c r="K29" s="61">
        <v>359.7</v>
      </c>
    </row>
    <row r="30" spans="1:11">
      <c r="A30" s="127" t="s">
        <v>572</v>
      </c>
      <c r="B30" s="56">
        <f t="shared" si="12"/>
        <v>6</v>
      </c>
      <c r="C30" s="102">
        <v>1071</v>
      </c>
      <c r="D30" s="102">
        <v>3857.7159999999999</v>
      </c>
      <c r="E30" s="56">
        <f t="shared" si="13"/>
        <v>4934.7160000000003</v>
      </c>
      <c r="F30" s="56"/>
      <c r="G30" s="56">
        <f t="shared" si="14"/>
        <v>4890.8440000000001</v>
      </c>
      <c r="H30" s="102">
        <v>37.872</v>
      </c>
      <c r="I30" s="56">
        <f t="shared" si="15"/>
        <v>4928.7160000000003</v>
      </c>
      <c r="J30" s="102">
        <v>6</v>
      </c>
      <c r="K30" s="250">
        <v>301.2</v>
      </c>
    </row>
    <row r="31" spans="1:11">
      <c r="A31" s="127" t="s">
        <v>575</v>
      </c>
      <c r="B31" s="56">
        <f t="shared" si="12"/>
        <v>6</v>
      </c>
      <c r="C31" s="102">
        <v>1066.692</v>
      </c>
      <c r="D31" s="102">
        <v>4004.279897125663</v>
      </c>
      <c r="E31" s="56">
        <f t="shared" si="13"/>
        <v>5076.9718971256625</v>
      </c>
      <c r="F31" s="56"/>
      <c r="G31" s="56">
        <f t="shared" si="14"/>
        <v>4974.7187344344875</v>
      </c>
      <c r="H31" s="102">
        <v>96.253162691174992</v>
      </c>
      <c r="I31" s="56">
        <f t="shared" si="15"/>
        <v>5070.9718971256625</v>
      </c>
      <c r="J31" s="102">
        <v>6</v>
      </c>
      <c r="K31" s="250">
        <v>262.2</v>
      </c>
    </row>
    <row r="32" spans="1:11">
      <c r="A32" s="127" t="s">
        <v>578</v>
      </c>
      <c r="B32" s="56">
        <f t="shared" si="12"/>
        <v>6</v>
      </c>
      <c r="C32" s="102">
        <v>1181.261</v>
      </c>
      <c r="D32" s="102">
        <v>3892.7899348151313</v>
      </c>
      <c r="E32" s="56">
        <f t="shared" si="13"/>
        <v>5080.0509348151318</v>
      </c>
      <c r="F32" s="56"/>
      <c r="G32" s="56">
        <f t="shared" si="14"/>
        <v>5010.5292140400597</v>
      </c>
      <c r="H32" s="102">
        <v>63.521720775071998</v>
      </c>
      <c r="I32" s="56">
        <f t="shared" si="15"/>
        <v>5074.0509348151318</v>
      </c>
      <c r="J32" s="102">
        <v>6</v>
      </c>
      <c r="K32" s="250">
        <v>267.94</v>
      </c>
    </row>
    <row r="33" spans="1:11">
      <c r="A33" s="150" t="s">
        <v>668</v>
      </c>
      <c r="B33" s="13">
        <f>+J32</f>
        <v>6</v>
      </c>
      <c r="C33" s="270">
        <v>1109</v>
      </c>
      <c r="D33" s="270">
        <v>3708</v>
      </c>
      <c r="E33" s="13">
        <f>SUM(B33:D33)</f>
        <v>4823</v>
      </c>
      <c r="F33" s="13"/>
      <c r="G33" s="13">
        <f>+I33-H33</f>
        <v>4717</v>
      </c>
      <c r="H33" s="270">
        <v>100</v>
      </c>
      <c r="I33" s="13">
        <f>+E33-J33</f>
        <v>4817</v>
      </c>
      <c r="J33" s="270">
        <v>6</v>
      </c>
      <c r="K33" s="359" t="s">
        <v>743</v>
      </c>
    </row>
    <row r="34" spans="1:11" s="6" customFormat="1" ht="13.25" customHeight="1">
      <c r="A34" s="117" t="s">
        <v>437</v>
      </c>
    </row>
    <row r="35" spans="1:11" s="6" customFormat="1" ht="13.25" customHeight="1">
      <c r="A35" s="117" t="s">
        <v>655</v>
      </c>
    </row>
    <row r="36" spans="1:11">
      <c r="A36" t="s">
        <v>654</v>
      </c>
    </row>
    <row r="37" spans="1:11">
      <c r="A37" t="s">
        <v>602</v>
      </c>
      <c r="J37" s="305"/>
      <c r="K37" s="305" t="s">
        <v>679</v>
      </c>
    </row>
    <row r="39" spans="1:11">
      <c r="G39" s="12"/>
    </row>
  </sheetData>
  <phoneticPr fontId="0" type="noConversion"/>
  <pageMargins left="0.7" right="0.7" top="0.75" bottom="0.75" header="0.3" footer="0.3"/>
  <pageSetup scale="87" firstPageNumber="5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F45"/>
  <sheetViews>
    <sheetView zoomScaleNormal="100" zoomScaleSheetLayoutView="100" workbookViewId="0"/>
  </sheetViews>
  <sheetFormatPr baseColWidth="10" defaultColWidth="8.75" defaultRowHeight="11"/>
  <cols>
    <col min="1" max="1" width="15.25" customWidth="1"/>
    <col min="2" max="6" width="20.75" customWidth="1"/>
  </cols>
  <sheetData>
    <row r="1" spans="1:6">
      <c r="A1" s="126" t="s">
        <v>712</v>
      </c>
      <c r="B1" s="1"/>
      <c r="C1" s="1"/>
      <c r="D1" s="1"/>
      <c r="E1" s="1"/>
      <c r="F1" s="1"/>
    </row>
    <row r="2" spans="1:6">
      <c r="A2" s="1" t="s">
        <v>20</v>
      </c>
      <c r="B2" s="318" t="s">
        <v>62</v>
      </c>
      <c r="C2" s="318" t="s">
        <v>63</v>
      </c>
      <c r="D2" s="318" t="s">
        <v>94</v>
      </c>
      <c r="E2" s="318" t="s">
        <v>66</v>
      </c>
      <c r="F2" s="318" t="s">
        <v>67</v>
      </c>
    </row>
    <row r="3" spans="1:6">
      <c r="B3" s="368" t="s">
        <v>162</v>
      </c>
      <c r="C3" s="38"/>
      <c r="D3" s="7" t="s">
        <v>70</v>
      </c>
      <c r="E3" s="7" t="s">
        <v>4</v>
      </c>
      <c r="F3" s="8">
        <v>1000</v>
      </c>
    </row>
    <row r="4" spans="1:6">
      <c r="B4" s="38"/>
      <c r="C4" s="38"/>
      <c r="D4" s="7"/>
      <c r="E4" s="7"/>
      <c r="F4" s="8"/>
    </row>
    <row r="5" spans="1:6">
      <c r="A5" s="10">
        <v>1980</v>
      </c>
      <c r="B5" s="21">
        <v>759</v>
      </c>
      <c r="C5" s="21">
        <v>663</v>
      </c>
      <c r="D5" s="34">
        <v>11.7</v>
      </c>
      <c r="E5" s="21">
        <v>7728</v>
      </c>
      <c r="F5" s="21">
        <v>55615</v>
      </c>
    </row>
    <row r="6" spans="1:6">
      <c r="A6" s="10">
        <v>1981</v>
      </c>
      <c r="B6" s="21">
        <v>605</v>
      </c>
      <c r="C6" s="21">
        <v>577</v>
      </c>
      <c r="D6" s="34">
        <v>12.6</v>
      </c>
      <c r="E6" s="21">
        <v>7289</v>
      </c>
      <c r="F6" s="21">
        <v>48615</v>
      </c>
    </row>
    <row r="7" spans="1:6">
      <c r="A7" s="10">
        <v>1982</v>
      </c>
      <c r="B7" s="21">
        <v>780</v>
      </c>
      <c r="C7" s="21">
        <v>735</v>
      </c>
      <c r="D7" s="34">
        <v>14</v>
      </c>
      <c r="E7" s="21">
        <v>10278</v>
      </c>
      <c r="F7" s="21">
        <v>53139</v>
      </c>
    </row>
    <row r="8" spans="1:6">
      <c r="A8" s="10">
        <v>1983</v>
      </c>
      <c r="B8" s="21">
        <v>605</v>
      </c>
      <c r="C8" s="21">
        <v>580</v>
      </c>
      <c r="D8" s="34">
        <v>11.9</v>
      </c>
      <c r="E8" s="21">
        <v>6903</v>
      </c>
      <c r="F8" s="21">
        <v>46925</v>
      </c>
    </row>
    <row r="9" spans="1:6">
      <c r="A9" s="10">
        <v>1984</v>
      </c>
      <c r="B9" s="21">
        <v>555</v>
      </c>
      <c r="C9" s="21">
        <v>538</v>
      </c>
      <c r="D9" s="34">
        <v>13.1</v>
      </c>
      <c r="E9" s="21">
        <v>7022</v>
      </c>
      <c r="F9" s="21">
        <v>42739</v>
      </c>
    </row>
    <row r="10" spans="1:6">
      <c r="A10" s="10">
        <v>1985</v>
      </c>
      <c r="B10" s="21">
        <v>620</v>
      </c>
      <c r="C10" s="21">
        <v>584</v>
      </c>
      <c r="D10" s="34">
        <v>14.2</v>
      </c>
      <c r="E10" s="21">
        <v>8293</v>
      </c>
      <c r="F10" s="21">
        <v>41912</v>
      </c>
    </row>
    <row r="11" spans="1:6">
      <c r="A11" s="10">
        <v>1986</v>
      </c>
      <c r="B11" s="21">
        <v>720</v>
      </c>
      <c r="C11" s="21">
        <v>683</v>
      </c>
      <c r="D11" s="34">
        <v>16.899999999999999</v>
      </c>
      <c r="E11" s="21">
        <v>11538</v>
      </c>
      <c r="F11" s="21">
        <v>39962</v>
      </c>
    </row>
    <row r="12" spans="1:6">
      <c r="A12" s="10">
        <v>1987</v>
      </c>
      <c r="B12" s="21">
        <v>470</v>
      </c>
      <c r="C12" s="21">
        <v>463</v>
      </c>
      <c r="D12" s="34">
        <v>16.100000000000001</v>
      </c>
      <c r="E12" s="21">
        <v>7444</v>
      </c>
      <c r="F12" s="21">
        <v>25188</v>
      </c>
    </row>
    <row r="13" spans="1:6">
      <c r="A13" s="10">
        <v>1988</v>
      </c>
      <c r="B13" s="21">
        <v>275</v>
      </c>
      <c r="C13" s="21">
        <v>226</v>
      </c>
      <c r="D13" s="34">
        <v>7.1</v>
      </c>
      <c r="E13" s="21">
        <v>1615</v>
      </c>
      <c r="F13" s="21">
        <v>12200</v>
      </c>
    </row>
    <row r="14" spans="1:6">
      <c r="A14" s="10">
        <v>1989</v>
      </c>
      <c r="B14" s="21">
        <v>195</v>
      </c>
      <c r="C14" s="21">
        <v>163</v>
      </c>
      <c r="D14" s="34">
        <v>7.5</v>
      </c>
      <c r="E14" s="21">
        <v>1215</v>
      </c>
      <c r="F14" s="21">
        <v>8724</v>
      </c>
    </row>
    <row r="15" spans="1:6">
      <c r="A15" s="10">
        <v>1990</v>
      </c>
      <c r="B15" s="21">
        <v>260</v>
      </c>
      <c r="C15" s="21">
        <v>253</v>
      </c>
      <c r="D15" s="34">
        <v>15.1</v>
      </c>
      <c r="E15" s="21">
        <v>3812</v>
      </c>
      <c r="F15" s="21">
        <v>21108</v>
      </c>
    </row>
    <row r="16" spans="1:6">
      <c r="A16" s="10">
        <v>1991</v>
      </c>
      <c r="B16" s="21">
        <v>356</v>
      </c>
      <c r="C16" s="21">
        <v>342</v>
      </c>
      <c r="D16" s="34">
        <v>18.100000000000001</v>
      </c>
      <c r="E16" s="21">
        <v>6200</v>
      </c>
      <c r="F16" s="21">
        <v>21845</v>
      </c>
    </row>
    <row r="17" spans="1:6">
      <c r="A17" s="10">
        <v>1992</v>
      </c>
      <c r="B17" s="21">
        <v>171</v>
      </c>
      <c r="C17" s="21">
        <v>165</v>
      </c>
      <c r="D17" s="34">
        <v>19.899999999999999</v>
      </c>
      <c r="E17" s="21">
        <v>3288</v>
      </c>
      <c r="F17" s="21">
        <v>13543</v>
      </c>
    </row>
    <row r="18" spans="1:6">
      <c r="A18" s="10">
        <v>1993</v>
      </c>
      <c r="B18" s="21">
        <v>206</v>
      </c>
      <c r="C18" s="21">
        <v>191</v>
      </c>
      <c r="D18" s="34">
        <v>18.2</v>
      </c>
      <c r="E18" s="21">
        <v>3482</v>
      </c>
      <c r="F18" s="21">
        <v>14857</v>
      </c>
    </row>
    <row r="19" spans="1:6">
      <c r="A19" s="10">
        <v>1994</v>
      </c>
      <c r="B19" s="21">
        <v>178</v>
      </c>
      <c r="C19" s="21">
        <v>171</v>
      </c>
      <c r="D19" s="34">
        <v>17.100000000000001</v>
      </c>
      <c r="E19" s="21">
        <v>2922</v>
      </c>
      <c r="F19" s="21">
        <v>13590</v>
      </c>
    </row>
    <row r="20" spans="1:6">
      <c r="A20" s="10">
        <v>1995</v>
      </c>
      <c r="B20" s="21">
        <v>165</v>
      </c>
      <c r="C20" s="21">
        <v>147</v>
      </c>
      <c r="D20" s="34">
        <v>15</v>
      </c>
      <c r="E20" s="21">
        <v>2212</v>
      </c>
      <c r="F20" s="21">
        <v>11481</v>
      </c>
    </row>
    <row r="21" spans="1:6">
      <c r="A21" s="10">
        <v>1996</v>
      </c>
      <c r="B21" s="21">
        <v>96</v>
      </c>
      <c r="C21" s="21">
        <v>92</v>
      </c>
      <c r="D21" s="34">
        <v>17.399999999999999</v>
      </c>
      <c r="E21" s="21">
        <v>1602</v>
      </c>
      <c r="F21" s="21">
        <v>10197</v>
      </c>
    </row>
    <row r="22" spans="1:6">
      <c r="A22" s="10">
        <v>1997</v>
      </c>
      <c r="B22" s="21">
        <v>151</v>
      </c>
      <c r="C22" s="21">
        <v>146</v>
      </c>
      <c r="D22" s="34">
        <v>16.600000000000001</v>
      </c>
      <c r="E22" s="21">
        <v>2420</v>
      </c>
      <c r="F22" s="21">
        <v>14046</v>
      </c>
    </row>
    <row r="23" spans="1:6">
      <c r="A23" s="10">
        <v>1998</v>
      </c>
      <c r="B23" s="21">
        <v>336</v>
      </c>
      <c r="C23" s="21">
        <v>329</v>
      </c>
      <c r="D23" s="34">
        <v>20.399999999999999</v>
      </c>
      <c r="E23" s="21">
        <v>6708</v>
      </c>
      <c r="F23" s="21">
        <v>33809</v>
      </c>
    </row>
    <row r="24" spans="1:6">
      <c r="A24" s="10">
        <v>1999</v>
      </c>
      <c r="B24" s="21">
        <v>387</v>
      </c>
      <c r="C24" s="21">
        <v>382</v>
      </c>
      <c r="D24" s="34">
        <v>20.6</v>
      </c>
      <c r="E24" s="21">
        <v>7864</v>
      </c>
      <c r="F24" s="21">
        <v>30098</v>
      </c>
    </row>
    <row r="25" spans="1:6">
      <c r="A25" s="10">
        <v>2000</v>
      </c>
      <c r="B25" s="75">
        <v>536</v>
      </c>
      <c r="C25" s="75">
        <v>517</v>
      </c>
      <c r="D25" s="82">
        <f t="shared" ref="D25:D30" si="0">+E25/C25</f>
        <v>20.754352030947775</v>
      </c>
      <c r="E25" s="75">
        <v>10730</v>
      </c>
      <c r="F25" s="75">
        <v>35569</v>
      </c>
    </row>
    <row r="26" spans="1:6">
      <c r="A26" s="71">
        <v>2001</v>
      </c>
      <c r="B26" s="75">
        <v>585</v>
      </c>
      <c r="C26" s="75">
        <v>578</v>
      </c>
      <c r="D26" s="82">
        <f t="shared" si="0"/>
        <v>19.818339100346019</v>
      </c>
      <c r="E26" s="75">
        <v>11455</v>
      </c>
      <c r="F26" s="75">
        <v>49004</v>
      </c>
    </row>
    <row r="27" spans="1:6">
      <c r="A27" s="71">
        <v>2002</v>
      </c>
      <c r="B27" s="75">
        <v>784</v>
      </c>
      <c r="C27" s="75">
        <v>703</v>
      </c>
      <c r="D27" s="82">
        <f t="shared" si="0"/>
        <v>16.874822190611663</v>
      </c>
      <c r="E27" s="75">
        <v>11863</v>
      </c>
      <c r="F27" s="75">
        <v>68564</v>
      </c>
    </row>
    <row r="28" spans="1:6">
      <c r="A28" s="71">
        <v>2003</v>
      </c>
      <c r="B28" s="75">
        <v>595</v>
      </c>
      <c r="C28" s="75">
        <v>588</v>
      </c>
      <c r="D28" s="82">
        <f t="shared" si="0"/>
        <v>17.8843537414966</v>
      </c>
      <c r="E28" s="75">
        <v>10516</v>
      </c>
      <c r="F28" s="75">
        <v>61900</v>
      </c>
    </row>
    <row r="29" spans="1:6">
      <c r="A29" s="71">
        <v>2004</v>
      </c>
      <c r="B29" s="75">
        <v>523</v>
      </c>
      <c r="C29" s="75">
        <v>511</v>
      </c>
      <c r="D29" s="82">
        <f t="shared" si="0"/>
        <v>20.289628180039138</v>
      </c>
      <c r="E29" s="75">
        <v>10368</v>
      </c>
      <c r="F29" s="75">
        <v>83767</v>
      </c>
    </row>
    <row r="30" spans="1:6">
      <c r="A30" s="71">
        <v>2005</v>
      </c>
      <c r="B30" s="75">
        <v>983</v>
      </c>
      <c r="C30" s="75">
        <v>955</v>
      </c>
      <c r="D30" s="82">
        <f t="shared" si="0"/>
        <v>20.623036649214658</v>
      </c>
      <c r="E30" s="75">
        <v>19695</v>
      </c>
      <c r="F30" s="75">
        <v>117070</v>
      </c>
    </row>
    <row r="31" spans="1:6">
      <c r="A31" s="71">
        <v>2006</v>
      </c>
      <c r="B31" s="75">
        <v>813</v>
      </c>
      <c r="C31" s="75">
        <v>767</v>
      </c>
      <c r="D31" s="82">
        <f t="shared" ref="D31:D36" si="1">+E31/C31</f>
        <v>14.366362451108214</v>
      </c>
      <c r="E31" s="75">
        <v>11019</v>
      </c>
      <c r="F31" s="75">
        <v>63961</v>
      </c>
    </row>
    <row r="32" spans="1:6">
      <c r="A32" s="71">
        <v>2007</v>
      </c>
      <c r="B32" s="75">
        <v>354</v>
      </c>
      <c r="C32" s="75">
        <v>349</v>
      </c>
      <c r="D32" s="82">
        <f t="shared" si="1"/>
        <v>16.893982808022923</v>
      </c>
      <c r="E32" s="75">
        <v>5896</v>
      </c>
      <c r="F32" s="75">
        <v>76521</v>
      </c>
    </row>
    <row r="33" spans="1:6">
      <c r="A33" s="71">
        <v>2008</v>
      </c>
      <c r="B33" s="75">
        <v>354</v>
      </c>
      <c r="C33" s="75">
        <v>340</v>
      </c>
      <c r="D33" s="82">
        <f t="shared" si="1"/>
        <v>16.811764705882354</v>
      </c>
      <c r="E33" s="75">
        <v>5716</v>
      </c>
      <c r="F33" s="75">
        <v>72773</v>
      </c>
    </row>
    <row r="34" spans="1:6">
      <c r="A34" s="71">
        <v>2009</v>
      </c>
      <c r="B34" s="75">
        <v>317</v>
      </c>
      <c r="C34" s="75">
        <v>314</v>
      </c>
      <c r="D34" s="82">
        <f t="shared" si="1"/>
        <v>23.640127388535031</v>
      </c>
      <c r="E34" s="75">
        <v>7423</v>
      </c>
      <c r="F34" s="75">
        <v>60373</v>
      </c>
    </row>
    <row r="35" spans="1:6">
      <c r="A35" s="71">
        <v>2010</v>
      </c>
      <c r="B35" s="75">
        <v>421</v>
      </c>
      <c r="C35" s="75">
        <v>418</v>
      </c>
      <c r="D35" s="82">
        <f t="shared" si="1"/>
        <v>21.665071770334929</v>
      </c>
      <c r="E35" s="75">
        <v>9056</v>
      </c>
      <c r="F35" s="75">
        <v>110251</v>
      </c>
    </row>
    <row r="36" spans="1:6">
      <c r="A36" s="71">
        <v>2011</v>
      </c>
      <c r="B36" s="75">
        <v>178</v>
      </c>
      <c r="C36" s="75">
        <v>173</v>
      </c>
      <c r="D36" s="82">
        <f t="shared" si="1"/>
        <v>16.132947976878611</v>
      </c>
      <c r="E36" s="75">
        <v>2791</v>
      </c>
      <c r="F36" s="75">
        <v>38570</v>
      </c>
    </row>
    <row r="37" spans="1:6">
      <c r="A37" s="71">
        <v>2012</v>
      </c>
      <c r="B37" s="75">
        <v>349</v>
      </c>
      <c r="C37" s="75">
        <v>336</v>
      </c>
      <c r="D37" s="82">
        <f t="shared" ref="D37:D42" si="2">+E37/C37</f>
        <v>17.25595238095238</v>
      </c>
      <c r="E37" s="75">
        <v>5798</v>
      </c>
      <c r="F37" s="75">
        <v>79919</v>
      </c>
    </row>
    <row r="38" spans="1:6">
      <c r="A38" s="71">
        <v>2013</v>
      </c>
      <c r="B38" s="75">
        <v>181</v>
      </c>
      <c r="C38" s="75">
        <v>172</v>
      </c>
      <c r="D38" s="82">
        <f t="shared" si="2"/>
        <v>19.511627906976745</v>
      </c>
      <c r="E38" s="75">
        <v>3356</v>
      </c>
      <c r="F38" s="75">
        <v>46325</v>
      </c>
    </row>
    <row r="39" spans="1:6">
      <c r="A39" s="71">
        <v>2014</v>
      </c>
      <c r="B39" s="75">
        <v>311</v>
      </c>
      <c r="C39" s="75">
        <v>302</v>
      </c>
      <c r="D39" s="82">
        <f t="shared" si="2"/>
        <v>21.086092715231789</v>
      </c>
      <c r="E39" s="75">
        <v>6368</v>
      </c>
      <c r="F39" s="240">
        <v>75077</v>
      </c>
    </row>
    <row r="40" spans="1:6">
      <c r="A40" s="71">
        <v>2015</v>
      </c>
      <c r="B40" s="75">
        <v>463</v>
      </c>
      <c r="C40" s="75">
        <v>456</v>
      </c>
      <c r="D40" s="82">
        <f t="shared" si="2"/>
        <v>22.138157894736842</v>
      </c>
      <c r="E40" s="75">
        <v>10095</v>
      </c>
      <c r="F40" s="240">
        <v>90561</v>
      </c>
    </row>
    <row r="41" spans="1:6">
      <c r="A41" s="71">
        <v>2016</v>
      </c>
      <c r="B41" s="75">
        <v>374</v>
      </c>
      <c r="C41" s="75">
        <v>366</v>
      </c>
      <c r="D41" s="82">
        <f t="shared" si="2"/>
        <v>23.650273224043715</v>
      </c>
      <c r="E41" s="75">
        <v>8656</v>
      </c>
      <c r="F41" s="240">
        <v>69352</v>
      </c>
    </row>
    <row r="42" spans="1:6">
      <c r="A42" s="130" t="s">
        <v>665</v>
      </c>
      <c r="B42" s="288">
        <v>303</v>
      </c>
      <c r="C42" s="288">
        <v>272</v>
      </c>
      <c r="D42" s="137">
        <f t="shared" si="2"/>
        <v>14.125</v>
      </c>
      <c r="E42" s="288">
        <v>3842</v>
      </c>
      <c r="F42" s="288">
        <v>35419</v>
      </c>
    </row>
    <row r="43" spans="1:6">
      <c r="A43" s="149" t="s">
        <v>447</v>
      </c>
    </row>
    <row r="44" spans="1:6">
      <c r="A44" s="117" t="s">
        <v>616</v>
      </c>
    </row>
    <row r="45" spans="1:6" ht="10.25" customHeight="1">
      <c r="F45" s="305" t="s">
        <v>679</v>
      </c>
    </row>
  </sheetData>
  <phoneticPr fontId="0" type="noConversion"/>
  <pageMargins left="0.7" right="0.7" top="0.75" bottom="0.75" header="0.3" footer="0.3"/>
  <pageSetup scale="95" firstPageNumber="55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N50"/>
  <sheetViews>
    <sheetView zoomScaleNormal="100" zoomScaleSheetLayoutView="100" workbookViewId="0"/>
  </sheetViews>
  <sheetFormatPr baseColWidth="10" defaultColWidth="8.75" defaultRowHeight="11"/>
  <cols>
    <col min="1" max="5" width="10.75" customWidth="1"/>
    <col min="6" max="6" width="2.75" customWidth="1"/>
    <col min="7" max="11" width="10.75" customWidth="1"/>
    <col min="12" max="12" width="0.75" customWidth="1"/>
    <col min="13" max="13" width="12.75" customWidth="1"/>
  </cols>
  <sheetData>
    <row r="1" spans="1:14">
      <c r="A1" s="150" t="s">
        <v>713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163</v>
      </c>
      <c r="B2" s="3"/>
      <c r="C2" s="332" t="s">
        <v>119</v>
      </c>
      <c r="D2" s="306"/>
      <c r="E2" s="306"/>
      <c r="G2" s="3"/>
      <c r="H2" s="306"/>
      <c r="I2" s="306" t="s">
        <v>117</v>
      </c>
      <c r="J2" s="306"/>
      <c r="K2" s="306"/>
      <c r="L2" s="41"/>
      <c r="M2" s="335" t="s">
        <v>118</v>
      </c>
      <c r="N2" s="316"/>
    </row>
    <row r="3" spans="1:14">
      <c r="A3" t="s">
        <v>100</v>
      </c>
      <c r="B3" s="187" t="s">
        <v>141</v>
      </c>
      <c r="C3" s="7"/>
      <c r="D3" s="7"/>
      <c r="E3" s="7"/>
      <c r="F3" s="7"/>
      <c r="G3" s="7"/>
      <c r="H3" s="7"/>
      <c r="I3" s="7"/>
      <c r="J3" s="7"/>
      <c r="K3" s="7"/>
      <c r="L3" s="41"/>
      <c r="M3" s="7" t="s">
        <v>647</v>
      </c>
    </row>
    <row r="4" spans="1:14">
      <c r="A4" t="s">
        <v>164</v>
      </c>
      <c r="B4" s="188" t="s">
        <v>110</v>
      </c>
      <c r="C4" s="187" t="s">
        <v>66</v>
      </c>
      <c r="D4" s="188" t="s">
        <v>88</v>
      </c>
      <c r="E4" s="188" t="s">
        <v>3</v>
      </c>
      <c r="F4" s="7"/>
      <c r="G4" s="7" t="s">
        <v>111</v>
      </c>
      <c r="H4" s="188" t="s">
        <v>90</v>
      </c>
      <c r="I4" s="189" t="s">
        <v>168</v>
      </c>
      <c r="J4" s="187" t="s">
        <v>166</v>
      </c>
      <c r="K4" s="7" t="s">
        <v>3</v>
      </c>
      <c r="L4" s="41"/>
      <c r="M4" s="7" t="s">
        <v>114</v>
      </c>
      <c r="N4" s="7" t="s">
        <v>535</v>
      </c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1"/>
      <c r="M5" s="9" t="s">
        <v>169</v>
      </c>
      <c r="N5" s="9"/>
    </row>
    <row r="6" spans="1:14">
      <c r="B6" s="312"/>
      <c r="C6" s="312"/>
      <c r="D6" s="312"/>
      <c r="E6" s="312"/>
      <c r="F6" s="312"/>
      <c r="H6" s="337" t="s">
        <v>167</v>
      </c>
      <c r="I6" s="312"/>
      <c r="J6" s="312"/>
      <c r="K6" s="312"/>
      <c r="L6" s="41"/>
      <c r="M6" s="7" t="s">
        <v>520</v>
      </c>
      <c r="N6" s="7" t="s">
        <v>520</v>
      </c>
    </row>
    <row r="7" spans="1:14">
      <c r="B7" s="38"/>
      <c r="C7" s="38"/>
      <c r="D7" s="38"/>
      <c r="E7" s="38"/>
      <c r="F7" s="38"/>
      <c r="G7" s="38"/>
      <c r="H7" s="38"/>
      <c r="I7" s="38"/>
      <c r="J7" s="38"/>
      <c r="K7" s="38"/>
      <c r="M7" s="7"/>
      <c r="N7" s="7"/>
    </row>
    <row r="8" spans="1:14">
      <c r="A8" s="10" t="s">
        <v>276</v>
      </c>
      <c r="B8" s="17">
        <v>5018</v>
      </c>
      <c r="C8" s="77">
        <f>+'tab27'!E5</f>
        <v>7728</v>
      </c>
      <c r="D8" s="17">
        <v>2510</v>
      </c>
      <c r="E8" s="17">
        <f t="shared" ref="E8:E26" si="0">SUM(B8:D8)</f>
        <v>15256</v>
      </c>
      <c r="F8" s="17"/>
      <c r="G8" s="17">
        <v>11927</v>
      </c>
      <c r="H8" s="17">
        <v>76</v>
      </c>
      <c r="I8" s="17">
        <v>547</v>
      </c>
      <c r="J8" s="77">
        <f t="shared" ref="J8:J31" si="1">+K8-G8-H8-I8</f>
        <v>-27</v>
      </c>
      <c r="K8" s="17">
        <f>+E8-B9</f>
        <v>12523</v>
      </c>
      <c r="M8" s="35">
        <v>7.2</v>
      </c>
      <c r="N8" s="61">
        <v>4.5</v>
      </c>
    </row>
    <row r="9" spans="1:14">
      <c r="A9" s="10" t="s">
        <v>277</v>
      </c>
      <c r="B9" s="17">
        <v>2733</v>
      </c>
      <c r="C9" s="77">
        <f>+'tab27'!E6</f>
        <v>7289</v>
      </c>
      <c r="D9" s="17">
        <v>3502</v>
      </c>
      <c r="E9" s="17">
        <f t="shared" si="0"/>
        <v>13524</v>
      </c>
      <c r="F9" s="17"/>
      <c r="G9" s="17">
        <v>11231</v>
      </c>
      <c r="H9" s="17">
        <v>11</v>
      </c>
      <c r="I9" s="17">
        <v>691</v>
      </c>
      <c r="J9" s="77">
        <f t="shared" si="1"/>
        <v>-359</v>
      </c>
      <c r="K9" s="17">
        <f t="shared" ref="K9:K21" si="2">+E9-B10</f>
        <v>11574</v>
      </c>
      <c r="M9" s="35">
        <v>6.67</v>
      </c>
      <c r="N9" s="101" t="s">
        <v>268</v>
      </c>
    </row>
    <row r="10" spans="1:14">
      <c r="A10" s="10" t="s">
        <v>278</v>
      </c>
      <c r="B10" s="17">
        <v>1950</v>
      </c>
      <c r="C10" s="77">
        <f>+'tab27'!E7</f>
        <v>10278</v>
      </c>
      <c r="D10" s="17">
        <v>1921</v>
      </c>
      <c r="E10" s="17">
        <f t="shared" si="0"/>
        <v>14149</v>
      </c>
      <c r="F10" s="17"/>
      <c r="G10" s="17">
        <v>8722</v>
      </c>
      <c r="H10" s="17">
        <v>638</v>
      </c>
      <c r="I10" s="17">
        <v>486</v>
      </c>
      <c r="J10" s="77">
        <f t="shared" si="1"/>
        <v>1091</v>
      </c>
      <c r="K10" s="17">
        <f t="shared" si="2"/>
        <v>10937</v>
      </c>
      <c r="M10" s="35">
        <v>5.17</v>
      </c>
      <c r="N10" s="101" t="s">
        <v>268</v>
      </c>
    </row>
    <row r="11" spans="1:14">
      <c r="A11" s="10" t="s">
        <v>279</v>
      </c>
      <c r="B11" s="17">
        <v>3212</v>
      </c>
      <c r="C11" s="77">
        <f>+'tab27'!E8</f>
        <v>6903</v>
      </c>
      <c r="D11" s="17">
        <v>4756</v>
      </c>
      <c r="E11" s="17">
        <f t="shared" si="0"/>
        <v>14871</v>
      </c>
      <c r="F11" s="17"/>
      <c r="G11" s="17">
        <v>12733</v>
      </c>
      <c r="H11" s="17">
        <v>52</v>
      </c>
      <c r="I11" s="17">
        <v>438</v>
      </c>
      <c r="J11" s="77">
        <f t="shared" si="1"/>
        <v>-68</v>
      </c>
      <c r="K11" s="17">
        <f t="shared" si="2"/>
        <v>13155</v>
      </c>
      <c r="M11" s="35">
        <v>6.84</v>
      </c>
      <c r="N11" s="101" t="s">
        <v>268</v>
      </c>
    </row>
    <row r="12" spans="1:14">
      <c r="A12" s="10" t="s">
        <v>280</v>
      </c>
      <c r="B12" s="17">
        <v>1716</v>
      </c>
      <c r="C12" s="77">
        <f>+'tab27'!E9</f>
        <v>7022</v>
      </c>
      <c r="D12" s="17">
        <v>3796</v>
      </c>
      <c r="E12" s="17">
        <f t="shared" si="0"/>
        <v>12534</v>
      </c>
      <c r="F12" s="17"/>
      <c r="G12" s="17">
        <v>9935</v>
      </c>
      <c r="H12" s="17">
        <v>238</v>
      </c>
      <c r="I12" s="17">
        <v>511</v>
      </c>
      <c r="J12" s="77">
        <f t="shared" si="1"/>
        <v>201</v>
      </c>
      <c r="K12" s="17">
        <f t="shared" si="2"/>
        <v>10885</v>
      </c>
      <c r="M12" s="35">
        <v>6.09</v>
      </c>
      <c r="N12" s="101" t="s">
        <v>268</v>
      </c>
    </row>
    <row r="13" spans="1:14">
      <c r="A13" s="10" t="s">
        <v>281</v>
      </c>
      <c r="B13" s="17">
        <v>1649</v>
      </c>
      <c r="C13" s="77">
        <f>+'tab27'!E10</f>
        <v>8293</v>
      </c>
      <c r="D13" s="17">
        <v>2927</v>
      </c>
      <c r="E13" s="17">
        <f t="shared" si="0"/>
        <v>12869</v>
      </c>
      <c r="F13" s="17"/>
      <c r="G13" s="17">
        <v>10313</v>
      </c>
      <c r="H13" s="17">
        <v>250</v>
      </c>
      <c r="I13" s="17">
        <v>517</v>
      </c>
      <c r="J13" s="77">
        <f t="shared" si="1"/>
        <v>160</v>
      </c>
      <c r="K13" s="17">
        <f t="shared" si="2"/>
        <v>11240</v>
      </c>
      <c r="M13" s="35">
        <v>5.05</v>
      </c>
      <c r="N13" s="101" t="s">
        <v>268</v>
      </c>
    </row>
    <row r="14" spans="1:14">
      <c r="A14" s="10" t="s">
        <v>282</v>
      </c>
      <c r="B14" s="17">
        <v>1629</v>
      </c>
      <c r="C14" s="77">
        <f>+'tab27'!E11</f>
        <v>11538</v>
      </c>
      <c r="D14" s="17">
        <v>2224</v>
      </c>
      <c r="E14" s="17">
        <f t="shared" si="0"/>
        <v>15391</v>
      </c>
      <c r="F14" s="17"/>
      <c r="G14" s="17">
        <v>10000</v>
      </c>
      <c r="H14" s="17">
        <v>1448</v>
      </c>
      <c r="I14" s="17">
        <v>362</v>
      </c>
      <c r="J14" s="77">
        <f t="shared" si="1"/>
        <v>280</v>
      </c>
      <c r="K14" s="17">
        <f t="shared" si="2"/>
        <v>12090</v>
      </c>
      <c r="M14" s="35">
        <v>3.47</v>
      </c>
      <c r="N14" s="101" t="s">
        <v>268</v>
      </c>
    </row>
    <row r="15" spans="1:14">
      <c r="A15" s="10" t="s">
        <v>283</v>
      </c>
      <c r="B15" s="17">
        <v>3301</v>
      </c>
      <c r="C15" s="77">
        <f>+'tab27'!E12</f>
        <v>7444</v>
      </c>
      <c r="D15" s="17">
        <v>2925</v>
      </c>
      <c r="E15" s="17">
        <f t="shared" si="0"/>
        <v>13670</v>
      </c>
      <c r="F15" s="17"/>
      <c r="G15" s="17">
        <v>10800</v>
      </c>
      <c r="H15" s="17">
        <v>156</v>
      </c>
      <c r="I15" s="17">
        <v>223</v>
      </c>
      <c r="J15" s="77">
        <f t="shared" si="1"/>
        <v>166</v>
      </c>
      <c r="K15" s="17">
        <f t="shared" si="2"/>
        <v>11345</v>
      </c>
      <c r="M15" s="35">
        <v>3.39</v>
      </c>
      <c r="N15" s="101" t="s">
        <v>268</v>
      </c>
    </row>
    <row r="16" spans="1:14">
      <c r="A16" s="10" t="s">
        <v>284</v>
      </c>
      <c r="B16" s="17">
        <v>2325</v>
      </c>
      <c r="C16" s="77">
        <f>+'tab27'!E13</f>
        <v>1615</v>
      </c>
      <c r="D16" s="17">
        <v>6730</v>
      </c>
      <c r="E16" s="17">
        <f t="shared" si="0"/>
        <v>10670</v>
      </c>
      <c r="F16" s="17"/>
      <c r="G16" s="17">
        <v>8500</v>
      </c>
      <c r="H16" s="17">
        <v>764</v>
      </c>
      <c r="I16" s="17">
        <v>158</v>
      </c>
      <c r="J16" s="77">
        <f t="shared" si="1"/>
        <v>-59</v>
      </c>
      <c r="K16" s="17">
        <f t="shared" si="2"/>
        <v>9363</v>
      </c>
      <c r="M16" s="35">
        <v>7.56</v>
      </c>
      <c r="N16" s="101" t="s">
        <v>268</v>
      </c>
    </row>
    <row r="17" spans="1:14">
      <c r="A17" s="10" t="s">
        <v>9</v>
      </c>
      <c r="B17" s="17">
        <v>1307</v>
      </c>
      <c r="C17" s="77">
        <f>+'tab27'!E14</f>
        <v>1215</v>
      </c>
      <c r="D17" s="17">
        <v>7260</v>
      </c>
      <c r="E17" s="17">
        <f t="shared" si="0"/>
        <v>9782</v>
      </c>
      <c r="F17" s="17"/>
      <c r="G17" s="17">
        <v>8250</v>
      </c>
      <c r="H17" s="17">
        <v>1054</v>
      </c>
      <c r="I17" s="17">
        <v>211</v>
      </c>
      <c r="J17" s="77">
        <f t="shared" si="1"/>
        <v>23</v>
      </c>
      <c r="K17" s="17">
        <f t="shared" si="2"/>
        <v>9538</v>
      </c>
      <c r="M17" s="35">
        <v>7.2</v>
      </c>
      <c r="N17" s="101" t="s">
        <v>268</v>
      </c>
    </row>
    <row r="18" spans="1:14">
      <c r="A18" s="10" t="s">
        <v>10</v>
      </c>
      <c r="B18" s="17">
        <v>244</v>
      </c>
      <c r="C18" s="77">
        <f>+'tab27'!E15</f>
        <v>3812</v>
      </c>
      <c r="D18" s="17">
        <v>6715</v>
      </c>
      <c r="E18" s="17">
        <f t="shared" si="0"/>
        <v>10771</v>
      </c>
      <c r="F18" s="17"/>
      <c r="G18" s="17">
        <v>8800</v>
      </c>
      <c r="H18" s="17">
        <v>549</v>
      </c>
      <c r="I18" s="17">
        <v>288</v>
      </c>
      <c r="J18" s="77">
        <f t="shared" si="1"/>
        <v>163</v>
      </c>
      <c r="K18" s="17">
        <f t="shared" si="2"/>
        <v>9800</v>
      </c>
      <c r="M18" s="35">
        <v>5.27</v>
      </c>
      <c r="N18" s="101" t="s">
        <v>268</v>
      </c>
    </row>
    <row r="19" spans="1:14">
      <c r="A19" s="10" t="s">
        <v>11</v>
      </c>
      <c r="B19" s="17">
        <v>971</v>
      </c>
      <c r="C19" s="77">
        <f>+'tab27'!E16</f>
        <v>6200</v>
      </c>
      <c r="D19" s="17">
        <v>4371</v>
      </c>
      <c r="E19" s="17">
        <f t="shared" si="0"/>
        <v>11542</v>
      </c>
      <c r="F19" s="17"/>
      <c r="G19" s="17">
        <v>9050</v>
      </c>
      <c r="H19" s="17">
        <v>541</v>
      </c>
      <c r="I19" s="17">
        <v>139</v>
      </c>
      <c r="J19" s="77">
        <f t="shared" si="1"/>
        <v>256</v>
      </c>
      <c r="K19" s="17">
        <f t="shared" si="2"/>
        <v>9986</v>
      </c>
      <c r="M19" s="35">
        <v>3.52</v>
      </c>
      <c r="N19" s="61">
        <v>4.984</v>
      </c>
    </row>
    <row r="20" spans="1:14">
      <c r="A20" s="10" t="s">
        <v>12</v>
      </c>
      <c r="B20" s="17">
        <v>1556</v>
      </c>
      <c r="C20" s="77">
        <f>+'tab27'!E17</f>
        <v>3288</v>
      </c>
      <c r="D20" s="17">
        <v>6035</v>
      </c>
      <c r="E20" s="17">
        <f t="shared" si="0"/>
        <v>10879</v>
      </c>
      <c r="F20" s="17"/>
      <c r="G20" s="17">
        <v>8600</v>
      </c>
      <c r="H20" s="17">
        <v>230</v>
      </c>
      <c r="I20" s="17">
        <v>167</v>
      </c>
      <c r="J20" s="77">
        <f t="shared" si="1"/>
        <v>337</v>
      </c>
      <c r="K20" s="17">
        <f t="shared" si="2"/>
        <v>9334</v>
      </c>
      <c r="M20" s="35">
        <v>4.12</v>
      </c>
      <c r="N20" s="61">
        <v>4.984</v>
      </c>
    </row>
    <row r="21" spans="1:14">
      <c r="A21" s="10" t="s">
        <v>13</v>
      </c>
      <c r="B21" s="17">
        <v>1545</v>
      </c>
      <c r="C21" s="77">
        <f>+'tab27'!E18</f>
        <v>3482</v>
      </c>
      <c r="D21" s="17">
        <v>5118.6616785714286</v>
      </c>
      <c r="E21" s="17">
        <f t="shared" si="0"/>
        <v>10145.661678571429</v>
      </c>
      <c r="F21" s="17"/>
      <c r="G21" s="17">
        <v>8650</v>
      </c>
      <c r="H21" s="17">
        <v>126</v>
      </c>
      <c r="I21" s="17">
        <v>144</v>
      </c>
      <c r="J21" s="77">
        <f t="shared" si="1"/>
        <v>70.661678571428638</v>
      </c>
      <c r="K21" s="17">
        <f t="shared" si="2"/>
        <v>8990.6616785714286</v>
      </c>
      <c r="M21" s="35">
        <v>4.25</v>
      </c>
      <c r="N21" s="61">
        <v>4.984</v>
      </c>
    </row>
    <row r="22" spans="1:14">
      <c r="A22" s="10" t="s">
        <v>14</v>
      </c>
      <c r="B22" s="17">
        <v>1155</v>
      </c>
      <c r="C22" s="77">
        <f>+'tab27'!E19</f>
        <v>2922</v>
      </c>
      <c r="D22" s="17">
        <v>6005</v>
      </c>
      <c r="E22" s="17">
        <f t="shared" si="0"/>
        <v>10082</v>
      </c>
      <c r="F22" s="17"/>
      <c r="G22" s="17">
        <v>8550</v>
      </c>
      <c r="H22" s="17">
        <v>72</v>
      </c>
      <c r="I22" s="17">
        <v>134</v>
      </c>
      <c r="J22" s="77">
        <f t="shared" si="1"/>
        <v>156</v>
      </c>
      <c r="K22" s="17">
        <f t="shared" ref="K22:K31" si="3">+E22-B23</f>
        <v>8912</v>
      </c>
      <c r="M22" s="35">
        <v>4.63</v>
      </c>
      <c r="N22" s="61">
        <v>4.871999999999999</v>
      </c>
    </row>
    <row r="23" spans="1:14">
      <c r="A23" s="10" t="s">
        <v>15</v>
      </c>
      <c r="B23" s="17">
        <v>1170</v>
      </c>
      <c r="C23" s="77">
        <f>+'tab27'!E20</f>
        <v>2212</v>
      </c>
      <c r="D23" s="17">
        <v>7247.98</v>
      </c>
      <c r="E23" s="17">
        <f t="shared" si="0"/>
        <v>10629.98</v>
      </c>
      <c r="F23" s="17"/>
      <c r="G23" s="17">
        <v>9000</v>
      </c>
      <c r="H23" s="17">
        <v>119</v>
      </c>
      <c r="I23" s="17">
        <v>78</v>
      </c>
      <c r="J23" s="77">
        <f t="shared" si="1"/>
        <v>202.97999999999956</v>
      </c>
      <c r="K23" s="17">
        <f t="shared" si="3"/>
        <v>9399.98</v>
      </c>
      <c r="M23" s="35">
        <v>5.25</v>
      </c>
      <c r="N23" s="61">
        <v>4.871999999999999</v>
      </c>
    </row>
    <row r="24" spans="1:14">
      <c r="A24" s="10" t="s">
        <v>16</v>
      </c>
      <c r="B24" s="17">
        <v>1230</v>
      </c>
      <c r="C24" s="77">
        <f>+'tab27'!E21</f>
        <v>1602</v>
      </c>
      <c r="D24" s="17">
        <v>8390.3780000000006</v>
      </c>
      <c r="E24" s="17">
        <f t="shared" si="0"/>
        <v>11222.378000000001</v>
      </c>
      <c r="F24" s="17"/>
      <c r="G24" s="17">
        <v>10000</v>
      </c>
      <c r="H24" s="17">
        <v>144</v>
      </c>
      <c r="I24" s="17">
        <v>122</v>
      </c>
      <c r="J24" s="77">
        <f t="shared" si="1"/>
        <v>503.37800000000061</v>
      </c>
      <c r="K24" s="17">
        <f t="shared" si="3"/>
        <v>10769.378000000001</v>
      </c>
      <c r="M24" s="35">
        <v>6.21</v>
      </c>
      <c r="N24" s="61">
        <v>4.9896000000000003</v>
      </c>
    </row>
    <row r="25" spans="1:14">
      <c r="A25" s="10" t="s">
        <v>17</v>
      </c>
      <c r="B25" s="17">
        <v>453</v>
      </c>
      <c r="C25" s="77">
        <f>+'tab27'!E22</f>
        <v>2420</v>
      </c>
      <c r="D25" s="17">
        <v>9636.0769999999993</v>
      </c>
      <c r="E25" s="17">
        <f t="shared" si="0"/>
        <v>12509.076999999999</v>
      </c>
      <c r="F25" s="17"/>
      <c r="G25" s="17">
        <v>10500</v>
      </c>
      <c r="H25" s="17">
        <v>174</v>
      </c>
      <c r="I25" s="17">
        <v>272</v>
      </c>
      <c r="J25" s="77">
        <f t="shared" si="1"/>
        <v>382.07699999999932</v>
      </c>
      <c r="K25" s="17">
        <f t="shared" si="3"/>
        <v>11328.076999999999</v>
      </c>
      <c r="M25" s="35">
        <v>5.75</v>
      </c>
      <c r="N25" s="61">
        <v>5.2080000000000011</v>
      </c>
    </row>
    <row r="26" spans="1:14">
      <c r="A26" s="10" t="s">
        <v>18</v>
      </c>
      <c r="B26" s="17">
        <v>1181</v>
      </c>
      <c r="C26" s="77">
        <f>+'tab27'!E23</f>
        <v>6708</v>
      </c>
      <c r="D26" s="17">
        <v>5991.89</v>
      </c>
      <c r="E26" s="17">
        <f t="shared" si="0"/>
        <v>13880.89</v>
      </c>
      <c r="F26" s="17"/>
      <c r="G26" s="17">
        <v>10600</v>
      </c>
      <c r="H26" s="17">
        <v>476</v>
      </c>
      <c r="I26" s="17">
        <v>313</v>
      </c>
      <c r="J26" s="77">
        <f t="shared" si="1"/>
        <v>333.88999999999942</v>
      </c>
      <c r="K26" s="17">
        <f t="shared" si="3"/>
        <v>11722.89</v>
      </c>
      <c r="M26" s="35">
        <v>5.25</v>
      </c>
      <c r="N26" s="61">
        <v>5.2080000000000011</v>
      </c>
    </row>
    <row r="27" spans="1:14">
      <c r="A27" s="10" t="s">
        <v>19</v>
      </c>
      <c r="B27" s="17">
        <v>2158</v>
      </c>
      <c r="C27" s="77">
        <f>+'tab27'!E24</f>
        <v>7864</v>
      </c>
      <c r="D27" s="17">
        <v>6629.03</v>
      </c>
      <c r="E27" s="17">
        <f>SUM(B27:D27)</f>
        <v>16651.03</v>
      </c>
      <c r="F27" s="17"/>
      <c r="G27" s="17">
        <v>11500</v>
      </c>
      <c r="H27" s="17">
        <v>200.77693332075003</v>
      </c>
      <c r="I27" s="17">
        <v>434</v>
      </c>
      <c r="J27" s="77">
        <f t="shared" si="1"/>
        <v>2749.2530666792486</v>
      </c>
      <c r="K27" s="17">
        <f t="shared" si="3"/>
        <v>14884.029999999999</v>
      </c>
      <c r="M27" s="35">
        <v>3.79</v>
      </c>
      <c r="N27" s="61">
        <v>5.2080000000000011</v>
      </c>
    </row>
    <row r="28" spans="1:14">
      <c r="A28" s="71" t="s">
        <v>392</v>
      </c>
      <c r="B28" s="77">
        <v>1767</v>
      </c>
      <c r="C28" s="77">
        <f>+'tab27'!E25</f>
        <v>10730</v>
      </c>
      <c r="D28" s="77">
        <v>2848.6403910427503</v>
      </c>
      <c r="E28" s="77">
        <f>SUM(B28:D28)</f>
        <v>15345.640391042751</v>
      </c>
      <c r="F28" s="77"/>
      <c r="G28" s="77">
        <v>12000</v>
      </c>
      <c r="H28" s="77">
        <v>1016.7494627070001</v>
      </c>
      <c r="I28" s="77">
        <v>474</v>
      </c>
      <c r="J28" s="77">
        <f t="shared" si="1"/>
        <v>546.89092833575057</v>
      </c>
      <c r="K28" s="17">
        <f t="shared" si="3"/>
        <v>14037.640391042751</v>
      </c>
      <c r="L28" s="41"/>
      <c r="M28" s="83">
        <v>3.3</v>
      </c>
      <c r="N28" s="61">
        <v>5.2080000000000011</v>
      </c>
    </row>
    <row r="29" spans="1:14">
      <c r="A29" s="71" t="s">
        <v>396</v>
      </c>
      <c r="B29" s="77">
        <v>1308</v>
      </c>
      <c r="C29" s="77">
        <f>+'tab27'!E26</f>
        <v>11455</v>
      </c>
      <c r="D29" s="77">
        <v>1904.1090303419996</v>
      </c>
      <c r="E29" s="77">
        <f>SUM(B29:D29)</f>
        <v>14667.109030341999</v>
      </c>
      <c r="F29" s="77"/>
      <c r="G29" s="77">
        <v>10000</v>
      </c>
      <c r="H29" s="77">
        <v>2385.9618440894997</v>
      </c>
      <c r="I29" s="77">
        <v>635</v>
      </c>
      <c r="J29" s="77">
        <f t="shared" si="1"/>
        <v>753.14718625249907</v>
      </c>
      <c r="K29" s="17">
        <f t="shared" si="3"/>
        <v>13774.109030341999</v>
      </c>
      <c r="L29" s="41"/>
      <c r="M29" s="83">
        <v>4.29</v>
      </c>
      <c r="N29" s="61">
        <v>5.2080000000000011</v>
      </c>
    </row>
    <row r="30" spans="1:14">
      <c r="A30" s="71" t="s">
        <v>409</v>
      </c>
      <c r="B30" s="77">
        <v>893</v>
      </c>
      <c r="C30" s="77">
        <f>+'tab27'!E27</f>
        <v>11863</v>
      </c>
      <c r="D30" s="77">
        <v>2900.8668232800005</v>
      </c>
      <c r="E30" s="77">
        <f>SUM(B30:D30)</f>
        <v>15656.866823280001</v>
      </c>
      <c r="G30" s="77">
        <v>10500</v>
      </c>
      <c r="H30" s="77">
        <v>3180.7399643010003</v>
      </c>
      <c r="I30" s="77">
        <v>482</v>
      </c>
      <c r="J30" s="77">
        <f t="shared" si="1"/>
        <v>416.12685897900064</v>
      </c>
      <c r="K30" s="17">
        <f t="shared" si="3"/>
        <v>14578.866823280001</v>
      </c>
      <c r="L30" s="41"/>
      <c r="M30" s="83">
        <v>5.77</v>
      </c>
      <c r="N30" s="61">
        <v>5.3760000000000003</v>
      </c>
    </row>
    <row r="31" spans="1:14">
      <c r="A31" s="71" t="s">
        <v>420</v>
      </c>
      <c r="B31" s="77">
        <v>1078</v>
      </c>
      <c r="C31" s="77">
        <f>+'tab27'!E28</f>
        <v>10516</v>
      </c>
      <c r="D31" s="77">
        <v>4580.0208701954998</v>
      </c>
      <c r="E31" s="77">
        <f t="shared" ref="E31:E36" si="4">B31+C31+D31</f>
        <v>16174.0208701955</v>
      </c>
      <c r="G31" s="77">
        <v>11260</v>
      </c>
      <c r="H31" s="77">
        <v>2515.6389305452503</v>
      </c>
      <c r="I31" s="77">
        <v>424</v>
      </c>
      <c r="J31" s="77">
        <f t="shared" si="1"/>
        <v>686.38193965024948</v>
      </c>
      <c r="K31" s="17">
        <f t="shared" si="3"/>
        <v>14886.0208701955</v>
      </c>
      <c r="L31" s="41"/>
      <c r="M31" s="83">
        <v>5.88</v>
      </c>
      <c r="N31" s="61">
        <v>5.3760000000000003</v>
      </c>
    </row>
    <row r="32" spans="1:14">
      <c r="A32" s="71" t="s">
        <v>422</v>
      </c>
      <c r="B32" s="77">
        <v>1288</v>
      </c>
      <c r="C32" s="77">
        <f>+'tab27'!E29</f>
        <v>10368</v>
      </c>
      <c r="D32" s="77">
        <v>5413.1293752322508</v>
      </c>
      <c r="E32" s="77">
        <f t="shared" si="4"/>
        <v>17069.129375232253</v>
      </c>
      <c r="G32" s="77">
        <v>13600</v>
      </c>
      <c r="H32" s="77">
        <v>1509.5931438577497</v>
      </c>
      <c r="I32" s="77">
        <v>796</v>
      </c>
      <c r="J32" s="77">
        <f t="shared" ref="J32:J37" si="5">+K32-G32-H32-I32</f>
        <v>300.5362313745029</v>
      </c>
      <c r="K32" s="17">
        <f t="shared" ref="K32:K44" si="6">+E32-B33</f>
        <v>16206.129375232253</v>
      </c>
      <c r="L32" s="41"/>
      <c r="M32" s="83">
        <v>8.07</v>
      </c>
      <c r="N32" s="61">
        <v>5.3760000000000003</v>
      </c>
    </row>
    <row r="33" spans="1:14">
      <c r="A33" s="71" t="s">
        <v>448</v>
      </c>
      <c r="B33" s="77">
        <v>863</v>
      </c>
      <c r="C33" s="77">
        <f>+'tab27'!E30</f>
        <v>19695</v>
      </c>
      <c r="D33" s="77">
        <v>4255.8753369037504</v>
      </c>
      <c r="E33" s="77">
        <f t="shared" si="4"/>
        <v>24813.875336903751</v>
      </c>
      <c r="G33" s="77">
        <v>16400</v>
      </c>
      <c r="H33" s="77">
        <v>3779.5423454887505</v>
      </c>
      <c r="I33" s="77">
        <v>659</v>
      </c>
      <c r="J33" s="77">
        <f t="shared" si="5"/>
        <v>440.33299141500083</v>
      </c>
      <c r="K33" s="17">
        <f t="shared" si="6"/>
        <v>21278.875336903751</v>
      </c>
      <c r="L33" s="41"/>
      <c r="M33" s="83">
        <v>5.94</v>
      </c>
      <c r="N33" s="61">
        <v>5.3760000000000003</v>
      </c>
    </row>
    <row r="34" spans="1:14">
      <c r="A34" s="71" t="s">
        <v>463</v>
      </c>
      <c r="B34" s="77">
        <v>3535</v>
      </c>
      <c r="C34" s="77">
        <f>+'tab27'!E31</f>
        <v>11019</v>
      </c>
      <c r="D34" s="77">
        <v>5463.86402637225</v>
      </c>
      <c r="E34" s="77">
        <f t="shared" si="4"/>
        <v>20017.864026372248</v>
      </c>
      <c r="G34" s="77">
        <v>14900</v>
      </c>
      <c r="H34" s="77">
        <v>1787.8624617420003</v>
      </c>
      <c r="I34" s="77">
        <v>287</v>
      </c>
      <c r="J34" s="77">
        <f t="shared" si="5"/>
        <v>599.00156463024791</v>
      </c>
      <c r="K34" s="17">
        <f t="shared" si="6"/>
        <v>17573.864026372248</v>
      </c>
      <c r="L34" s="41"/>
      <c r="M34" s="83">
        <v>5.8</v>
      </c>
      <c r="N34" s="61">
        <v>5.3760000000000003</v>
      </c>
    </row>
    <row r="35" spans="1:14">
      <c r="A35" s="71" t="s">
        <v>470</v>
      </c>
      <c r="B35" s="77">
        <v>2444</v>
      </c>
      <c r="C35" s="77">
        <f>+'tab27'!E32</f>
        <v>5896</v>
      </c>
      <c r="D35" s="77">
        <v>8019.384</v>
      </c>
      <c r="E35" s="77">
        <f t="shared" si="4"/>
        <v>16359.384</v>
      </c>
      <c r="G35" s="77">
        <v>11700</v>
      </c>
      <c r="H35" s="77">
        <v>2220.5250801652501</v>
      </c>
      <c r="I35" s="77">
        <v>287</v>
      </c>
      <c r="J35" s="77">
        <f t="shared" si="5"/>
        <v>639.85891983474994</v>
      </c>
      <c r="K35" s="17">
        <f t="shared" si="6"/>
        <v>14847.384</v>
      </c>
      <c r="L35" s="41"/>
      <c r="M35" s="83">
        <v>13</v>
      </c>
      <c r="N35" s="61">
        <v>5.3760000000000003</v>
      </c>
    </row>
    <row r="36" spans="1:14">
      <c r="A36" s="71" t="s">
        <v>477</v>
      </c>
      <c r="B36" s="77">
        <v>1512</v>
      </c>
      <c r="C36" s="77">
        <f>+'tab27'!E33</f>
        <v>5716</v>
      </c>
      <c r="D36" s="77">
        <v>4794.1263182362518</v>
      </c>
      <c r="E36" s="77">
        <f t="shared" si="4"/>
        <v>12022.126318236253</v>
      </c>
      <c r="G36" s="77">
        <v>8150</v>
      </c>
      <c r="H36" s="77">
        <v>432.30354061499997</v>
      </c>
      <c r="I36" s="77">
        <v>257</v>
      </c>
      <c r="J36" s="77">
        <f t="shared" si="5"/>
        <v>630.82277762125273</v>
      </c>
      <c r="K36" s="17">
        <f t="shared" si="6"/>
        <v>9470.1263182362527</v>
      </c>
      <c r="L36" s="41"/>
      <c r="M36" s="83">
        <v>12.7</v>
      </c>
      <c r="N36" s="61">
        <v>5.2080000000000011</v>
      </c>
    </row>
    <row r="37" spans="1:14">
      <c r="A37" s="127" t="s">
        <v>483</v>
      </c>
      <c r="B37" s="77">
        <v>2552</v>
      </c>
      <c r="C37" s="77">
        <f>+'tab27'!E34</f>
        <v>7423</v>
      </c>
      <c r="D37" s="77">
        <v>6283.0003458014999</v>
      </c>
      <c r="E37" s="77">
        <f t="shared" ref="E37:E42" si="7">B37+C37+D37</f>
        <v>16258.0003458015</v>
      </c>
      <c r="G37" s="77">
        <v>12000</v>
      </c>
      <c r="H37" s="77">
        <v>1751.6518209697499</v>
      </c>
      <c r="I37" s="77">
        <v>341</v>
      </c>
      <c r="J37" s="77">
        <f t="shared" si="5"/>
        <v>608.34852483174996</v>
      </c>
      <c r="K37" s="17">
        <f t="shared" si="6"/>
        <v>14701.0003458015</v>
      </c>
      <c r="L37" s="41"/>
      <c r="M37" s="83">
        <v>8.15</v>
      </c>
      <c r="N37" s="61">
        <v>5.2080000000000011</v>
      </c>
    </row>
    <row r="38" spans="1:14">
      <c r="A38" s="127" t="s">
        <v>487</v>
      </c>
      <c r="B38" s="77">
        <v>1557</v>
      </c>
      <c r="C38" s="77">
        <f>+'tab27'!E35</f>
        <v>9056</v>
      </c>
      <c r="D38" s="77">
        <v>6039.7701876742494</v>
      </c>
      <c r="E38" s="77">
        <f t="shared" si="7"/>
        <v>16652.77018767425</v>
      </c>
      <c r="G38" s="77">
        <v>11635</v>
      </c>
      <c r="H38" s="77">
        <v>2130.4855619077498</v>
      </c>
      <c r="I38" s="77">
        <v>144</v>
      </c>
      <c r="J38" s="77">
        <f t="shared" ref="J38:J44" si="8">+K38-G38-H38-I38</f>
        <v>573.28462576650054</v>
      </c>
      <c r="K38" s="17">
        <f t="shared" si="6"/>
        <v>14482.77018767425</v>
      </c>
      <c r="L38" s="41"/>
      <c r="M38" s="83">
        <v>12.2</v>
      </c>
      <c r="N38" s="61">
        <v>5.6503999999999994</v>
      </c>
    </row>
    <row r="39" spans="1:14">
      <c r="A39" s="127" t="s">
        <v>493</v>
      </c>
      <c r="B39" s="77">
        <v>2170</v>
      </c>
      <c r="C39" s="77">
        <f>+'tab27'!E36</f>
        <v>2791</v>
      </c>
      <c r="D39" s="77">
        <v>8285.7205434735006</v>
      </c>
      <c r="E39" s="77">
        <f t="shared" si="7"/>
        <v>13246.720543473501</v>
      </c>
      <c r="G39" s="77">
        <v>10500</v>
      </c>
      <c r="H39" s="77">
        <v>654.03481552200003</v>
      </c>
      <c r="I39" s="77">
        <v>279</v>
      </c>
      <c r="J39" s="77">
        <f t="shared" si="8"/>
        <v>693.68572795150055</v>
      </c>
      <c r="K39" s="17">
        <f t="shared" si="6"/>
        <v>12126.720543473501</v>
      </c>
      <c r="L39" s="41"/>
      <c r="M39" s="83">
        <v>13.9</v>
      </c>
      <c r="N39" s="61">
        <v>5.6503999999999994</v>
      </c>
    </row>
    <row r="40" spans="1:14">
      <c r="A40" s="127" t="s">
        <v>506</v>
      </c>
      <c r="B40" s="77">
        <v>1120</v>
      </c>
      <c r="C40" s="77">
        <f>+'tab27'!E37</f>
        <v>5798</v>
      </c>
      <c r="D40" s="77">
        <v>6927.7528917175496</v>
      </c>
      <c r="E40" s="77">
        <f t="shared" si="7"/>
        <v>13845.75289171755</v>
      </c>
      <c r="G40" s="77">
        <v>11000</v>
      </c>
      <c r="H40" s="77">
        <v>1019.80880878275</v>
      </c>
      <c r="I40" s="77">
        <v>147</v>
      </c>
      <c r="J40" s="77">
        <f t="shared" si="8"/>
        <v>754.94408293479955</v>
      </c>
      <c r="K40" s="17">
        <f t="shared" si="6"/>
        <v>12921.75289171755</v>
      </c>
      <c r="L40" s="41"/>
      <c r="M40" s="83">
        <v>13.8</v>
      </c>
      <c r="N40" s="61">
        <v>5.6503999999999994</v>
      </c>
    </row>
    <row r="41" spans="1:14">
      <c r="A41" s="127" t="s">
        <v>541</v>
      </c>
      <c r="B41" s="77">
        <v>924</v>
      </c>
      <c r="C41" s="77">
        <f>+'tab27'!E38</f>
        <v>3356</v>
      </c>
      <c r="D41" s="77">
        <v>6759</v>
      </c>
      <c r="E41" s="77">
        <f t="shared" si="7"/>
        <v>11039</v>
      </c>
      <c r="G41" s="77">
        <v>8700</v>
      </c>
      <c r="H41" s="77">
        <v>598.69734669675006</v>
      </c>
      <c r="I41" s="77">
        <v>252</v>
      </c>
      <c r="J41" s="77">
        <f t="shared" si="8"/>
        <v>725.30265330324994</v>
      </c>
      <c r="K41" s="17">
        <f t="shared" si="6"/>
        <v>10276</v>
      </c>
      <c r="L41" s="41"/>
      <c r="M41" s="83">
        <v>13.8</v>
      </c>
      <c r="N41" s="61">
        <v>5.6503999999999994</v>
      </c>
    </row>
    <row r="42" spans="1:14">
      <c r="A42" s="127" t="s">
        <v>576</v>
      </c>
      <c r="B42" s="77">
        <v>763</v>
      </c>
      <c r="C42" s="77">
        <f>+'tab27'!E39</f>
        <v>6368</v>
      </c>
      <c r="D42" s="251">
        <v>7464.4880222047505</v>
      </c>
      <c r="E42" s="77">
        <f t="shared" si="7"/>
        <v>14595.48802220475</v>
      </c>
      <c r="G42" s="251">
        <v>11850</v>
      </c>
      <c r="H42" s="251">
        <v>528.45950703375001</v>
      </c>
      <c r="I42" s="251">
        <v>375</v>
      </c>
      <c r="J42" s="77">
        <f t="shared" si="8"/>
        <v>1034.0285151710004</v>
      </c>
      <c r="K42" s="17">
        <f t="shared" si="6"/>
        <v>13787.48802220475</v>
      </c>
      <c r="L42" s="41"/>
      <c r="M42" s="252">
        <v>11.8</v>
      </c>
      <c r="N42" s="61">
        <v>5.6503999999999994</v>
      </c>
    </row>
    <row r="43" spans="1:14">
      <c r="A43" s="127" t="s">
        <v>575</v>
      </c>
      <c r="B43" s="77">
        <v>808</v>
      </c>
      <c r="C43" s="77">
        <f>+'tab27'!E40</f>
        <v>10095</v>
      </c>
      <c r="D43" s="251">
        <v>4480.6695010289995</v>
      </c>
      <c r="E43" s="77">
        <v>15339.497379691</v>
      </c>
      <c r="G43" s="251">
        <v>10700</v>
      </c>
      <c r="H43" s="251">
        <v>824.94789986250009</v>
      </c>
      <c r="I43" s="251">
        <v>303</v>
      </c>
      <c r="J43" s="77">
        <f t="shared" si="8"/>
        <v>597.54947982849978</v>
      </c>
      <c r="K43" s="17">
        <f t="shared" si="6"/>
        <v>12425.497379691</v>
      </c>
      <c r="L43" s="41"/>
      <c r="M43" s="252">
        <v>8.9499999999999993</v>
      </c>
      <c r="N43" s="61">
        <v>5.6503999999999994</v>
      </c>
    </row>
    <row r="44" spans="1:14">
      <c r="A44" s="127" t="s">
        <v>578</v>
      </c>
      <c r="B44" s="77">
        <v>2914</v>
      </c>
      <c r="C44" s="77">
        <f>+'tab27'!E41</f>
        <v>8656</v>
      </c>
      <c r="D44" s="251">
        <v>3091.4159639872501</v>
      </c>
      <c r="E44" s="77">
        <f>B44+C44+D44</f>
        <v>14661.415963987251</v>
      </c>
      <c r="G44" s="251">
        <v>10500</v>
      </c>
      <c r="H44" s="251">
        <v>1190.1882958627502</v>
      </c>
      <c r="I44" s="251">
        <v>245</v>
      </c>
      <c r="J44" s="77">
        <f t="shared" si="8"/>
        <v>556.22766812450027</v>
      </c>
      <c r="K44" s="17">
        <f t="shared" si="6"/>
        <v>12491.415963987251</v>
      </c>
      <c r="L44" s="41"/>
      <c r="M44" s="252">
        <v>8</v>
      </c>
      <c r="N44" s="61">
        <v>5.6503999999999994</v>
      </c>
    </row>
    <row r="45" spans="1:14">
      <c r="A45" s="150" t="s">
        <v>668</v>
      </c>
      <c r="B45" s="18">
        <v>2170</v>
      </c>
      <c r="C45" s="18">
        <f>+'tab27'!E42</f>
        <v>3842</v>
      </c>
      <c r="D45" s="299">
        <v>5125</v>
      </c>
      <c r="E45" s="18">
        <f>B45+C45+D45</f>
        <v>11137</v>
      </c>
      <c r="F45" s="18"/>
      <c r="G45" s="299">
        <v>9000</v>
      </c>
      <c r="H45" s="299">
        <v>550</v>
      </c>
      <c r="I45" s="299">
        <v>247</v>
      </c>
      <c r="J45" s="18">
        <f>+K45-G45-H45-I45</f>
        <v>540</v>
      </c>
      <c r="K45" s="18">
        <f>+E45-800</f>
        <v>10337</v>
      </c>
      <c r="L45" s="1"/>
      <c r="M45" s="354" t="s">
        <v>732</v>
      </c>
      <c r="N45" s="167">
        <v>5.6503999999999994</v>
      </c>
    </row>
    <row r="46" spans="1:14" ht="13.25" customHeight="1">
      <c r="A46" s="117" t="s">
        <v>436</v>
      </c>
      <c r="B46" s="166" t="s">
        <v>536</v>
      </c>
    </row>
    <row r="47" spans="1:14" ht="13.25" customHeight="1">
      <c r="A47" s="117" t="s">
        <v>639</v>
      </c>
    </row>
    <row r="48" spans="1:14">
      <c r="A48" s="168" t="s">
        <v>762</v>
      </c>
    </row>
    <row r="49" spans="1:14" ht="10.25" customHeight="1">
      <c r="A49" s="168" t="s">
        <v>763</v>
      </c>
      <c r="L49" s="305"/>
      <c r="M49" s="305"/>
      <c r="N49" s="305" t="s">
        <v>679</v>
      </c>
    </row>
    <row r="50" spans="1:14" ht="10.25" customHeight="1"/>
  </sheetData>
  <phoneticPr fontId="0" type="noConversion"/>
  <pageMargins left="0.7" right="0.7" top="0.75" bottom="0.75" header="0.3" footer="0.3"/>
  <pageSetup scale="81" firstPageNumber="56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70"/>
  <sheetViews>
    <sheetView zoomScaleNormal="100" zoomScaleSheetLayoutView="90" workbookViewId="0">
      <pane ySplit="4" topLeftCell="A26" activePane="bottomLeft" state="frozen"/>
      <selection pane="bottomLeft"/>
    </sheetView>
  </sheetViews>
  <sheetFormatPr baseColWidth="10" defaultColWidth="8.75" defaultRowHeight="11"/>
  <cols>
    <col min="1" max="7" width="17.75" customWidth="1"/>
    <col min="8" max="8" width="12.25" bestFit="1" customWidth="1"/>
  </cols>
  <sheetData>
    <row r="1" spans="1:7">
      <c r="A1" s="150" t="s">
        <v>687</v>
      </c>
      <c r="B1" s="1"/>
      <c r="C1" s="1"/>
      <c r="D1" s="1"/>
      <c r="E1" s="1"/>
      <c r="F1" s="1"/>
      <c r="G1" s="1"/>
    </row>
    <row r="2" spans="1:7">
      <c r="A2" t="s">
        <v>20</v>
      </c>
      <c r="B2" s="7" t="s">
        <v>62</v>
      </c>
      <c r="C2" s="7" t="s">
        <v>63</v>
      </c>
      <c r="D2" s="7" t="s">
        <v>64</v>
      </c>
      <c r="E2" s="7" t="s">
        <v>66</v>
      </c>
      <c r="F2" s="7" t="s">
        <v>67</v>
      </c>
      <c r="G2" s="7" t="s">
        <v>68</v>
      </c>
    </row>
    <row r="3" spans="1:7">
      <c r="A3" s="1"/>
      <c r="B3" s="9"/>
      <c r="C3" s="9"/>
      <c r="D3" s="9" t="s">
        <v>65</v>
      </c>
      <c r="E3" s="9"/>
      <c r="F3" s="9"/>
      <c r="G3" s="9" t="s">
        <v>69</v>
      </c>
    </row>
    <row r="4" spans="1:7">
      <c r="B4" s="336" t="s">
        <v>21</v>
      </c>
      <c r="C4" s="312"/>
      <c r="D4" s="7" t="s">
        <v>70</v>
      </c>
      <c r="E4" s="7" t="s">
        <v>4</v>
      </c>
      <c r="F4" s="8">
        <v>1000</v>
      </c>
      <c r="G4" s="7" t="s">
        <v>71</v>
      </c>
    </row>
    <row r="5" spans="1:7">
      <c r="B5" s="38"/>
      <c r="C5" s="38"/>
      <c r="D5" s="7"/>
      <c r="E5" s="7"/>
      <c r="F5" s="8"/>
      <c r="G5" s="7"/>
    </row>
    <row r="6" spans="1:7">
      <c r="A6" t="s">
        <v>22</v>
      </c>
      <c r="B6" s="12">
        <v>24440</v>
      </c>
      <c r="C6" s="12">
        <v>23655</v>
      </c>
      <c r="D6" s="72">
        <f t="shared" ref="D6:D15" si="0">+E6/C6</f>
        <v>23.46586345381526</v>
      </c>
      <c r="E6" s="12">
        <v>555085</v>
      </c>
      <c r="F6" s="12">
        <v>1184910</v>
      </c>
      <c r="G6" s="55">
        <v>1.85</v>
      </c>
    </row>
    <row r="7" spans="1:7">
      <c r="A7" t="s">
        <v>23</v>
      </c>
      <c r="B7" s="12">
        <v>27787</v>
      </c>
      <c r="C7" s="12">
        <v>27003</v>
      </c>
      <c r="D7" s="72">
        <f t="shared" si="0"/>
        <v>25.128837536570011</v>
      </c>
      <c r="E7" s="12">
        <v>678554</v>
      </c>
      <c r="F7" s="12">
        <v>1543909</v>
      </c>
      <c r="G7" s="55">
        <v>2.2999999999999998</v>
      </c>
    </row>
    <row r="8" spans="1:7">
      <c r="A8" t="s">
        <v>24</v>
      </c>
      <c r="B8" s="12">
        <v>28418</v>
      </c>
      <c r="C8" s="12">
        <v>27608</v>
      </c>
      <c r="D8" s="72">
        <f t="shared" si="0"/>
        <v>24.238843813387422</v>
      </c>
      <c r="E8" s="12">
        <v>669186</v>
      </c>
      <c r="F8" s="12">
        <v>1564352</v>
      </c>
      <c r="G8" s="55">
        <v>2.25</v>
      </c>
    </row>
    <row r="9" spans="1:7">
      <c r="A9" t="s">
        <v>25</v>
      </c>
      <c r="B9" s="12">
        <v>29462</v>
      </c>
      <c r="C9" s="12">
        <v>28615</v>
      </c>
      <c r="D9" s="72">
        <f t="shared" si="0"/>
        <v>24.433513891315744</v>
      </c>
      <c r="E9" s="12">
        <v>699165</v>
      </c>
      <c r="F9" s="12">
        <v>1755076</v>
      </c>
      <c r="G9" s="55">
        <v>2.25</v>
      </c>
    </row>
    <row r="10" spans="1:7">
      <c r="A10" t="s">
        <v>26</v>
      </c>
      <c r="B10" s="12">
        <v>31721</v>
      </c>
      <c r="C10" s="12">
        <v>30793</v>
      </c>
      <c r="D10" s="72">
        <f t="shared" si="0"/>
        <v>22.762348585717533</v>
      </c>
      <c r="E10" s="12">
        <v>700921</v>
      </c>
      <c r="F10" s="12">
        <v>1836441</v>
      </c>
      <c r="G10" s="55">
        <v>2.25</v>
      </c>
    </row>
    <row r="11" spans="1:7">
      <c r="A11" t="s">
        <v>27</v>
      </c>
      <c r="B11" s="12">
        <v>35227</v>
      </c>
      <c r="C11" s="12">
        <v>34449</v>
      </c>
      <c r="D11" s="72">
        <f t="shared" si="0"/>
        <v>24.54666318325641</v>
      </c>
      <c r="E11" s="12">
        <v>845608</v>
      </c>
      <c r="F11" s="12">
        <v>2151305</v>
      </c>
      <c r="G11" s="55">
        <v>2.25</v>
      </c>
    </row>
    <row r="12" spans="1:7">
      <c r="A12" t="s">
        <v>28</v>
      </c>
      <c r="B12" s="12">
        <v>37294</v>
      </c>
      <c r="C12" s="12">
        <v>36546</v>
      </c>
      <c r="D12" s="72">
        <f t="shared" si="0"/>
        <v>25.40581732610956</v>
      </c>
      <c r="E12" s="12">
        <v>928481</v>
      </c>
      <c r="F12" s="12">
        <v>2553612</v>
      </c>
      <c r="G12" s="55">
        <v>2.5</v>
      </c>
    </row>
    <row r="13" spans="1:7">
      <c r="A13" t="s">
        <v>29</v>
      </c>
      <c r="B13" s="12">
        <v>40819</v>
      </c>
      <c r="C13" s="12">
        <v>39805</v>
      </c>
      <c r="D13" s="72">
        <f t="shared" si="0"/>
        <v>24.530561487250345</v>
      </c>
      <c r="E13" s="12">
        <v>976439</v>
      </c>
      <c r="F13" s="12">
        <v>2433519</v>
      </c>
      <c r="G13" s="55">
        <v>2.5</v>
      </c>
    </row>
    <row r="14" spans="1:7">
      <c r="A14" t="s">
        <v>30</v>
      </c>
      <c r="B14" s="12">
        <v>42265</v>
      </c>
      <c r="C14" s="12">
        <v>41391</v>
      </c>
      <c r="D14" s="72">
        <f t="shared" si="0"/>
        <v>26.74392983982025</v>
      </c>
      <c r="E14" s="12">
        <v>1106958</v>
      </c>
      <c r="F14" s="12">
        <v>2688571</v>
      </c>
      <c r="G14" s="55">
        <v>2.5</v>
      </c>
    </row>
    <row r="15" spans="1:7">
      <c r="A15" t="s">
        <v>31</v>
      </c>
      <c r="B15" s="12">
        <v>42534</v>
      </c>
      <c r="C15" s="12">
        <v>41337</v>
      </c>
      <c r="D15" s="72">
        <f t="shared" si="0"/>
        <v>27.411761859835014</v>
      </c>
      <c r="E15" s="12">
        <v>1133120</v>
      </c>
      <c r="F15" s="12">
        <v>2664204</v>
      </c>
      <c r="G15" s="55">
        <v>2.25</v>
      </c>
    </row>
    <row r="16" spans="1:7">
      <c r="A16" t="s">
        <v>32</v>
      </c>
      <c r="B16" s="12">
        <v>43082</v>
      </c>
      <c r="C16" s="12">
        <v>42249</v>
      </c>
      <c r="D16" s="72">
        <f t="shared" ref="D16:D25" si="1">+E16/C16</f>
        <v>26.677554498331322</v>
      </c>
      <c r="E16" s="12">
        <v>1127100</v>
      </c>
      <c r="F16" s="12">
        <v>3214710</v>
      </c>
      <c r="G16" s="55">
        <v>2.25</v>
      </c>
    </row>
    <row r="17" spans="1:7">
      <c r="A17" t="s">
        <v>33</v>
      </c>
      <c r="B17" s="12">
        <v>43476</v>
      </c>
      <c r="C17" s="12">
        <v>42705</v>
      </c>
      <c r="D17" s="72">
        <f t="shared" si="1"/>
        <v>27.540124107247394</v>
      </c>
      <c r="E17" s="12">
        <v>1176101</v>
      </c>
      <c r="F17" s="12">
        <v>3560022</v>
      </c>
      <c r="G17" s="55">
        <v>2.25</v>
      </c>
    </row>
    <row r="18" spans="1:7">
      <c r="A18" t="s">
        <v>34</v>
      </c>
      <c r="B18" s="12">
        <v>46866</v>
      </c>
      <c r="C18" s="12">
        <v>45683</v>
      </c>
      <c r="D18" s="72">
        <f t="shared" si="1"/>
        <v>27.813584922181118</v>
      </c>
      <c r="E18" s="12">
        <v>1270608</v>
      </c>
      <c r="F18" s="12">
        <v>5550074</v>
      </c>
      <c r="G18" s="55">
        <v>2.25</v>
      </c>
    </row>
    <row r="19" spans="1:7">
      <c r="A19" t="s">
        <v>35</v>
      </c>
      <c r="B19" s="12">
        <v>56549</v>
      </c>
      <c r="C19" s="12">
        <v>55667</v>
      </c>
      <c r="D19" s="72">
        <f t="shared" si="1"/>
        <v>27.800007185585716</v>
      </c>
      <c r="E19" s="12">
        <v>1547543</v>
      </c>
      <c r="F19" s="12">
        <v>8790042</v>
      </c>
      <c r="G19" s="55">
        <v>2.25</v>
      </c>
    </row>
    <row r="20" spans="1:7">
      <c r="A20" t="s">
        <v>36</v>
      </c>
      <c r="B20" s="12">
        <v>52479</v>
      </c>
      <c r="C20" s="12">
        <v>51341</v>
      </c>
      <c r="D20" s="72">
        <f t="shared" si="1"/>
        <v>23.690364426092206</v>
      </c>
      <c r="E20" s="12">
        <v>1216287</v>
      </c>
      <c r="F20" s="12">
        <v>8078943</v>
      </c>
      <c r="G20" s="55">
        <v>2.25</v>
      </c>
    </row>
    <row r="21" spans="1:7">
      <c r="A21" t="s">
        <v>37</v>
      </c>
      <c r="B21" s="12">
        <v>54590</v>
      </c>
      <c r="C21" s="12">
        <v>53617</v>
      </c>
      <c r="D21" s="72">
        <f t="shared" si="1"/>
        <v>28.877855903911072</v>
      </c>
      <c r="E21" s="12">
        <v>1548344</v>
      </c>
      <c r="F21" s="12">
        <v>7622493</v>
      </c>
      <c r="G21" s="55" t="s">
        <v>72</v>
      </c>
    </row>
    <row r="22" spans="1:7">
      <c r="A22" t="s">
        <v>38</v>
      </c>
      <c r="B22" s="12">
        <v>50269</v>
      </c>
      <c r="C22" s="12">
        <v>49401</v>
      </c>
      <c r="D22" s="72">
        <f t="shared" si="1"/>
        <v>26.084654156798447</v>
      </c>
      <c r="E22" s="12">
        <v>1288608</v>
      </c>
      <c r="F22" s="12">
        <v>8775761</v>
      </c>
      <c r="G22" s="55">
        <v>2.5</v>
      </c>
    </row>
    <row r="23" spans="1:7">
      <c r="A23" t="s">
        <v>39</v>
      </c>
      <c r="B23" s="12">
        <v>58978</v>
      </c>
      <c r="C23" s="12">
        <v>57830</v>
      </c>
      <c r="D23" s="72">
        <f t="shared" si="1"/>
        <v>30.559692201279613</v>
      </c>
      <c r="E23" s="12">
        <v>1767267</v>
      </c>
      <c r="F23" s="12">
        <v>10383377</v>
      </c>
      <c r="G23" s="55">
        <v>3.5</v>
      </c>
    </row>
    <row r="24" spans="1:7">
      <c r="A24" t="s">
        <v>40</v>
      </c>
      <c r="B24" s="12">
        <v>64708</v>
      </c>
      <c r="C24" s="12">
        <v>63663</v>
      </c>
      <c r="D24" s="72">
        <f t="shared" si="1"/>
        <v>29.353847603788701</v>
      </c>
      <c r="E24" s="12">
        <v>1868754</v>
      </c>
      <c r="F24" s="12">
        <v>12449679</v>
      </c>
      <c r="G24" s="55">
        <v>4.5</v>
      </c>
    </row>
    <row r="25" spans="1:7">
      <c r="A25" t="s">
        <v>41</v>
      </c>
      <c r="B25" s="12">
        <v>71411</v>
      </c>
      <c r="C25" s="12">
        <v>70343</v>
      </c>
      <c r="D25" s="72">
        <f t="shared" si="1"/>
        <v>32.137739362836385</v>
      </c>
      <c r="E25" s="12">
        <v>2260665</v>
      </c>
      <c r="F25" s="12">
        <v>14203660</v>
      </c>
      <c r="G25" s="55">
        <v>4.5</v>
      </c>
    </row>
    <row r="26" spans="1:7">
      <c r="A26" t="s">
        <v>42</v>
      </c>
      <c r="B26" s="12">
        <v>69930</v>
      </c>
      <c r="C26" s="12">
        <v>67813</v>
      </c>
      <c r="D26" s="72">
        <f t="shared" ref="D26:D35" si="2">+E26/C26</f>
        <v>26.507351097872089</v>
      </c>
      <c r="E26" s="12">
        <v>1797543</v>
      </c>
      <c r="F26" s="12">
        <v>13601112</v>
      </c>
      <c r="G26" s="55">
        <v>5.0199999999999996</v>
      </c>
    </row>
    <row r="27" spans="1:7">
      <c r="A27" t="s">
        <v>43</v>
      </c>
      <c r="B27" s="12">
        <v>67543</v>
      </c>
      <c r="C27" s="12">
        <v>66163</v>
      </c>
      <c r="D27" s="72">
        <f t="shared" si="2"/>
        <v>30.063781872043286</v>
      </c>
      <c r="E27" s="12">
        <v>1989110</v>
      </c>
      <c r="F27" s="12">
        <v>12004638</v>
      </c>
      <c r="G27" s="55">
        <v>5.0199999999999996</v>
      </c>
    </row>
    <row r="28" spans="1:7">
      <c r="A28" t="s">
        <v>44</v>
      </c>
      <c r="B28" s="12">
        <v>70884</v>
      </c>
      <c r="C28" s="12">
        <v>69442</v>
      </c>
      <c r="D28" s="72">
        <f t="shared" si="2"/>
        <v>31.541387056824401</v>
      </c>
      <c r="E28" s="12">
        <v>2190297</v>
      </c>
      <c r="F28" s="12">
        <v>12483481</v>
      </c>
      <c r="G28" s="55">
        <v>5.0199999999999996</v>
      </c>
    </row>
    <row r="29" spans="1:7">
      <c r="A29" t="s">
        <v>45</v>
      </c>
      <c r="B29" s="12">
        <v>63779</v>
      </c>
      <c r="C29" s="12">
        <v>62525</v>
      </c>
      <c r="D29" s="72">
        <f t="shared" si="2"/>
        <v>26.161887245101958</v>
      </c>
      <c r="E29" s="12">
        <v>1635772</v>
      </c>
      <c r="F29" s="12">
        <v>12978513</v>
      </c>
      <c r="G29" s="55">
        <v>5.0199999999999996</v>
      </c>
    </row>
    <row r="30" spans="1:7">
      <c r="A30" t="s">
        <v>46</v>
      </c>
      <c r="B30" s="12">
        <v>67755</v>
      </c>
      <c r="C30" s="12">
        <v>66113</v>
      </c>
      <c r="D30" s="72">
        <f t="shared" si="2"/>
        <v>28.146703371500308</v>
      </c>
      <c r="E30" s="12">
        <v>1860863</v>
      </c>
      <c r="F30" s="12">
        <v>10864686</v>
      </c>
      <c r="G30" s="55">
        <v>5.0199999999999996</v>
      </c>
    </row>
    <row r="31" spans="1:7">
      <c r="A31" t="s">
        <v>47</v>
      </c>
      <c r="B31" s="12">
        <v>63145</v>
      </c>
      <c r="C31" s="12">
        <v>61599</v>
      </c>
      <c r="D31" s="72">
        <f t="shared" si="2"/>
        <v>34.076137599636361</v>
      </c>
      <c r="E31" s="12">
        <v>2099056</v>
      </c>
      <c r="F31" s="12">
        <v>10583535</v>
      </c>
      <c r="G31" s="55">
        <v>5.0199999999999996</v>
      </c>
    </row>
    <row r="32" spans="1:7">
      <c r="A32" t="s">
        <v>48</v>
      </c>
      <c r="B32" s="12">
        <v>60405</v>
      </c>
      <c r="C32" s="12">
        <v>58312</v>
      </c>
      <c r="D32" s="72">
        <f t="shared" si="2"/>
        <v>33.313177390588557</v>
      </c>
      <c r="E32" s="12">
        <v>1942558</v>
      </c>
      <c r="F32" s="12">
        <v>9274487</v>
      </c>
      <c r="G32" s="55">
        <v>4.7699999999999996</v>
      </c>
    </row>
    <row r="33" spans="1:7">
      <c r="A33" t="s">
        <v>49</v>
      </c>
      <c r="B33" s="12">
        <v>58180</v>
      </c>
      <c r="C33" s="12">
        <v>57172</v>
      </c>
      <c r="D33" s="72">
        <f t="shared" si="2"/>
        <v>33.89284964668019</v>
      </c>
      <c r="E33" s="12">
        <v>1937722</v>
      </c>
      <c r="F33" s="12">
        <v>11391000</v>
      </c>
      <c r="G33" s="55">
        <v>4.7699999999999996</v>
      </c>
    </row>
    <row r="34" spans="1:7">
      <c r="A34" t="s">
        <v>50</v>
      </c>
      <c r="B34" s="12">
        <v>58840</v>
      </c>
      <c r="C34" s="12">
        <v>57373</v>
      </c>
      <c r="D34" s="72">
        <f t="shared" si="2"/>
        <v>26.995991145660852</v>
      </c>
      <c r="E34" s="12">
        <v>1548841</v>
      </c>
      <c r="F34" s="12">
        <v>11487742</v>
      </c>
      <c r="G34" s="55">
        <v>4.7699999999999996</v>
      </c>
    </row>
    <row r="35" spans="1:7">
      <c r="A35" t="s">
        <v>51</v>
      </c>
      <c r="B35" s="12">
        <v>60820</v>
      </c>
      <c r="C35" s="12">
        <v>59538</v>
      </c>
      <c r="D35" s="72">
        <f t="shared" si="2"/>
        <v>32.309886123148239</v>
      </c>
      <c r="E35" s="12">
        <v>1923666</v>
      </c>
      <c r="F35" s="12">
        <v>10916145</v>
      </c>
      <c r="G35" s="55">
        <v>4.53</v>
      </c>
    </row>
    <row r="36" spans="1:7">
      <c r="A36" t="s">
        <v>52</v>
      </c>
      <c r="B36" s="12">
        <v>57795</v>
      </c>
      <c r="C36" s="12">
        <v>56512</v>
      </c>
      <c r="D36" s="72">
        <f t="shared" ref="D36:D47" si="3">+E36/C36</f>
        <v>34.080319224235559</v>
      </c>
      <c r="E36" s="12">
        <v>1925947</v>
      </c>
      <c r="F36" s="12">
        <v>11042010</v>
      </c>
      <c r="G36" s="55">
        <v>4.5</v>
      </c>
    </row>
    <row r="37" spans="1:7">
      <c r="A37" t="s">
        <v>53</v>
      </c>
      <c r="B37" s="12">
        <v>59180</v>
      </c>
      <c r="C37" s="12">
        <v>58011</v>
      </c>
      <c r="D37" s="72">
        <f t="shared" si="3"/>
        <v>34.244177828342899</v>
      </c>
      <c r="E37" s="12">
        <v>1986539</v>
      </c>
      <c r="F37" s="12">
        <v>11091996</v>
      </c>
      <c r="G37" s="55">
        <v>4.92</v>
      </c>
    </row>
    <row r="38" spans="1:7">
      <c r="A38" t="s">
        <v>54</v>
      </c>
      <c r="B38" s="12">
        <v>59180</v>
      </c>
      <c r="C38" s="12">
        <v>58233</v>
      </c>
      <c r="D38" s="72">
        <f t="shared" si="3"/>
        <v>37.613621142651077</v>
      </c>
      <c r="E38" s="12">
        <v>2190354</v>
      </c>
      <c r="F38" s="12">
        <v>12167564</v>
      </c>
      <c r="G38" s="55">
        <v>4.92</v>
      </c>
    </row>
    <row r="39" spans="1:7">
      <c r="A39" t="s">
        <v>55</v>
      </c>
      <c r="B39" s="12">
        <v>60085</v>
      </c>
      <c r="C39" s="12">
        <v>57307</v>
      </c>
      <c r="D39" s="72">
        <f t="shared" si="3"/>
        <v>32.626345821627375</v>
      </c>
      <c r="E39" s="12">
        <v>1869718</v>
      </c>
      <c r="F39" s="12">
        <v>12167564</v>
      </c>
      <c r="G39" s="55">
        <v>4.92</v>
      </c>
    </row>
    <row r="40" spans="1:7">
      <c r="A40" t="s">
        <v>56</v>
      </c>
      <c r="B40" s="12">
        <v>61620</v>
      </c>
      <c r="C40" s="12">
        <v>60809</v>
      </c>
      <c r="D40" s="72">
        <f t="shared" si="3"/>
        <v>41.35685507079544</v>
      </c>
      <c r="E40" s="12">
        <v>2514869</v>
      </c>
      <c r="F40" s="12">
        <v>13756328</v>
      </c>
      <c r="G40" s="55">
        <v>4.92</v>
      </c>
    </row>
    <row r="41" spans="1:7">
      <c r="A41" t="s">
        <v>57</v>
      </c>
      <c r="B41" s="12">
        <v>62495</v>
      </c>
      <c r="C41" s="12">
        <v>61544</v>
      </c>
      <c r="D41" s="72">
        <f t="shared" si="3"/>
        <v>35.328447939685425</v>
      </c>
      <c r="E41" s="12">
        <v>2174254</v>
      </c>
      <c r="F41" s="12">
        <v>14616758</v>
      </c>
      <c r="G41" s="55">
        <v>4.92</v>
      </c>
    </row>
    <row r="42" spans="1:7">
      <c r="A42" t="s">
        <v>58</v>
      </c>
      <c r="B42" s="12">
        <v>64195</v>
      </c>
      <c r="C42" s="12">
        <v>63349</v>
      </c>
      <c r="D42" s="72">
        <f t="shared" si="3"/>
        <v>37.573979068335724</v>
      </c>
      <c r="E42" s="12">
        <v>2380274</v>
      </c>
      <c r="F42" s="12">
        <v>17439971</v>
      </c>
      <c r="G42" s="55">
        <v>4.97</v>
      </c>
    </row>
    <row r="43" spans="1:7">
      <c r="A43" t="s">
        <v>59</v>
      </c>
      <c r="B43" s="12">
        <v>70005</v>
      </c>
      <c r="C43" s="12">
        <v>69110</v>
      </c>
      <c r="D43" s="72">
        <f t="shared" si="3"/>
        <v>38.905368253508897</v>
      </c>
      <c r="E43" s="12">
        <v>2688750</v>
      </c>
      <c r="F43" s="12">
        <v>17372628</v>
      </c>
      <c r="G43" s="55">
        <v>5.26</v>
      </c>
    </row>
    <row r="44" spans="1:7">
      <c r="A44" s="49" t="s">
        <v>275</v>
      </c>
      <c r="B44" s="12">
        <v>72025</v>
      </c>
      <c r="C44" s="12">
        <v>70441</v>
      </c>
      <c r="D44" s="72">
        <f t="shared" si="3"/>
        <v>38.912196022202977</v>
      </c>
      <c r="E44" s="12">
        <v>2741014</v>
      </c>
      <c r="F44" s="12">
        <v>13493831</v>
      </c>
      <c r="G44" s="55">
        <v>5.26</v>
      </c>
    </row>
    <row r="45" spans="1:7">
      <c r="A45" s="49" t="s">
        <v>123</v>
      </c>
      <c r="B45" s="12">
        <v>73730</v>
      </c>
      <c r="C45" s="12">
        <v>72446</v>
      </c>
      <c r="D45" s="72">
        <f t="shared" si="3"/>
        <v>36.630842282527674</v>
      </c>
      <c r="E45" s="12">
        <v>2653758</v>
      </c>
      <c r="F45" s="12">
        <v>12205532</v>
      </c>
      <c r="G45" s="55">
        <v>5.26</v>
      </c>
    </row>
    <row r="46" spans="1:7">
      <c r="A46" s="71">
        <v>2000</v>
      </c>
      <c r="B46" s="56">
        <v>74266</v>
      </c>
      <c r="C46" s="56">
        <v>72408</v>
      </c>
      <c r="D46" s="72">
        <f t="shared" si="3"/>
        <v>38.087089824328807</v>
      </c>
      <c r="E46" s="56">
        <v>2757810</v>
      </c>
      <c r="F46" s="56">
        <v>12466572</v>
      </c>
      <c r="G46" s="73">
        <v>5.26</v>
      </c>
    </row>
    <row r="47" spans="1:7">
      <c r="A47" s="71">
        <v>2001</v>
      </c>
      <c r="B47" s="56">
        <v>74075</v>
      </c>
      <c r="C47" s="56">
        <v>72975</v>
      </c>
      <c r="D47" s="72">
        <f t="shared" si="3"/>
        <v>39.61194929770469</v>
      </c>
      <c r="E47" s="56">
        <v>2890682</v>
      </c>
      <c r="F47" s="56">
        <v>12605717</v>
      </c>
      <c r="G47" s="73">
        <v>5.26</v>
      </c>
    </row>
    <row r="48" spans="1:7">
      <c r="A48" s="71">
        <v>2002</v>
      </c>
      <c r="B48" s="56">
        <v>73963</v>
      </c>
      <c r="C48" s="56">
        <v>72497</v>
      </c>
      <c r="D48" s="72">
        <f t="shared" ref="D48:D53" si="4">+E48/C48</f>
        <v>38.017393823192684</v>
      </c>
      <c r="E48" s="56">
        <v>2756147</v>
      </c>
      <c r="F48" s="56">
        <v>15252691</v>
      </c>
      <c r="G48" s="73">
        <v>5</v>
      </c>
    </row>
    <row r="49" spans="1:7">
      <c r="A49" s="71">
        <v>2003</v>
      </c>
      <c r="B49" s="56">
        <v>73404</v>
      </c>
      <c r="C49" s="56">
        <v>72476</v>
      </c>
      <c r="D49" s="72">
        <f t="shared" si="4"/>
        <v>33.857345880015451</v>
      </c>
      <c r="E49" s="56">
        <v>2453845</v>
      </c>
      <c r="F49" s="56">
        <v>18015097</v>
      </c>
      <c r="G49" s="73">
        <v>5</v>
      </c>
    </row>
    <row r="50" spans="1:7">
      <c r="A50" s="71">
        <v>2004</v>
      </c>
      <c r="B50" s="56">
        <v>75208</v>
      </c>
      <c r="C50" s="56">
        <v>73958</v>
      </c>
      <c r="D50" s="72">
        <f t="shared" si="4"/>
        <v>42.237350928905592</v>
      </c>
      <c r="E50" s="56">
        <v>3123790</v>
      </c>
      <c r="F50" s="56">
        <v>17895510</v>
      </c>
      <c r="G50" s="73">
        <v>5</v>
      </c>
    </row>
    <row r="51" spans="1:7">
      <c r="A51" s="71">
        <v>2005</v>
      </c>
      <c r="B51" s="56">
        <v>72032</v>
      </c>
      <c r="C51" s="56">
        <v>71251</v>
      </c>
      <c r="D51" s="72">
        <f t="shared" si="4"/>
        <v>43.06384471796887</v>
      </c>
      <c r="E51" s="56">
        <v>3068342</v>
      </c>
      <c r="F51" s="56">
        <v>17297137</v>
      </c>
      <c r="G51" s="73">
        <v>5</v>
      </c>
    </row>
    <row r="52" spans="1:7">
      <c r="A52" s="71">
        <v>2006</v>
      </c>
      <c r="B52" s="56">
        <v>75522</v>
      </c>
      <c r="C52" s="56">
        <v>74602</v>
      </c>
      <c r="D52" s="72">
        <f t="shared" si="4"/>
        <v>42.850406155330958</v>
      </c>
      <c r="E52" s="56">
        <v>3196726</v>
      </c>
      <c r="F52" s="56">
        <v>20468267</v>
      </c>
      <c r="G52" s="73">
        <v>5</v>
      </c>
    </row>
    <row r="53" spans="1:7">
      <c r="A53" s="71">
        <v>2007</v>
      </c>
      <c r="B53" s="56">
        <v>64741</v>
      </c>
      <c r="C53" s="56">
        <v>64146</v>
      </c>
      <c r="D53" s="72">
        <f t="shared" si="4"/>
        <v>41.734745736289092</v>
      </c>
      <c r="E53" s="56">
        <v>2677117</v>
      </c>
      <c r="F53" s="56">
        <v>26974406</v>
      </c>
      <c r="G53" s="73">
        <v>5</v>
      </c>
    </row>
    <row r="54" spans="1:7">
      <c r="A54" s="71">
        <v>2008</v>
      </c>
      <c r="B54" s="56">
        <v>75718</v>
      </c>
      <c r="C54" s="56">
        <v>74681</v>
      </c>
      <c r="D54" s="72">
        <f>+E54/C54</f>
        <v>39.729074329481392</v>
      </c>
      <c r="E54" s="56">
        <v>2967007</v>
      </c>
      <c r="F54" s="56">
        <v>29458225</v>
      </c>
      <c r="G54" s="73">
        <v>5</v>
      </c>
    </row>
    <row r="55" spans="1:7">
      <c r="A55" s="71">
        <v>2009</v>
      </c>
      <c r="B55" s="56">
        <v>77451</v>
      </c>
      <c r="C55" s="56">
        <v>76372</v>
      </c>
      <c r="D55" s="72">
        <f>+E55/C55</f>
        <v>44.007371811658722</v>
      </c>
      <c r="E55" s="56">
        <v>3360931</v>
      </c>
      <c r="F55" s="56">
        <v>32163204</v>
      </c>
      <c r="G55" s="73">
        <v>5</v>
      </c>
    </row>
    <row r="56" spans="1:7">
      <c r="A56" s="71">
        <v>2010</v>
      </c>
      <c r="B56" s="56">
        <v>77404</v>
      </c>
      <c r="C56" s="56">
        <v>76610</v>
      </c>
      <c r="D56" s="72">
        <f>+E56/C56</f>
        <v>43.483957707871035</v>
      </c>
      <c r="E56" s="56">
        <v>3331306</v>
      </c>
      <c r="F56" s="56">
        <v>37571277</v>
      </c>
      <c r="G56" s="73">
        <v>5</v>
      </c>
    </row>
    <row r="57" spans="1:7">
      <c r="A57" s="71">
        <v>2011</v>
      </c>
      <c r="B57" s="56">
        <v>75046</v>
      </c>
      <c r="C57" s="56">
        <v>73776</v>
      </c>
      <c r="D57" s="72">
        <f t="shared" ref="D57:D62" si="5">+E57/C57</f>
        <v>41.980847430058553</v>
      </c>
      <c r="E57" s="56">
        <v>3097179</v>
      </c>
      <c r="F57" s="56">
        <v>38542177</v>
      </c>
      <c r="G57" s="73">
        <v>5</v>
      </c>
    </row>
    <row r="58" spans="1:7">
      <c r="A58" s="71">
        <v>2012</v>
      </c>
      <c r="B58" s="56">
        <v>77198</v>
      </c>
      <c r="C58" s="56">
        <v>76144</v>
      </c>
      <c r="D58" s="72">
        <f t="shared" si="5"/>
        <v>39.951197730615675</v>
      </c>
      <c r="E58" s="56">
        <v>3042044</v>
      </c>
      <c r="F58" s="56">
        <v>43723144</v>
      </c>
      <c r="G58" s="73">
        <v>5</v>
      </c>
    </row>
    <row r="59" spans="1:7">
      <c r="A59" s="71">
        <v>2013</v>
      </c>
      <c r="B59" s="56">
        <v>76840</v>
      </c>
      <c r="C59" s="56">
        <v>76253</v>
      </c>
      <c r="D59" s="72">
        <f t="shared" si="5"/>
        <v>44.037401807142011</v>
      </c>
      <c r="E59" s="56">
        <v>3357984</v>
      </c>
      <c r="F59" s="56">
        <v>43582901</v>
      </c>
      <c r="G59" s="73">
        <v>5</v>
      </c>
    </row>
    <row r="60" spans="1:7">
      <c r="A60" s="71">
        <v>2014</v>
      </c>
      <c r="B60" s="56">
        <v>83276</v>
      </c>
      <c r="C60" s="56">
        <v>82591</v>
      </c>
      <c r="D60" s="72">
        <f t="shared" si="5"/>
        <v>47.548643314646874</v>
      </c>
      <c r="E60" s="56">
        <v>3927090</v>
      </c>
      <c r="F60" s="102">
        <v>39474861</v>
      </c>
      <c r="G60" s="73">
        <v>5</v>
      </c>
    </row>
    <row r="61" spans="1:7">
      <c r="A61" s="71">
        <v>2015</v>
      </c>
      <c r="B61" s="56">
        <v>82650</v>
      </c>
      <c r="C61" s="56">
        <v>81732</v>
      </c>
      <c r="D61" s="72">
        <f t="shared" si="5"/>
        <v>48.039189056917728</v>
      </c>
      <c r="E61" s="56">
        <v>3926339</v>
      </c>
      <c r="F61" s="102">
        <v>35140734</v>
      </c>
      <c r="G61" s="73">
        <v>5</v>
      </c>
    </row>
    <row r="62" spans="1:7">
      <c r="A62" s="71">
        <v>2016</v>
      </c>
      <c r="B62" s="56">
        <v>83433</v>
      </c>
      <c r="C62" s="56">
        <v>82696</v>
      </c>
      <c r="D62" s="72">
        <f t="shared" si="5"/>
        <v>51.950348263519395</v>
      </c>
      <c r="E62" s="56">
        <v>4296086</v>
      </c>
      <c r="F62" s="102">
        <v>40683934</v>
      </c>
      <c r="G62" s="73">
        <v>5</v>
      </c>
    </row>
    <row r="63" spans="1:7">
      <c r="A63" s="130">
        <v>2017</v>
      </c>
      <c r="B63" s="13">
        <v>90142</v>
      </c>
      <c r="C63" s="270">
        <v>89522</v>
      </c>
      <c r="D63" s="14">
        <f>+E63/C63</f>
        <v>49.0555729317933</v>
      </c>
      <c r="E63" s="270">
        <v>4391553</v>
      </c>
      <c r="F63" s="270">
        <v>40841443</v>
      </c>
      <c r="G63" s="62">
        <v>5</v>
      </c>
    </row>
    <row r="64" spans="1:7" ht="13.25" customHeight="1">
      <c r="A64" s="117" t="s">
        <v>60</v>
      </c>
    </row>
    <row r="65" spans="1:7">
      <c r="A65" s="117" t="s">
        <v>545</v>
      </c>
    </row>
    <row r="66" spans="1:7">
      <c r="A66" s="117" t="s">
        <v>546</v>
      </c>
    </row>
    <row r="67" spans="1:7" ht="13.25" customHeight="1">
      <c r="A67" s="117" t="s">
        <v>592</v>
      </c>
    </row>
    <row r="68" spans="1:7" ht="10.25" customHeight="1">
      <c r="A68" s="159" t="s">
        <v>593</v>
      </c>
    </row>
    <row r="69" spans="1:7">
      <c r="G69" s="305" t="s">
        <v>679</v>
      </c>
    </row>
    <row r="70" spans="1:7">
      <c r="A70" s="159"/>
    </row>
  </sheetData>
  <phoneticPr fontId="0" type="noConversion"/>
  <pageMargins left="0.7" right="0.7" top="0.75" bottom="0.75" header="0.3" footer="0.3"/>
  <pageSetup scale="83" firstPageNumber="29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67" max="16383" man="1"/>
  </rowBreaks>
  <ignoredErrors>
    <ignoredError sqref="A6:A15 A16:A25 A26:A35 A36:A4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M48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0.75" customWidth="1"/>
    <col min="7" max="11" width="11.75" customWidth="1"/>
  </cols>
  <sheetData>
    <row r="1" spans="1:11">
      <c r="A1" s="150" t="s">
        <v>714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107</v>
      </c>
      <c r="C2" s="332" t="s">
        <v>119</v>
      </c>
      <c r="D2" s="306"/>
      <c r="E2" s="306"/>
      <c r="G2" s="3"/>
      <c r="H2" s="306" t="s">
        <v>117</v>
      </c>
      <c r="I2" s="306"/>
      <c r="K2" s="9" t="s">
        <v>118</v>
      </c>
    </row>
    <row r="3" spans="1:11">
      <c r="A3" t="s">
        <v>100</v>
      </c>
      <c r="B3" s="7" t="s">
        <v>141</v>
      </c>
      <c r="J3" s="7" t="s">
        <v>143</v>
      </c>
      <c r="K3" s="7" t="s">
        <v>170</v>
      </c>
    </row>
    <row r="4" spans="1:11">
      <c r="A4" s="1" t="s">
        <v>164</v>
      </c>
      <c r="B4" s="9" t="s">
        <v>110</v>
      </c>
      <c r="C4" s="11" t="s">
        <v>66</v>
      </c>
      <c r="D4" s="9" t="s">
        <v>88</v>
      </c>
      <c r="E4" s="194" t="s">
        <v>3</v>
      </c>
      <c r="F4" s="9"/>
      <c r="G4" s="190" t="s">
        <v>142</v>
      </c>
      <c r="H4" s="190" t="s">
        <v>165</v>
      </c>
      <c r="I4" s="194" t="s">
        <v>3</v>
      </c>
      <c r="J4" s="9" t="s">
        <v>110</v>
      </c>
      <c r="K4" s="9" t="s">
        <v>171</v>
      </c>
    </row>
    <row r="5" spans="1:11">
      <c r="C5" s="312"/>
      <c r="D5" s="342" t="s">
        <v>172</v>
      </c>
      <c r="F5" s="312"/>
      <c r="G5" s="312"/>
      <c r="H5" s="312"/>
      <c r="I5" s="312"/>
      <c r="J5" s="312"/>
      <c r="K5" s="7" t="s">
        <v>289</v>
      </c>
    </row>
    <row r="6" spans="1:11">
      <c r="B6" s="38"/>
      <c r="C6" s="38"/>
      <c r="D6" s="38"/>
      <c r="E6" s="38"/>
      <c r="F6" s="38"/>
      <c r="G6" s="38"/>
      <c r="H6" s="38"/>
      <c r="I6" s="38"/>
      <c r="J6" s="38"/>
      <c r="K6" s="7"/>
    </row>
    <row r="7" spans="1:11">
      <c r="A7" s="10" t="s">
        <v>276</v>
      </c>
      <c r="B7" s="12">
        <v>7</v>
      </c>
      <c r="C7" s="12">
        <v>214.68600000000004</v>
      </c>
      <c r="D7" s="12">
        <v>2</v>
      </c>
      <c r="E7" s="12">
        <f t="shared" ref="E7:E26" si="0">SUM(B7:D7)</f>
        <v>223.68600000000004</v>
      </c>
      <c r="F7" s="12"/>
      <c r="G7" s="12">
        <f t="shared" ref="G7:G15" si="1">+I7-H7</f>
        <v>88.052286747000011</v>
      </c>
      <c r="H7" s="12">
        <v>133.63371325300002</v>
      </c>
      <c r="I7" s="12">
        <f t="shared" ref="I7:I24" si="2">+E7-J7</f>
        <v>221.68600000000004</v>
      </c>
      <c r="J7" s="12">
        <v>2</v>
      </c>
      <c r="K7" s="35">
        <v>162.80000000000001</v>
      </c>
    </row>
    <row r="8" spans="1:11">
      <c r="A8" s="10" t="s">
        <v>277</v>
      </c>
      <c r="B8" s="12">
        <f>J7</f>
        <v>2</v>
      </c>
      <c r="C8" s="12">
        <v>202.15800000000002</v>
      </c>
      <c r="D8" s="12">
        <v>2</v>
      </c>
      <c r="E8" s="12">
        <f t="shared" si="0"/>
        <v>206.15800000000002</v>
      </c>
      <c r="F8" s="12"/>
      <c r="G8" s="12">
        <f t="shared" si="1"/>
        <v>53.16364877700002</v>
      </c>
      <c r="H8" s="12">
        <v>150.994351223</v>
      </c>
      <c r="I8" s="12">
        <f t="shared" si="2"/>
        <v>204.15800000000002</v>
      </c>
      <c r="J8" s="12">
        <v>2</v>
      </c>
      <c r="K8" s="35">
        <v>151.02000000000001</v>
      </c>
    </row>
    <row r="9" spans="1:11">
      <c r="A9" s="10" t="s">
        <v>278</v>
      </c>
      <c r="B9" s="12">
        <f t="shared" ref="B9:B32" si="3">J8</f>
        <v>2</v>
      </c>
      <c r="C9" s="12">
        <v>156.99600000000001</v>
      </c>
      <c r="D9" s="12">
        <v>2</v>
      </c>
      <c r="E9" s="12">
        <f t="shared" si="0"/>
        <v>160.99600000000001</v>
      </c>
      <c r="F9" s="12"/>
      <c r="G9" s="12">
        <f t="shared" si="1"/>
        <v>79.887889768000008</v>
      </c>
      <c r="H9" s="12">
        <v>79.108110232000001</v>
      </c>
      <c r="I9" s="12">
        <f t="shared" si="2"/>
        <v>158.99600000000001</v>
      </c>
      <c r="J9" s="12">
        <v>2</v>
      </c>
      <c r="K9" s="35">
        <v>143.4</v>
      </c>
    </row>
    <row r="10" spans="1:11">
      <c r="A10" s="10" t="s">
        <v>279</v>
      </c>
      <c r="B10" s="12">
        <f t="shared" si="3"/>
        <v>2</v>
      </c>
      <c r="C10" s="12">
        <v>229.19400000000002</v>
      </c>
      <c r="D10" s="12">
        <v>2</v>
      </c>
      <c r="E10" s="12">
        <f t="shared" si="0"/>
        <v>233.19400000000002</v>
      </c>
      <c r="F10" s="12"/>
      <c r="G10" s="12">
        <f t="shared" si="1"/>
        <v>105.66630856600003</v>
      </c>
      <c r="H10" s="12">
        <v>124.52769143399999</v>
      </c>
      <c r="I10" s="12">
        <f t="shared" si="2"/>
        <v>230.19400000000002</v>
      </c>
      <c r="J10" s="12">
        <v>3</v>
      </c>
      <c r="K10" s="35">
        <v>155.28</v>
      </c>
    </row>
    <row r="11" spans="1:11">
      <c r="A11" s="10" t="s">
        <v>280</v>
      </c>
      <c r="B11" s="12">
        <f t="shared" si="3"/>
        <v>3</v>
      </c>
      <c r="C11" s="12">
        <v>178.83</v>
      </c>
      <c r="D11" s="12">
        <v>1</v>
      </c>
      <c r="E11" s="12">
        <f t="shared" si="0"/>
        <v>182.83</v>
      </c>
      <c r="F11" s="12"/>
      <c r="G11" s="12">
        <f t="shared" si="1"/>
        <v>119.499695249</v>
      </c>
      <c r="H11" s="12">
        <v>60.330304751000014</v>
      </c>
      <c r="I11" s="12">
        <f t="shared" si="2"/>
        <v>179.83</v>
      </c>
      <c r="J11" s="12">
        <v>3</v>
      </c>
      <c r="K11" s="35">
        <v>98.99</v>
      </c>
    </row>
    <row r="12" spans="1:11">
      <c r="A12" s="10" t="s">
        <v>281</v>
      </c>
      <c r="B12" s="12">
        <f t="shared" si="3"/>
        <v>3</v>
      </c>
      <c r="C12" s="12">
        <v>183.57140000000001</v>
      </c>
      <c r="D12" s="12">
        <v>3</v>
      </c>
      <c r="E12" s="12">
        <f t="shared" si="0"/>
        <v>189.57140000000001</v>
      </c>
      <c r="F12" s="12"/>
      <c r="G12" s="12">
        <f t="shared" si="1"/>
        <v>109.86740000000002</v>
      </c>
      <c r="H12" s="12">
        <v>74.703999999999994</v>
      </c>
      <c r="I12" s="12">
        <f t="shared" si="2"/>
        <v>184.57140000000001</v>
      </c>
      <c r="J12" s="12">
        <v>5</v>
      </c>
      <c r="K12" s="35">
        <v>102.62</v>
      </c>
    </row>
    <row r="13" spans="1:11">
      <c r="A13" s="10" t="s">
        <v>282</v>
      </c>
      <c r="B13" s="12">
        <f t="shared" si="3"/>
        <v>5</v>
      </c>
      <c r="C13" s="12">
        <v>180</v>
      </c>
      <c r="D13" s="12">
        <v>2</v>
      </c>
      <c r="E13" s="12">
        <f t="shared" si="0"/>
        <v>187</v>
      </c>
      <c r="F13" s="12"/>
      <c r="G13" s="12">
        <f t="shared" si="1"/>
        <v>122.328</v>
      </c>
      <c r="H13" s="12">
        <v>62.671999999999997</v>
      </c>
      <c r="I13" s="12">
        <f t="shared" si="2"/>
        <v>185</v>
      </c>
      <c r="J13" s="12">
        <v>2</v>
      </c>
      <c r="K13" s="35">
        <v>111.98</v>
      </c>
    </row>
    <row r="14" spans="1:11">
      <c r="A14" s="10" t="s">
        <v>283</v>
      </c>
      <c r="B14" s="12">
        <f t="shared" si="3"/>
        <v>2</v>
      </c>
      <c r="C14" s="12">
        <v>194.4</v>
      </c>
      <c r="D14" s="12">
        <v>2</v>
      </c>
      <c r="E14" s="12">
        <f t="shared" si="0"/>
        <v>198.4</v>
      </c>
      <c r="F14" s="12"/>
      <c r="G14" s="12">
        <f t="shared" si="1"/>
        <v>136.01300000000001</v>
      </c>
      <c r="H14" s="12">
        <v>59.387000000000008</v>
      </c>
      <c r="I14" s="12">
        <f t="shared" si="2"/>
        <v>195.4</v>
      </c>
      <c r="J14" s="12">
        <v>3</v>
      </c>
      <c r="K14" s="35">
        <v>130.24</v>
      </c>
    </row>
    <row r="15" spans="1:11">
      <c r="A15" s="10" t="s">
        <v>284</v>
      </c>
      <c r="B15" s="12">
        <f t="shared" si="3"/>
        <v>3</v>
      </c>
      <c r="C15" s="12">
        <v>153</v>
      </c>
      <c r="D15" s="12">
        <v>11</v>
      </c>
      <c r="E15" s="12">
        <f t="shared" si="0"/>
        <v>167</v>
      </c>
      <c r="F15" s="12"/>
      <c r="G15" s="12">
        <f t="shared" si="1"/>
        <v>99.063511748005993</v>
      </c>
      <c r="H15" s="12">
        <v>62.936488251994</v>
      </c>
      <c r="I15" s="12">
        <f t="shared" si="2"/>
        <v>162</v>
      </c>
      <c r="J15" s="12">
        <v>5</v>
      </c>
      <c r="K15" s="35">
        <v>178.43</v>
      </c>
    </row>
    <row r="16" spans="1:11">
      <c r="A16" s="10" t="s">
        <v>9</v>
      </c>
      <c r="B16" s="12">
        <f t="shared" si="3"/>
        <v>5</v>
      </c>
      <c r="C16" s="12">
        <v>148.5</v>
      </c>
      <c r="D16" s="12">
        <v>9</v>
      </c>
      <c r="E16" s="12">
        <f t="shared" si="0"/>
        <v>162.5</v>
      </c>
      <c r="F16" s="12"/>
      <c r="G16" s="12">
        <f t="shared" ref="G16:G31" si="4">+I16-H16</f>
        <v>134.027795216448</v>
      </c>
      <c r="H16" s="12">
        <v>23.472204783552002</v>
      </c>
      <c r="I16" s="12">
        <f t="shared" si="2"/>
        <v>157.5</v>
      </c>
      <c r="J16" s="12">
        <v>5</v>
      </c>
      <c r="K16" s="35">
        <v>139.27000000000001</v>
      </c>
    </row>
    <row r="17" spans="1:11">
      <c r="A17" s="10" t="s">
        <v>10</v>
      </c>
      <c r="B17" s="12">
        <f t="shared" si="3"/>
        <v>5</v>
      </c>
      <c r="C17" s="12">
        <v>158.4</v>
      </c>
      <c r="D17" s="12">
        <v>2.8740267900000003</v>
      </c>
      <c r="E17" s="12">
        <f t="shared" si="0"/>
        <v>166.27402678999999</v>
      </c>
      <c r="F17" s="12"/>
      <c r="G17" s="12">
        <f t="shared" si="4"/>
        <v>120.37210141835698</v>
      </c>
      <c r="H17" s="12">
        <v>40.90192537164301</v>
      </c>
      <c r="I17" s="12">
        <f t="shared" si="2"/>
        <v>161.27402678999999</v>
      </c>
      <c r="J17" s="12">
        <v>5</v>
      </c>
      <c r="K17" s="35">
        <v>130.06</v>
      </c>
    </row>
    <row r="18" spans="1:11">
      <c r="A18" s="10" t="s">
        <v>11</v>
      </c>
      <c r="B18" s="12">
        <f t="shared" si="3"/>
        <v>5</v>
      </c>
      <c r="C18" s="12">
        <v>162.9</v>
      </c>
      <c r="D18" s="12">
        <v>0.135351417</v>
      </c>
      <c r="E18" s="12">
        <f t="shared" si="0"/>
        <v>168.03535141700002</v>
      </c>
      <c r="F18" s="12"/>
      <c r="G18" s="12">
        <f t="shared" si="4"/>
        <v>123.40859374020002</v>
      </c>
      <c r="H18" s="12">
        <v>39.626757676800004</v>
      </c>
      <c r="I18" s="12">
        <f t="shared" si="2"/>
        <v>163.03535141700002</v>
      </c>
      <c r="J18" s="12">
        <v>5</v>
      </c>
      <c r="K18" s="35">
        <v>127.57</v>
      </c>
    </row>
    <row r="19" spans="1:11">
      <c r="A19" s="10" t="s">
        <v>12</v>
      </c>
      <c r="B19" s="12">
        <f t="shared" si="3"/>
        <v>5</v>
      </c>
      <c r="C19" s="12">
        <v>154.80000000000001</v>
      </c>
      <c r="D19" s="12">
        <v>0.15452041399999999</v>
      </c>
      <c r="E19" s="12">
        <f t="shared" si="0"/>
        <v>159.954520414</v>
      </c>
      <c r="F19" s="12"/>
      <c r="G19" s="12">
        <f t="shared" si="4"/>
        <v>101.83005603401298</v>
      </c>
      <c r="H19" s="12">
        <v>53.12446437998701</v>
      </c>
      <c r="I19" s="12">
        <f t="shared" si="2"/>
        <v>154.954520414</v>
      </c>
      <c r="J19" s="12">
        <v>5</v>
      </c>
      <c r="K19" s="35">
        <v>133.6</v>
      </c>
    </row>
    <row r="20" spans="1:11">
      <c r="A20" s="10" t="s">
        <v>13</v>
      </c>
      <c r="B20" s="12">
        <f t="shared" si="3"/>
        <v>5</v>
      </c>
      <c r="C20" s="12">
        <v>155.69999999999999</v>
      </c>
      <c r="D20" s="12">
        <v>2.3151474624000001</v>
      </c>
      <c r="E20" s="12">
        <f t="shared" si="0"/>
        <v>163.01514746239999</v>
      </c>
      <c r="F20" s="12"/>
      <c r="G20" s="12">
        <f t="shared" si="4"/>
        <v>108.81183148778999</v>
      </c>
      <c r="H20" s="12">
        <v>49.20331597461</v>
      </c>
      <c r="I20" s="12">
        <f t="shared" si="2"/>
        <v>158.01514746239999</v>
      </c>
      <c r="J20" s="12">
        <v>5</v>
      </c>
      <c r="K20" s="35">
        <v>139.54</v>
      </c>
    </row>
    <row r="21" spans="1:11">
      <c r="A21" s="10" t="s">
        <v>14</v>
      </c>
      <c r="B21" s="12">
        <f t="shared" si="3"/>
        <v>5</v>
      </c>
      <c r="C21" s="12">
        <v>153.9</v>
      </c>
      <c r="D21" s="12">
        <v>4.8764682768999998</v>
      </c>
      <c r="E21" s="12">
        <f t="shared" si="0"/>
        <v>163.7764682769</v>
      </c>
      <c r="F21" s="12"/>
      <c r="G21" s="12">
        <f t="shared" si="4"/>
        <v>101.18253403311701</v>
      </c>
      <c r="H21" s="12">
        <v>57.593934243783004</v>
      </c>
      <c r="I21" s="12">
        <f t="shared" si="2"/>
        <v>158.7764682769</v>
      </c>
      <c r="J21" s="12">
        <v>5</v>
      </c>
      <c r="K21" s="35">
        <v>101.34</v>
      </c>
    </row>
    <row r="22" spans="1:11">
      <c r="A22" s="10" t="s">
        <v>15</v>
      </c>
      <c r="B22" s="12">
        <f t="shared" si="3"/>
        <v>5</v>
      </c>
      <c r="C22" s="12">
        <v>162</v>
      </c>
      <c r="D22" s="12">
        <v>2.0122034556999999</v>
      </c>
      <c r="E22" s="12">
        <f t="shared" si="0"/>
        <v>169.01220345569999</v>
      </c>
      <c r="F22" s="12"/>
      <c r="G22" s="12">
        <f t="shared" si="4"/>
        <v>129.34375088799999</v>
      </c>
      <c r="H22" s="12">
        <v>34.668452567700001</v>
      </c>
      <c r="I22" s="12">
        <f t="shared" si="2"/>
        <v>164.01220345569999</v>
      </c>
      <c r="J22" s="12">
        <v>5</v>
      </c>
      <c r="K22" s="35">
        <v>133.54</v>
      </c>
    </row>
    <row r="23" spans="1:11">
      <c r="A23" s="10" t="s">
        <v>16</v>
      </c>
      <c r="B23" s="12">
        <f t="shared" si="3"/>
        <v>5</v>
      </c>
      <c r="C23" s="12">
        <v>180</v>
      </c>
      <c r="D23" s="12">
        <v>12.621810091300004</v>
      </c>
      <c r="E23" s="12">
        <f t="shared" si="0"/>
        <v>197.62181009130001</v>
      </c>
      <c r="F23" s="12"/>
      <c r="G23" s="12">
        <f t="shared" si="4"/>
        <v>149.02131826286802</v>
      </c>
      <c r="H23" s="12">
        <v>43.600491828431998</v>
      </c>
      <c r="I23" s="12">
        <f t="shared" si="2"/>
        <v>192.62181009130001</v>
      </c>
      <c r="J23" s="12">
        <v>5</v>
      </c>
      <c r="K23" s="35">
        <v>169.74</v>
      </c>
    </row>
    <row r="24" spans="1:11">
      <c r="A24" s="10" t="s">
        <v>17</v>
      </c>
      <c r="B24" s="12">
        <f t="shared" si="3"/>
        <v>5</v>
      </c>
      <c r="C24" s="12">
        <v>189</v>
      </c>
      <c r="D24" s="12">
        <v>14.625002244500001</v>
      </c>
      <c r="E24" s="12">
        <f t="shared" si="0"/>
        <v>208.6250022445</v>
      </c>
      <c r="F24" s="12"/>
      <c r="G24" s="12">
        <f t="shared" si="4"/>
        <v>185.05004446144699</v>
      </c>
      <c r="H24" s="12">
        <v>18.574957783053005</v>
      </c>
      <c r="I24" s="12">
        <f t="shared" si="2"/>
        <v>203.6250022445</v>
      </c>
      <c r="J24" s="12">
        <v>5</v>
      </c>
      <c r="K24" s="35">
        <v>131.4</v>
      </c>
    </row>
    <row r="25" spans="1:11">
      <c r="A25" s="10" t="s">
        <v>18</v>
      </c>
      <c r="B25" s="12">
        <f t="shared" si="3"/>
        <v>5</v>
      </c>
      <c r="C25" s="12">
        <v>190.8</v>
      </c>
      <c r="D25" s="12">
        <v>3.9192386729999993</v>
      </c>
      <c r="E25" s="12">
        <f t="shared" si="0"/>
        <v>199.71923867300001</v>
      </c>
      <c r="F25" s="12"/>
      <c r="G25" s="12">
        <f t="shared" si="4"/>
        <v>168.725372915805</v>
      </c>
      <c r="H25" s="12">
        <v>25.993865757195003</v>
      </c>
      <c r="I25" s="12">
        <f>+E25-J25</f>
        <v>194.71923867300001</v>
      </c>
      <c r="J25" s="12">
        <v>5</v>
      </c>
      <c r="K25" s="35">
        <v>91.63</v>
      </c>
    </row>
    <row r="26" spans="1:11">
      <c r="A26" s="10" t="s">
        <v>19</v>
      </c>
      <c r="B26" s="12">
        <f t="shared" si="3"/>
        <v>5</v>
      </c>
      <c r="C26" s="12">
        <v>207</v>
      </c>
      <c r="D26" s="12">
        <v>0.89384294470000003</v>
      </c>
      <c r="E26" s="12">
        <f t="shared" si="0"/>
        <v>212.8938429447</v>
      </c>
      <c r="F26" s="12"/>
      <c r="G26" s="12">
        <f t="shared" si="4"/>
        <v>188.928252598711</v>
      </c>
      <c r="H26" s="12">
        <v>18.965590345989</v>
      </c>
      <c r="I26" s="12">
        <f>+E26-J26</f>
        <v>207.8938429447</v>
      </c>
      <c r="J26" s="12">
        <v>5</v>
      </c>
      <c r="K26" s="35">
        <v>93.77</v>
      </c>
    </row>
    <row r="27" spans="1:11">
      <c r="A27" s="71" t="s">
        <v>392</v>
      </c>
      <c r="B27" s="12">
        <f t="shared" si="3"/>
        <v>5</v>
      </c>
      <c r="C27" s="56">
        <v>216</v>
      </c>
      <c r="D27" s="56">
        <v>5.1819321414000008</v>
      </c>
      <c r="E27" s="56">
        <f t="shared" ref="E27:E32" si="5">SUM(B27:D27)</f>
        <v>226.18193214140001</v>
      </c>
      <c r="F27" s="56"/>
      <c r="G27" s="56">
        <f t="shared" si="4"/>
        <v>196.371509678427</v>
      </c>
      <c r="H27" s="56">
        <v>24.810422462972998</v>
      </c>
      <c r="I27" s="56">
        <f>+E27-J27</f>
        <v>221.18193214140001</v>
      </c>
      <c r="J27" s="56">
        <v>5</v>
      </c>
      <c r="K27" s="35">
        <v>116.23</v>
      </c>
    </row>
    <row r="28" spans="1:11">
      <c r="A28" s="71" t="s">
        <v>396</v>
      </c>
      <c r="B28" s="12">
        <f t="shared" si="3"/>
        <v>5</v>
      </c>
      <c r="C28" s="56">
        <v>180</v>
      </c>
      <c r="D28" s="56">
        <v>5.8428061857000007</v>
      </c>
      <c r="E28" s="56">
        <f t="shared" si="5"/>
        <v>190.8428061857</v>
      </c>
      <c r="F28" s="56"/>
      <c r="G28" s="56">
        <f t="shared" si="4"/>
        <v>124.00643294937001</v>
      </c>
      <c r="H28" s="56">
        <v>61.836373236329997</v>
      </c>
      <c r="I28" s="56">
        <f>+E28-J28</f>
        <v>185.8428061857</v>
      </c>
      <c r="J28" s="56">
        <v>5</v>
      </c>
      <c r="K28" s="35">
        <v>119.62</v>
      </c>
    </row>
    <row r="29" spans="1:11">
      <c r="A29" s="71" t="s">
        <v>409</v>
      </c>
      <c r="B29" s="12">
        <f t="shared" si="3"/>
        <v>5</v>
      </c>
      <c r="C29" s="56">
        <v>189</v>
      </c>
      <c r="D29" s="56">
        <v>19.420010551400001</v>
      </c>
      <c r="E29" s="56">
        <f t="shared" si="5"/>
        <v>213.4200105514</v>
      </c>
      <c r="F29" s="56"/>
      <c r="G29" s="56">
        <f t="shared" si="4"/>
        <v>177.830018294198</v>
      </c>
      <c r="H29" s="56">
        <v>30.589992257201999</v>
      </c>
      <c r="I29" s="56">
        <f t="shared" ref="I29:I34" si="6">+E29-J29</f>
        <v>208.4200105514</v>
      </c>
      <c r="J29" s="56">
        <v>5</v>
      </c>
      <c r="K29" s="35">
        <v>122.89</v>
      </c>
    </row>
    <row r="30" spans="1:11">
      <c r="A30" s="71" t="s">
        <v>420</v>
      </c>
      <c r="B30" s="12">
        <f t="shared" si="3"/>
        <v>5</v>
      </c>
      <c r="C30" s="56">
        <v>203</v>
      </c>
      <c r="D30" s="56">
        <v>26.360366926400001</v>
      </c>
      <c r="E30" s="56">
        <f t="shared" si="5"/>
        <v>234.36036692639999</v>
      </c>
      <c r="F30" s="56"/>
      <c r="G30" s="56">
        <f t="shared" si="4"/>
        <v>197.47139485213299</v>
      </c>
      <c r="H30" s="56">
        <v>31.888972074266999</v>
      </c>
      <c r="I30" s="56">
        <f t="shared" si="6"/>
        <v>229.36036692639999</v>
      </c>
      <c r="J30" s="56">
        <v>5</v>
      </c>
      <c r="K30" s="35">
        <v>158.9</v>
      </c>
    </row>
    <row r="31" spans="1:11">
      <c r="A31" s="71" t="s">
        <v>422</v>
      </c>
      <c r="B31" s="12">
        <f t="shared" si="3"/>
        <v>5</v>
      </c>
      <c r="C31" s="56">
        <v>245</v>
      </c>
      <c r="D31" s="56">
        <v>22.731319751399997</v>
      </c>
      <c r="E31" s="56">
        <f t="shared" si="5"/>
        <v>272.73131975140001</v>
      </c>
      <c r="F31" s="56"/>
      <c r="G31" s="56">
        <f t="shared" si="4"/>
        <v>205.84969664851999</v>
      </c>
      <c r="H31" s="56">
        <v>61.881623102880013</v>
      </c>
      <c r="I31" s="56">
        <f t="shared" si="6"/>
        <v>267.73131975140001</v>
      </c>
      <c r="J31" s="56">
        <v>5</v>
      </c>
      <c r="K31" s="35">
        <v>114.24</v>
      </c>
    </row>
    <row r="32" spans="1:11">
      <c r="A32" s="71" t="s">
        <v>448</v>
      </c>
      <c r="B32" s="12">
        <f t="shared" si="3"/>
        <v>5</v>
      </c>
      <c r="C32" s="56">
        <v>295</v>
      </c>
      <c r="D32" s="56">
        <v>18.032295319300001</v>
      </c>
      <c r="E32" s="56">
        <f t="shared" si="5"/>
        <v>318.03229531929998</v>
      </c>
      <c r="F32" s="56"/>
      <c r="G32" s="56">
        <f t="shared" ref="G32:G37" si="7">+I32-H32</f>
        <v>269.05767252360198</v>
      </c>
      <c r="H32" s="56">
        <v>43.974622795698011</v>
      </c>
      <c r="I32" s="56">
        <f t="shared" si="6"/>
        <v>313.03229531929998</v>
      </c>
      <c r="J32" s="56">
        <v>5</v>
      </c>
      <c r="K32" s="35">
        <v>124.69</v>
      </c>
    </row>
    <row r="33" spans="1:13">
      <c r="A33" s="71" t="s">
        <v>463</v>
      </c>
      <c r="B33" s="56">
        <f t="shared" ref="B33:B38" si="8">+J32</f>
        <v>5</v>
      </c>
      <c r="C33" s="56">
        <v>268</v>
      </c>
      <c r="D33" s="56">
        <v>17.0478984296</v>
      </c>
      <c r="E33" s="56">
        <f t="shared" ref="E33:E38" si="9">SUM(B33:D33)</f>
        <v>290.04789842960002</v>
      </c>
      <c r="F33" s="56"/>
      <c r="G33" s="56">
        <f t="shared" si="7"/>
        <v>275.07927235993202</v>
      </c>
      <c r="H33" s="56">
        <v>9.9686260696679998</v>
      </c>
      <c r="I33" s="56">
        <f t="shared" si="6"/>
        <v>285.04789842960002</v>
      </c>
      <c r="J33" s="56">
        <v>5</v>
      </c>
      <c r="K33" s="35">
        <v>124.61</v>
      </c>
    </row>
    <row r="34" spans="1:13">
      <c r="A34" s="71" t="s">
        <v>470</v>
      </c>
      <c r="B34" s="56">
        <f t="shared" si="8"/>
        <v>5</v>
      </c>
      <c r="C34" s="56">
        <v>211</v>
      </c>
      <c r="D34" s="56">
        <v>9.0919070852000008</v>
      </c>
      <c r="E34" s="56">
        <f t="shared" si="9"/>
        <v>225.09190708520001</v>
      </c>
      <c r="F34" s="56"/>
      <c r="G34" s="56">
        <f t="shared" si="7"/>
        <v>210.031678971432</v>
      </c>
      <c r="H34" s="56">
        <v>10.060228113768002</v>
      </c>
      <c r="I34" s="56">
        <f t="shared" si="6"/>
        <v>220.09190708520001</v>
      </c>
      <c r="J34" s="56">
        <v>5</v>
      </c>
      <c r="K34" s="35">
        <v>191.54</v>
      </c>
    </row>
    <row r="35" spans="1:13">
      <c r="A35" s="71" t="s">
        <v>477</v>
      </c>
      <c r="B35" s="56">
        <f t="shared" si="8"/>
        <v>5</v>
      </c>
      <c r="C35" s="56">
        <v>147</v>
      </c>
      <c r="D35" s="56">
        <v>10.299236433799999</v>
      </c>
      <c r="E35" s="56">
        <f t="shared" si="9"/>
        <v>162.29923643379999</v>
      </c>
      <c r="F35" s="56"/>
      <c r="G35" s="56">
        <f t="shared" si="7"/>
        <v>129.61570648798698</v>
      </c>
      <c r="H35" s="56">
        <v>27.683529945813</v>
      </c>
      <c r="I35" s="56">
        <f t="shared" ref="I35:I40" si="10">+E35-J35</f>
        <v>157.29923643379999</v>
      </c>
      <c r="J35" s="56">
        <v>5</v>
      </c>
      <c r="K35" s="35">
        <v>227.66</v>
      </c>
    </row>
    <row r="36" spans="1:13">
      <c r="A36" s="127" t="s">
        <v>488</v>
      </c>
      <c r="B36" s="56">
        <f t="shared" si="8"/>
        <v>5</v>
      </c>
      <c r="C36" s="56">
        <v>216</v>
      </c>
      <c r="D36" s="56">
        <v>3.3788801900000003</v>
      </c>
      <c r="E36" s="56">
        <f t="shared" si="9"/>
        <v>224.37888018999999</v>
      </c>
      <c r="F36" s="56"/>
      <c r="G36" s="56">
        <f t="shared" si="7"/>
        <v>209.83300912811899</v>
      </c>
      <c r="H36" s="56">
        <v>9.5458710618809999</v>
      </c>
      <c r="I36" s="56">
        <f t="shared" si="10"/>
        <v>219.37888018999999</v>
      </c>
      <c r="J36" s="56">
        <v>5</v>
      </c>
      <c r="K36" s="35">
        <v>217.24</v>
      </c>
    </row>
    <row r="37" spans="1:13">
      <c r="A37" s="127" t="s">
        <v>492</v>
      </c>
      <c r="B37" s="56">
        <f t="shared" si="8"/>
        <v>5</v>
      </c>
      <c r="C37" s="56">
        <v>209</v>
      </c>
      <c r="D37" s="56">
        <v>6.579221951300001</v>
      </c>
      <c r="E37" s="56">
        <f t="shared" si="9"/>
        <v>220.57922195130001</v>
      </c>
      <c r="F37" s="56"/>
      <c r="G37" s="56">
        <f t="shared" si="7"/>
        <v>208.47492896891202</v>
      </c>
      <c r="H37" s="56">
        <v>7.1042929823880003</v>
      </c>
      <c r="I37" s="56">
        <f t="shared" si="10"/>
        <v>215.57922195130001</v>
      </c>
      <c r="J37" s="56">
        <v>5</v>
      </c>
      <c r="K37" s="35">
        <v>223.23</v>
      </c>
    </row>
    <row r="38" spans="1:13">
      <c r="A38" s="127" t="s">
        <v>517</v>
      </c>
      <c r="B38" s="56">
        <f t="shared" si="8"/>
        <v>5</v>
      </c>
      <c r="C38" s="56">
        <v>189</v>
      </c>
      <c r="D38" s="56">
        <v>7.5209999999999999</v>
      </c>
      <c r="E38" s="56">
        <f t="shared" si="9"/>
        <v>201.52099999999999</v>
      </c>
      <c r="F38" s="56"/>
      <c r="G38" s="56">
        <f t="shared" ref="G38:G43" si="11">+I38-H38</f>
        <v>193.58110128904798</v>
      </c>
      <c r="H38" s="56">
        <v>2.9398987109520003</v>
      </c>
      <c r="I38" s="56">
        <f t="shared" si="10"/>
        <v>196.52099999999999</v>
      </c>
      <c r="J38" s="56">
        <v>5</v>
      </c>
      <c r="K38" s="35">
        <v>238.35</v>
      </c>
    </row>
    <row r="39" spans="1:13">
      <c r="A39" s="127" t="s">
        <v>506</v>
      </c>
      <c r="B39" s="56">
        <f t="shared" ref="B39:B44" si="12">+J38</f>
        <v>5</v>
      </c>
      <c r="C39" s="56">
        <v>198</v>
      </c>
      <c r="D39" s="56">
        <v>6.1879999999999997</v>
      </c>
      <c r="E39" s="56">
        <f t="shared" ref="E39:E44" si="13">SUM(B39:D39)</f>
        <v>209.18799999999999</v>
      </c>
      <c r="F39" s="56"/>
      <c r="G39" s="56">
        <f t="shared" si="11"/>
        <v>198.93736201369998</v>
      </c>
      <c r="H39" s="56">
        <v>5.2506379863000001</v>
      </c>
      <c r="I39" s="56">
        <f t="shared" si="10"/>
        <v>204.18799999999999</v>
      </c>
      <c r="J39" s="56">
        <v>5</v>
      </c>
      <c r="K39" s="35">
        <v>320.13</v>
      </c>
    </row>
    <row r="40" spans="1:13">
      <c r="A40" s="127" t="s">
        <v>541</v>
      </c>
      <c r="B40" s="56">
        <f t="shared" si="12"/>
        <v>5</v>
      </c>
      <c r="C40" s="56">
        <v>157</v>
      </c>
      <c r="D40" s="56">
        <v>1.3879999999999999</v>
      </c>
      <c r="E40" s="56">
        <f t="shared" si="13"/>
        <v>163.38800000000001</v>
      </c>
      <c r="F40" s="56"/>
      <c r="G40" s="56">
        <f t="shared" si="11"/>
        <v>152.54033163681299</v>
      </c>
      <c r="H40" s="56">
        <v>5.847668363187001</v>
      </c>
      <c r="I40" s="56">
        <f t="shared" si="10"/>
        <v>158.38800000000001</v>
      </c>
      <c r="J40" s="56">
        <v>5</v>
      </c>
      <c r="K40" s="35">
        <v>359.42</v>
      </c>
    </row>
    <row r="41" spans="1:13">
      <c r="A41" s="127" t="s">
        <v>576</v>
      </c>
      <c r="B41" s="56">
        <f t="shared" si="12"/>
        <v>5</v>
      </c>
      <c r="C41" s="102">
        <v>213</v>
      </c>
      <c r="D41" s="102">
        <v>2.9206110903000009</v>
      </c>
      <c r="E41" s="56">
        <f t="shared" si="13"/>
        <v>220.92061109030001</v>
      </c>
      <c r="F41" s="56"/>
      <c r="G41" s="56">
        <f t="shared" si="11"/>
        <v>211.87772345808301</v>
      </c>
      <c r="H41" s="102">
        <v>4.0428876322169991</v>
      </c>
      <c r="I41" s="56">
        <f>+E41-J41</f>
        <v>215.92061109030001</v>
      </c>
      <c r="J41" s="102">
        <v>5</v>
      </c>
      <c r="K41" s="241">
        <v>263.89999999999998</v>
      </c>
    </row>
    <row r="42" spans="1:13">
      <c r="A42" s="127" t="s">
        <v>575</v>
      </c>
      <c r="B42" s="56">
        <f t="shared" si="12"/>
        <v>5</v>
      </c>
      <c r="C42" s="102">
        <v>193</v>
      </c>
      <c r="D42" s="102">
        <v>7.0109950658999987</v>
      </c>
      <c r="E42" s="56">
        <f t="shared" si="13"/>
        <v>205.0109950659</v>
      </c>
      <c r="F42" s="56"/>
      <c r="G42" s="56">
        <f t="shared" si="11"/>
        <v>196.31284197120101</v>
      </c>
      <c r="H42" s="102">
        <v>3.6981530946990002</v>
      </c>
      <c r="I42" s="56">
        <f>+E42-J42</f>
        <v>200.0109950659</v>
      </c>
      <c r="J42" s="102">
        <v>5</v>
      </c>
      <c r="K42" s="241">
        <v>234.78</v>
      </c>
    </row>
    <row r="43" spans="1:13">
      <c r="A43" s="127" t="s">
        <v>578</v>
      </c>
      <c r="B43" s="56">
        <f t="shared" si="12"/>
        <v>5</v>
      </c>
      <c r="C43" s="102">
        <v>189</v>
      </c>
      <c r="D43" s="102">
        <v>6</v>
      </c>
      <c r="E43" s="56">
        <f t="shared" si="13"/>
        <v>200</v>
      </c>
      <c r="F43" s="56"/>
      <c r="G43" s="56">
        <f t="shared" si="11"/>
        <v>190</v>
      </c>
      <c r="H43" s="102">
        <v>5</v>
      </c>
      <c r="I43" s="56">
        <f>+E43-J43</f>
        <v>195</v>
      </c>
      <c r="J43" s="102">
        <v>5</v>
      </c>
      <c r="K43" s="241">
        <v>313.17</v>
      </c>
    </row>
    <row r="44" spans="1:13">
      <c r="A44" s="150" t="s">
        <v>668</v>
      </c>
      <c r="B44" s="13">
        <f t="shared" si="12"/>
        <v>5</v>
      </c>
      <c r="C44" s="270">
        <v>162</v>
      </c>
      <c r="D44" s="270">
        <v>5</v>
      </c>
      <c r="E44" s="13">
        <f t="shared" si="13"/>
        <v>172</v>
      </c>
      <c r="F44" s="13"/>
      <c r="G44" s="13">
        <f>+I44-H44</f>
        <v>163</v>
      </c>
      <c r="H44" s="270">
        <v>4</v>
      </c>
      <c r="I44" s="13">
        <v>167</v>
      </c>
      <c r="J44" s="270">
        <v>5</v>
      </c>
      <c r="K44" s="361" t="s">
        <v>744</v>
      </c>
    </row>
    <row r="45" spans="1:13" ht="13.25" customHeight="1">
      <c r="A45" s="117" t="s">
        <v>437</v>
      </c>
    </row>
    <row r="46" spans="1:13" ht="13.25" customHeight="1">
      <c r="A46" s="117" t="s">
        <v>494</v>
      </c>
    </row>
    <row r="47" spans="1:13" ht="10.25" customHeight="1">
      <c r="A47" s="117" t="s">
        <v>569</v>
      </c>
      <c r="J47" s="305"/>
      <c r="K47" s="305" t="s">
        <v>679</v>
      </c>
    </row>
    <row r="48" spans="1:13" ht="10.25" customHeight="1">
      <c r="L48" s="176"/>
      <c r="M48" s="176"/>
    </row>
  </sheetData>
  <phoneticPr fontId="0" type="noConversion"/>
  <pageMargins left="0.7" right="0.7" top="0.75" bottom="0.75" header="0.3" footer="0.3"/>
  <pageSetup scale="98" firstPageNumber="57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K47"/>
  <sheetViews>
    <sheetView zoomScaleNormal="100" zoomScaleSheetLayoutView="100" workbookViewId="0"/>
  </sheetViews>
  <sheetFormatPr baseColWidth="10" defaultColWidth="8.75" defaultRowHeight="11"/>
  <cols>
    <col min="1" max="4" width="12.75" customWidth="1"/>
    <col min="5" max="5" width="0.75" customWidth="1"/>
    <col min="6" max="10" width="12.75" customWidth="1"/>
  </cols>
  <sheetData>
    <row r="1" spans="1:10">
      <c r="A1" s="150" t="s">
        <v>715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0" t="s">
        <v>107</v>
      </c>
      <c r="B2" s="3"/>
      <c r="C2" s="314" t="s">
        <v>119</v>
      </c>
      <c r="D2" s="314"/>
      <c r="F2" s="3"/>
      <c r="G2" s="314" t="s">
        <v>117</v>
      </c>
      <c r="H2" s="314"/>
    </row>
    <row r="3" spans="1:10">
      <c r="A3" t="s">
        <v>100</v>
      </c>
      <c r="B3" s="7" t="s">
        <v>141</v>
      </c>
      <c r="H3" s="37"/>
      <c r="I3" s="7" t="s">
        <v>143</v>
      </c>
      <c r="J3" s="9" t="s">
        <v>118</v>
      </c>
    </row>
    <row r="4" spans="1:10">
      <c r="A4" s="1" t="s">
        <v>164</v>
      </c>
      <c r="B4" s="9" t="s">
        <v>110</v>
      </c>
      <c r="C4" s="9" t="s">
        <v>66</v>
      </c>
      <c r="D4" s="9" t="s">
        <v>428</v>
      </c>
      <c r="E4" s="1"/>
      <c r="F4" s="9" t="s">
        <v>142</v>
      </c>
      <c r="G4" s="9" t="s">
        <v>165</v>
      </c>
      <c r="H4" s="9" t="s">
        <v>3</v>
      </c>
      <c r="I4" s="9" t="s">
        <v>110</v>
      </c>
      <c r="J4" s="9" t="s">
        <v>170</v>
      </c>
    </row>
    <row r="5" spans="1:10">
      <c r="C5" s="315"/>
      <c r="D5" s="315"/>
      <c r="E5" s="315"/>
      <c r="F5" s="315" t="s">
        <v>174</v>
      </c>
      <c r="G5" s="315"/>
      <c r="H5" s="315"/>
      <c r="I5" s="315"/>
      <c r="J5" s="7" t="s">
        <v>521</v>
      </c>
    </row>
    <row r="6" spans="1:10">
      <c r="B6" s="171"/>
      <c r="C6" s="171"/>
      <c r="D6" s="171"/>
      <c r="E6" s="171"/>
      <c r="F6" s="171"/>
      <c r="G6" s="171"/>
      <c r="H6" s="171"/>
      <c r="I6" s="171"/>
      <c r="J6" s="7"/>
    </row>
    <row r="7" spans="1:10">
      <c r="A7" s="10" t="s">
        <v>276</v>
      </c>
      <c r="B7" s="12">
        <v>54</v>
      </c>
      <c r="C7" s="12">
        <v>251</v>
      </c>
      <c r="D7" s="56">
        <f>+B7+C7+0</f>
        <v>305</v>
      </c>
      <c r="E7" s="12"/>
      <c r="F7" s="12">
        <f t="shared" ref="F7:F31" si="0">+H7-G7</f>
        <v>187.96199999999999</v>
      </c>
      <c r="G7" s="12">
        <v>60.660000000000011</v>
      </c>
      <c r="H7" s="12">
        <f t="shared" ref="H7:H25" si="1">+D7-I7</f>
        <v>248.62200000000001</v>
      </c>
      <c r="I7" s="12">
        <v>56.378</v>
      </c>
      <c r="J7" s="33">
        <v>30.02</v>
      </c>
    </row>
    <row r="8" spans="1:10">
      <c r="A8" s="10" t="s">
        <v>277</v>
      </c>
      <c r="B8" s="12">
        <f t="shared" ref="B8:B26" si="2">+I7</f>
        <v>56.378</v>
      </c>
      <c r="C8" s="12">
        <v>237</v>
      </c>
      <c r="D8" s="56">
        <f>+B8+C8+0</f>
        <v>293.37799999999999</v>
      </c>
      <c r="E8" s="12"/>
      <c r="F8" s="12">
        <f t="shared" si="0"/>
        <v>189.17799999999997</v>
      </c>
      <c r="G8" s="12">
        <v>53.851999999999997</v>
      </c>
      <c r="H8" s="12">
        <f t="shared" si="1"/>
        <v>243.02999999999997</v>
      </c>
      <c r="I8" s="12">
        <v>50.347999999999999</v>
      </c>
      <c r="J8" s="33">
        <v>30.01</v>
      </c>
    </row>
    <row r="9" spans="1:10">
      <c r="A9" s="10" t="s">
        <v>278</v>
      </c>
      <c r="B9" s="12">
        <f t="shared" si="2"/>
        <v>50.347999999999999</v>
      </c>
      <c r="C9" s="12">
        <v>182</v>
      </c>
      <c r="D9" s="56">
        <f>+B9+C9+0</f>
        <v>232.34800000000001</v>
      </c>
      <c r="E9" s="12"/>
      <c r="F9" s="12">
        <f t="shared" si="0"/>
        <v>176.47900000000001</v>
      </c>
      <c r="G9" s="12">
        <v>20.748999999999999</v>
      </c>
      <c r="H9" s="12">
        <f t="shared" si="1"/>
        <v>197.22800000000001</v>
      </c>
      <c r="I9" s="12">
        <v>35.119999999999997</v>
      </c>
      <c r="J9" s="33">
        <v>25.19</v>
      </c>
    </row>
    <row r="10" spans="1:10">
      <c r="A10" s="10" t="s">
        <v>279</v>
      </c>
      <c r="B10" s="12">
        <f t="shared" si="2"/>
        <v>35.119999999999997</v>
      </c>
      <c r="C10" s="12">
        <v>265</v>
      </c>
      <c r="D10" s="56">
        <f>+B10+C10+0</f>
        <v>300.12</v>
      </c>
      <c r="E10" s="12"/>
      <c r="F10" s="12">
        <f t="shared" si="0"/>
        <v>201.04900000000004</v>
      </c>
      <c r="G10" s="12">
        <v>51.454999999999998</v>
      </c>
      <c r="H10" s="12">
        <f t="shared" si="1"/>
        <v>252.50400000000002</v>
      </c>
      <c r="I10" s="12">
        <v>47.616</v>
      </c>
      <c r="J10" s="33">
        <v>30.12</v>
      </c>
    </row>
    <row r="11" spans="1:10">
      <c r="A11" s="10" t="s">
        <v>280</v>
      </c>
      <c r="B11" s="12">
        <f t="shared" si="2"/>
        <v>47.616</v>
      </c>
      <c r="C11" s="12">
        <v>194</v>
      </c>
      <c r="D11" s="56">
        <f>+B11+C11+0</f>
        <v>241.61599999999999</v>
      </c>
      <c r="E11" s="12"/>
      <c r="F11" s="12">
        <f t="shared" si="0"/>
        <v>192.749</v>
      </c>
      <c r="G11" s="12">
        <v>15.481000000000002</v>
      </c>
      <c r="H11" s="12">
        <f t="shared" si="1"/>
        <v>208.23</v>
      </c>
      <c r="I11" s="12">
        <v>33.386000000000003</v>
      </c>
      <c r="J11" s="33">
        <v>32.6</v>
      </c>
    </row>
    <row r="12" spans="1:10">
      <c r="A12" s="10" t="s">
        <v>281</v>
      </c>
      <c r="B12" s="12">
        <f t="shared" si="2"/>
        <v>33.386000000000003</v>
      </c>
      <c r="C12" s="12">
        <v>205</v>
      </c>
      <c r="D12" s="56">
        <f>+B12+C12+0.51</f>
        <v>238.89599999999999</v>
      </c>
      <c r="E12" s="12"/>
      <c r="F12" s="12">
        <f t="shared" si="0"/>
        <v>184.33299999999997</v>
      </c>
      <c r="G12" s="12">
        <v>14.434999999999997</v>
      </c>
      <c r="H12" s="12">
        <f t="shared" si="1"/>
        <v>198.76799999999997</v>
      </c>
      <c r="I12" s="12">
        <v>40.128</v>
      </c>
      <c r="J12" s="33">
        <v>31.14</v>
      </c>
    </row>
    <row r="13" spans="1:10">
      <c r="A13" s="10" t="s">
        <v>282</v>
      </c>
      <c r="B13" s="12">
        <f t="shared" si="2"/>
        <v>40.128</v>
      </c>
      <c r="C13" s="12">
        <v>201</v>
      </c>
      <c r="D13" s="56">
        <f>+B13+C13+0.34</f>
        <v>241.46799999999999</v>
      </c>
      <c r="E13" s="12"/>
      <c r="F13" s="12">
        <f t="shared" si="0"/>
        <v>183.98699999999999</v>
      </c>
      <c r="G13" s="12">
        <v>6.3860000000000001</v>
      </c>
      <c r="H13" s="12">
        <f t="shared" si="1"/>
        <v>190.37299999999999</v>
      </c>
      <c r="I13" s="12">
        <v>51.094999999999999</v>
      </c>
      <c r="J13" s="33">
        <v>26.34</v>
      </c>
    </row>
    <row r="14" spans="1:10">
      <c r="A14" s="10" t="s">
        <v>283</v>
      </c>
      <c r="B14" s="12">
        <f t="shared" si="2"/>
        <v>51.094999999999999</v>
      </c>
      <c r="C14" s="12">
        <v>217</v>
      </c>
      <c r="D14" s="56">
        <f>+B14+C14+0.56</f>
        <v>268.65500000000003</v>
      </c>
      <c r="E14" s="12"/>
      <c r="F14" s="12">
        <f t="shared" si="0"/>
        <v>219.82600000000002</v>
      </c>
      <c r="G14" s="12">
        <v>8.0290000000000017</v>
      </c>
      <c r="H14" s="12">
        <f t="shared" si="1"/>
        <v>227.85500000000002</v>
      </c>
      <c r="I14" s="12">
        <v>40.799999999999997</v>
      </c>
      <c r="J14" s="33">
        <v>24.71</v>
      </c>
    </row>
    <row r="15" spans="1:10">
      <c r="A15" s="10" t="s">
        <v>284</v>
      </c>
      <c r="B15" s="12">
        <f t="shared" si="2"/>
        <v>40.799999999999997</v>
      </c>
      <c r="C15" s="12">
        <v>170</v>
      </c>
      <c r="D15" s="56">
        <f>+B15+C15+0.09</f>
        <v>210.89000000000001</v>
      </c>
      <c r="E15" s="12"/>
      <c r="F15" s="12">
        <f t="shared" si="0"/>
        <v>151.24023751945001</v>
      </c>
      <c r="G15" s="12">
        <v>12.149762480550001</v>
      </c>
      <c r="H15" s="12">
        <f t="shared" si="1"/>
        <v>163.39000000000001</v>
      </c>
      <c r="I15" s="12">
        <v>47.5</v>
      </c>
      <c r="J15" s="33">
        <v>39.380000000000003</v>
      </c>
    </row>
    <row r="16" spans="1:10">
      <c r="A16" s="10" t="s">
        <v>9</v>
      </c>
      <c r="B16" s="12">
        <f t="shared" si="2"/>
        <v>47.5</v>
      </c>
      <c r="C16" s="12">
        <v>165</v>
      </c>
      <c r="D16" s="56">
        <f>+B16+C16+0.01</f>
        <v>212.51</v>
      </c>
      <c r="E16" s="12"/>
      <c r="F16" s="12">
        <f t="shared" si="0"/>
        <v>164.18497032312598</v>
      </c>
      <c r="G16" s="12">
        <v>11.525029676874</v>
      </c>
      <c r="H16" s="12">
        <f t="shared" si="1"/>
        <v>175.70999999999998</v>
      </c>
      <c r="I16" s="12">
        <v>36.799999999999997</v>
      </c>
      <c r="J16" s="33">
        <v>40.200000000000003</v>
      </c>
    </row>
    <row r="17" spans="1:10">
      <c r="A17" s="10" t="s">
        <v>10</v>
      </c>
      <c r="B17" s="12">
        <f t="shared" si="2"/>
        <v>36.799999999999997</v>
      </c>
      <c r="C17" s="12">
        <v>172</v>
      </c>
      <c r="D17" s="56">
        <f>+B17+C17+0.21</f>
        <v>209.01000000000002</v>
      </c>
      <c r="E17" s="12"/>
      <c r="F17" s="12">
        <f t="shared" si="0"/>
        <v>162.55617412484602</v>
      </c>
      <c r="G17" s="12">
        <v>6.453825875154001</v>
      </c>
      <c r="H17" s="12">
        <f t="shared" si="1"/>
        <v>169.01000000000002</v>
      </c>
      <c r="I17" s="12">
        <v>40</v>
      </c>
      <c r="J17" s="33">
        <v>38.04</v>
      </c>
    </row>
    <row r="18" spans="1:10">
      <c r="A18" s="10" t="s">
        <v>11</v>
      </c>
      <c r="B18" s="12">
        <f t="shared" si="2"/>
        <v>40</v>
      </c>
      <c r="C18" s="12">
        <v>176</v>
      </c>
      <c r="D18" s="56">
        <f>+B18+C18+0.77</f>
        <v>216.77</v>
      </c>
      <c r="E18" s="12"/>
      <c r="F18" s="12">
        <f t="shared" si="0"/>
        <v>146.46992939767603</v>
      </c>
      <c r="G18" s="12">
        <v>12.000070602324001</v>
      </c>
      <c r="H18" s="12">
        <f t="shared" si="1"/>
        <v>158.47000000000003</v>
      </c>
      <c r="I18" s="12">
        <v>58.3</v>
      </c>
      <c r="J18" s="33">
        <v>32</v>
      </c>
    </row>
    <row r="19" spans="1:10">
      <c r="A19" s="10" t="s">
        <v>12</v>
      </c>
      <c r="B19" s="12">
        <f t="shared" si="2"/>
        <v>58.3</v>
      </c>
      <c r="C19" s="12">
        <v>168</v>
      </c>
      <c r="D19" s="56">
        <f>+B19+C19+0.08</f>
        <v>226.38000000000002</v>
      </c>
      <c r="E19" s="12"/>
      <c r="F19" s="12">
        <f t="shared" si="0"/>
        <v>163.87902055903601</v>
      </c>
      <c r="G19" s="12">
        <v>8.3009794409639994</v>
      </c>
      <c r="H19" s="12">
        <f t="shared" si="1"/>
        <v>172.18</v>
      </c>
      <c r="I19" s="12">
        <v>54.2</v>
      </c>
      <c r="J19" s="33">
        <v>31.5</v>
      </c>
    </row>
    <row r="20" spans="1:10">
      <c r="A20" s="10" t="s">
        <v>13</v>
      </c>
      <c r="B20" s="12">
        <f t="shared" si="2"/>
        <v>54.2</v>
      </c>
      <c r="C20" s="12">
        <v>169</v>
      </c>
      <c r="D20" s="56">
        <f>+B20+C20+0.62</f>
        <v>223.82</v>
      </c>
      <c r="E20" s="12"/>
      <c r="F20" s="12">
        <f t="shared" si="0"/>
        <v>154.381906305624</v>
      </c>
      <c r="G20" s="12">
        <v>6.8380936943760009</v>
      </c>
      <c r="H20" s="12">
        <f t="shared" si="1"/>
        <v>161.22</v>
      </c>
      <c r="I20" s="12">
        <v>62.6</v>
      </c>
      <c r="J20" s="33">
        <v>31.78</v>
      </c>
    </row>
    <row r="21" spans="1:10">
      <c r="A21" s="10" t="s">
        <v>14</v>
      </c>
      <c r="B21" s="12">
        <f t="shared" si="2"/>
        <v>62.6</v>
      </c>
      <c r="C21" s="12">
        <v>167</v>
      </c>
      <c r="D21" s="56">
        <f>+B21+C21+2.71</f>
        <v>232.31</v>
      </c>
      <c r="E21" s="12"/>
      <c r="F21" s="12">
        <f t="shared" si="0"/>
        <v>163.74454576719802</v>
      </c>
      <c r="G21" s="12">
        <v>23.865454232802001</v>
      </c>
      <c r="H21" s="12">
        <f t="shared" si="1"/>
        <v>187.61</v>
      </c>
      <c r="I21" s="12">
        <v>44.7</v>
      </c>
      <c r="J21" s="33">
        <v>33.729999999999997</v>
      </c>
    </row>
    <row r="22" spans="1:10">
      <c r="A22" s="10" t="s">
        <v>15</v>
      </c>
      <c r="B22" s="12">
        <f t="shared" si="2"/>
        <v>44.7</v>
      </c>
      <c r="C22" s="12">
        <v>176</v>
      </c>
      <c r="D22" s="56">
        <f>+B22+C22+3.64</f>
        <v>224.33999999999997</v>
      </c>
      <c r="E22" s="12"/>
      <c r="F22" s="12">
        <f t="shared" si="0"/>
        <v>150.92542402282999</v>
      </c>
      <c r="G22" s="12">
        <v>26.21457597717</v>
      </c>
      <c r="H22" s="12">
        <f t="shared" si="1"/>
        <v>177.14</v>
      </c>
      <c r="I22" s="12">
        <v>47.2</v>
      </c>
      <c r="J22" s="33">
        <v>36.54</v>
      </c>
    </row>
    <row r="23" spans="1:10">
      <c r="A23" s="10" t="s">
        <v>16</v>
      </c>
      <c r="B23" s="12">
        <f t="shared" si="2"/>
        <v>47.2</v>
      </c>
      <c r="C23" s="12">
        <v>195</v>
      </c>
      <c r="D23" s="56">
        <f>+B23+C23+6.5</f>
        <v>248.7</v>
      </c>
      <c r="E23" s="12"/>
      <c r="F23" s="12">
        <f t="shared" si="0"/>
        <v>137.298863218956</v>
      </c>
      <c r="G23" s="12">
        <v>65.801136781044008</v>
      </c>
      <c r="H23" s="12">
        <f t="shared" si="1"/>
        <v>203.1</v>
      </c>
      <c r="I23" s="12">
        <v>45.6</v>
      </c>
      <c r="J23" s="33">
        <v>35.97</v>
      </c>
    </row>
    <row r="24" spans="1:10">
      <c r="A24" s="10" t="s">
        <v>17</v>
      </c>
      <c r="B24" s="12">
        <f t="shared" si="2"/>
        <v>45.6</v>
      </c>
      <c r="C24" s="12">
        <v>205</v>
      </c>
      <c r="D24" s="56">
        <f>+B24+C24+6.6</f>
        <v>257.2</v>
      </c>
      <c r="E24" s="12"/>
      <c r="F24" s="12">
        <f t="shared" si="0"/>
        <v>149.87220551671399</v>
      </c>
      <c r="G24" s="12">
        <v>57.927794483285993</v>
      </c>
      <c r="H24" s="12">
        <f t="shared" si="1"/>
        <v>207.79999999999998</v>
      </c>
      <c r="I24" s="12">
        <v>49.4</v>
      </c>
      <c r="J24" s="33">
        <v>36.33</v>
      </c>
    </row>
    <row r="25" spans="1:10">
      <c r="A25" s="10" t="s">
        <v>18</v>
      </c>
      <c r="B25" s="12">
        <f t="shared" si="2"/>
        <v>49.4</v>
      </c>
      <c r="C25" s="12">
        <v>207</v>
      </c>
      <c r="D25" s="56">
        <f>+B25+C25+12.33</f>
        <v>268.72999999999996</v>
      </c>
      <c r="E25" s="12"/>
      <c r="F25" s="12">
        <f t="shared" si="0"/>
        <v>129.36613346796798</v>
      </c>
      <c r="G25" s="12">
        <v>63.163866532031996</v>
      </c>
      <c r="H25" s="12">
        <f t="shared" si="1"/>
        <v>192.52999999999997</v>
      </c>
      <c r="I25" s="12">
        <v>76.2</v>
      </c>
      <c r="J25" s="33">
        <v>36.42</v>
      </c>
    </row>
    <row r="26" spans="1:10">
      <c r="A26" s="10" t="s">
        <v>19</v>
      </c>
      <c r="B26" s="12">
        <f t="shared" si="2"/>
        <v>76.2</v>
      </c>
      <c r="C26" s="12">
        <v>224</v>
      </c>
      <c r="D26" s="56">
        <f>+B26+C26+13.01</f>
        <v>313.20999999999998</v>
      </c>
      <c r="E26" s="12"/>
      <c r="F26" s="12">
        <f t="shared" si="0"/>
        <v>194.78438360887594</v>
      </c>
      <c r="G26" s="12">
        <v>74.325616391124001</v>
      </c>
      <c r="H26" s="12">
        <f t="shared" ref="H26:H31" si="3">+D26-I26</f>
        <v>269.10999999999996</v>
      </c>
      <c r="I26" s="12">
        <v>44.1</v>
      </c>
      <c r="J26" s="33">
        <v>35.83</v>
      </c>
    </row>
    <row r="27" spans="1:10">
      <c r="A27" s="71" t="s">
        <v>392</v>
      </c>
      <c r="B27" s="56">
        <v>49</v>
      </c>
      <c r="C27" s="56">
        <v>234</v>
      </c>
      <c r="D27" s="56">
        <f>+B27+C27+12.49</f>
        <v>295.49</v>
      </c>
      <c r="E27" s="56"/>
      <c r="F27" s="56">
        <f t="shared" si="0"/>
        <v>177.55969383262203</v>
      </c>
      <c r="G27" s="56">
        <v>73.030306167377987</v>
      </c>
      <c r="H27" s="56">
        <f t="shared" si="3"/>
        <v>250.59</v>
      </c>
      <c r="I27" s="56">
        <v>44.9</v>
      </c>
      <c r="J27" s="33">
        <v>36</v>
      </c>
    </row>
    <row r="28" spans="1:10">
      <c r="A28" s="71" t="s">
        <v>396</v>
      </c>
      <c r="B28" s="56">
        <f t="shared" ref="B28:B33" si="4">+I27</f>
        <v>44.9</v>
      </c>
      <c r="C28" s="56">
        <v>195</v>
      </c>
      <c r="D28" s="56">
        <f>+B28+C28+10.59</f>
        <v>250.49</v>
      </c>
      <c r="E28" s="56"/>
      <c r="F28" s="56">
        <f t="shared" si="0"/>
        <v>168.90411507277659</v>
      </c>
      <c r="G28" s="56">
        <v>50.485884927223417</v>
      </c>
      <c r="H28" s="56">
        <f t="shared" si="3"/>
        <v>219.39000000000001</v>
      </c>
      <c r="I28" s="56">
        <v>31.1</v>
      </c>
      <c r="J28" s="33">
        <v>38.1</v>
      </c>
    </row>
    <row r="29" spans="1:10">
      <c r="A29" s="71" t="s">
        <v>409</v>
      </c>
      <c r="B29" s="56">
        <f t="shared" si="4"/>
        <v>31.1</v>
      </c>
      <c r="C29" s="56">
        <v>205</v>
      </c>
      <c r="D29" s="56">
        <f>+B29+C29+12.98</f>
        <v>249.07999999999998</v>
      </c>
      <c r="E29" s="56"/>
      <c r="F29" s="56">
        <f t="shared" si="0"/>
        <v>145.287366944768</v>
      </c>
      <c r="G29" s="56">
        <v>70.054633055232003</v>
      </c>
      <c r="H29" s="56">
        <f t="shared" si="3"/>
        <v>215.34199999999998</v>
      </c>
      <c r="I29" s="56">
        <v>33.738</v>
      </c>
      <c r="J29" s="33">
        <v>39.86</v>
      </c>
    </row>
    <row r="30" spans="1:10">
      <c r="A30" s="71" t="s">
        <v>420</v>
      </c>
      <c r="B30" s="56">
        <f t="shared" si="4"/>
        <v>33.738</v>
      </c>
      <c r="C30" s="56">
        <v>220</v>
      </c>
      <c r="D30" s="56">
        <f>+B30+C30+14.45</f>
        <v>268.18799999999999</v>
      </c>
      <c r="E30" s="56"/>
      <c r="F30" s="56">
        <f t="shared" si="0"/>
        <v>172.11826930714801</v>
      </c>
      <c r="G30" s="56">
        <v>76.224730692851992</v>
      </c>
      <c r="H30" s="56">
        <f t="shared" si="3"/>
        <v>248.34299999999999</v>
      </c>
      <c r="I30" s="56">
        <v>19.844999999999999</v>
      </c>
      <c r="J30" s="33">
        <v>42</v>
      </c>
    </row>
    <row r="31" spans="1:10">
      <c r="A31" s="71" t="s">
        <v>422</v>
      </c>
      <c r="B31" s="56">
        <f t="shared" si="4"/>
        <v>19.844999999999999</v>
      </c>
      <c r="C31" s="56">
        <v>265</v>
      </c>
      <c r="D31" s="56">
        <f>+B31+C31+16.02</f>
        <v>300.86500000000001</v>
      </c>
      <c r="E31" s="56"/>
      <c r="F31" s="56">
        <f t="shared" si="0"/>
        <v>148.85250052119198</v>
      </c>
      <c r="G31" s="56">
        <v>106.87249947880802</v>
      </c>
      <c r="H31" s="56">
        <f t="shared" si="3"/>
        <v>255.72500000000002</v>
      </c>
      <c r="I31" s="56">
        <v>45.14</v>
      </c>
      <c r="J31" s="33">
        <v>59.49</v>
      </c>
    </row>
    <row r="32" spans="1:10">
      <c r="A32" s="71" t="s">
        <v>448</v>
      </c>
      <c r="B32" s="56">
        <f t="shared" si="4"/>
        <v>45.14</v>
      </c>
      <c r="C32" s="56">
        <v>320</v>
      </c>
      <c r="D32" s="56">
        <f>+B32+C32+10.04</f>
        <v>375.18</v>
      </c>
      <c r="E32" s="56"/>
      <c r="F32" s="56">
        <f t="shared" ref="F32:F37" si="5">+H32-G32</f>
        <v>247.76390305783195</v>
      </c>
      <c r="G32" s="56">
        <v>98.316096942168016</v>
      </c>
      <c r="H32" s="56">
        <f t="shared" ref="H32:H37" si="6">+D32-I32</f>
        <v>346.08</v>
      </c>
      <c r="I32" s="56">
        <v>29.1</v>
      </c>
      <c r="J32" s="33">
        <v>53.99</v>
      </c>
    </row>
    <row r="33" spans="1:11">
      <c r="A33" s="71" t="s">
        <v>463</v>
      </c>
      <c r="B33" s="56">
        <f t="shared" si="4"/>
        <v>29.1</v>
      </c>
      <c r="C33" s="56">
        <v>291</v>
      </c>
      <c r="D33" s="56">
        <f>+B33+C33+8.34</f>
        <v>328.44</v>
      </c>
      <c r="E33" s="56"/>
      <c r="F33" s="56">
        <f t="shared" si="5"/>
        <v>201.90526859286797</v>
      </c>
      <c r="G33" s="56">
        <v>75.734731407132003</v>
      </c>
      <c r="H33" s="56">
        <f t="shared" si="6"/>
        <v>277.64</v>
      </c>
      <c r="I33" s="56">
        <v>50.8</v>
      </c>
      <c r="J33" s="33">
        <v>44.37</v>
      </c>
    </row>
    <row r="34" spans="1:11">
      <c r="A34" s="71" t="s">
        <v>470</v>
      </c>
      <c r="B34" s="56">
        <f t="shared" ref="B34:B39" si="7">+I33</f>
        <v>50.8</v>
      </c>
      <c r="C34" s="56">
        <v>228</v>
      </c>
      <c r="D34" s="56">
        <f>+B34+C34+12.23</f>
        <v>291.03000000000003</v>
      </c>
      <c r="E34" s="56"/>
      <c r="F34" s="56">
        <f t="shared" si="5"/>
        <v>190.85580158484802</v>
      </c>
      <c r="G34" s="56">
        <v>73.953198415152002</v>
      </c>
      <c r="H34" s="56">
        <f t="shared" si="6"/>
        <v>264.80900000000003</v>
      </c>
      <c r="I34" s="56">
        <v>26.221</v>
      </c>
      <c r="J34" s="33">
        <v>70.31</v>
      </c>
    </row>
    <row r="35" spans="1:11">
      <c r="A35" s="71" t="s">
        <v>477</v>
      </c>
      <c r="B35" s="56">
        <f t="shared" si="7"/>
        <v>26.221</v>
      </c>
      <c r="C35" s="56">
        <v>159</v>
      </c>
      <c r="D35" s="56">
        <f>+B35+C35+5.683</f>
        <v>190.904</v>
      </c>
      <c r="E35" s="56"/>
      <c r="F35" s="56">
        <f t="shared" si="5"/>
        <v>52.345764610559996</v>
      </c>
      <c r="G35" s="56">
        <v>66.05823538944</v>
      </c>
      <c r="H35" s="56">
        <f t="shared" si="6"/>
        <v>118.404</v>
      </c>
      <c r="I35" s="56">
        <v>72.5</v>
      </c>
      <c r="J35" s="33">
        <v>86.52</v>
      </c>
    </row>
    <row r="36" spans="1:11">
      <c r="A36" s="127" t="s">
        <v>483</v>
      </c>
      <c r="B36" s="56">
        <f t="shared" si="7"/>
        <v>72.5</v>
      </c>
      <c r="C36" s="56">
        <v>234</v>
      </c>
      <c r="D36" s="56">
        <f>+B36+C36+5.418</f>
        <v>311.91800000000001</v>
      </c>
      <c r="E36" s="56"/>
      <c r="F36" s="56">
        <f t="shared" si="5"/>
        <v>171.74327184133602</v>
      </c>
      <c r="G36" s="56">
        <v>103.210728158664</v>
      </c>
      <c r="H36" s="56">
        <f t="shared" si="6"/>
        <v>274.95400000000001</v>
      </c>
      <c r="I36" s="56">
        <v>36.963999999999999</v>
      </c>
      <c r="J36" s="33">
        <v>67.489999999999995</v>
      </c>
    </row>
    <row r="37" spans="1:11">
      <c r="A37" s="127" t="s">
        <v>487</v>
      </c>
      <c r="B37" s="56">
        <f t="shared" si="7"/>
        <v>36.963999999999999</v>
      </c>
      <c r="C37" s="56">
        <v>227</v>
      </c>
      <c r="D37" s="56">
        <f>+B37+C37+6.067</f>
        <v>270.03100000000001</v>
      </c>
      <c r="E37" s="56"/>
      <c r="F37" s="56">
        <f t="shared" si="5"/>
        <v>130.66277720502001</v>
      </c>
      <c r="G37" s="56">
        <v>101.18022279498001</v>
      </c>
      <c r="H37" s="56">
        <f t="shared" si="6"/>
        <v>231.84300000000002</v>
      </c>
      <c r="I37" s="56">
        <v>38.188000000000002</v>
      </c>
      <c r="J37" s="362" t="s">
        <v>469</v>
      </c>
    </row>
    <row r="38" spans="1:11">
      <c r="A38" s="127" t="s">
        <v>493</v>
      </c>
      <c r="B38" s="56">
        <f t="shared" si="7"/>
        <v>38.188000000000002</v>
      </c>
      <c r="C38" s="56">
        <v>205</v>
      </c>
      <c r="D38" s="56">
        <f>+B38+C38+5.033</f>
        <v>248.22099999999998</v>
      </c>
      <c r="E38" s="56"/>
      <c r="F38" s="56">
        <f t="shared" ref="F38:F43" si="8">+H38-G38</f>
        <v>124.04899388563398</v>
      </c>
      <c r="G38" s="56">
        <v>89.172006114365999</v>
      </c>
      <c r="H38" s="56">
        <f t="shared" ref="H38:H43" si="9">+D38-I38</f>
        <v>213.22099999999998</v>
      </c>
      <c r="I38" s="56">
        <v>35</v>
      </c>
      <c r="J38" s="362" t="s">
        <v>469</v>
      </c>
    </row>
    <row r="39" spans="1:11">
      <c r="A39" s="127" t="s">
        <v>506</v>
      </c>
      <c r="B39" s="56">
        <f t="shared" si="7"/>
        <v>35</v>
      </c>
      <c r="C39" s="56">
        <v>215</v>
      </c>
      <c r="D39" s="56">
        <f>+B39+C39+5.319</f>
        <v>255.31899999999999</v>
      </c>
      <c r="E39" s="56"/>
      <c r="F39" s="56">
        <f t="shared" si="8"/>
        <v>126.21261333447798</v>
      </c>
      <c r="G39" s="56">
        <v>94.10638666552201</v>
      </c>
      <c r="H39" s="56">
        <f t="shared" si="9"/>
        <v>220.31899999999999</v>
      </c>
      <c r="I39" s="56">
        <v>35</v>
      </c>
      <c r="J39" s="362" t="s">
        <v>469</v>
      </c>
    </row>
    <row r="40" spans="1:11">
      <c r="A40" s="127" t="s">
        <v>541</v>
      </c>
      <c r="B40" s="56">
        <f>+I39</f>
        <v>35</v>
      </c>
      <c r="C40" s="56">
        <v>170</v>
      </c>
      <c r="D40" s="56">
        <f>+B40+C40+4.785</f>
        <v>209.785</v>
      </c>
      <c r="E40" s="56"/>
      <c r="F40" s="56">
        <f t="shared" si="8"/>
        <v>116.51501511298399</v>
      </c>
      <c r="G40" s="56">
        <v>58.269984887016008</v>
      </c>
      <c r="H40" s="56">
        <f t="shared" si="9"/>
        <v>174.785</v>
      </c>
      <c r="I40" s="56">
        <v>35</v>
      </c>
      <c r="J40" s="362" t="s">
        <v>469</v>
      </c>
    </row>
    <row r="41" spans="1:11">
      <c r="A41" s="127" t="s">
        <v>572</v>
      </c>
      <c r="B41" s="56">
        <f>+I40</f>
        <v>35</v>
      </c>
      <c r="C41" s="102">
        <v>231</v>
      </c>
      <c r="D41" s="102">
        <f>+B41+C41+4.298</f>
        <v>270.298</v>
      </c>
      <c r="E41" s="56"/>
      <c r="F41" s="56">
        <f t="shared" si="8"/>
        <v>183.34553141450002</v>
      </c>
      <c r="G41" s="102">
        <v>51.952468585499993</v>
      </c>
      <c r="H41" s="56">
        <f t="shared" si="9"/>
        <v>235.298</v>
      </c>
      <c r="I41" s="102">
        <v>35</v>
      </c>
      <c r="J41" s="362" t="s">
        <v>469</v>
      </c>
    </row>
    <row r="42" spans="1:11">
      <c r="A42" s="127" t="s">
        <v>585</v>
      </c>
      <c r="B42" s="56">
        <f>+I41</f>
        <v>35</v>
      </c>
      <c r="C42" s="102">
        <v>209</v>
      </c>
      <c r="D42" s="102">
        <f>+B42+C42+4.087</f>
        <v>248.08699999999999</v>
      </c>
      <c r="E42" s="56"/>
      <c r="F42" s="56">
        <f t="shared" si="8"/>
        <v>195.895514172162</v>
      </c>
      <c r="G42" s="102">
        <v>17.191485827837997</v>
      </c>
      <c r="H42" s="56">
        <f t="shared" si="9"/>
        <v>213.08699999999999</v>
      </c>
      <c r="I42" s="102">
        <v>35</v>
      </c>
      <c r="J42" s="362" t="s">
        <v>469</v>
      </c>
    </row>
    <row r="43" spans="1:11">
      <c r="A43" s="127" t="s">
        <v>669</v>
      </c>
      <c r="B43" s="56">
        <f>+I42</f>
        <v>35</v>
      </c>
      <c r="C43" s="102">
        <v>205</v>
      </c>
      <c r="D43" s="102">
        <f>+B43+C43+4</f>
        <v>244</v>
      </c>
      <c r="E43" s="56"/>
      <c r="F43" s="56">
        <f t="shared" si="8"/>
        <v>194</v>
      </c>
      <c r="G43" s="102">
        <v>15</v>
      </c>
      <c r="H43" s="56">
        <f t="shared" si="9"/>
        <v>209</v>
      </c>
      <c r="I43" s="102">
        <v>35</v>
      </c>
      <c r="J43" s="362" t="s">
        <v>469</v>
      </c>
    </row>
    <row r="44" spans="1:11">
      <c r="A44" s="150" t="s">
        <v>667</v>
      </c>
      <c r="B44" s="13">
        <f>+I43</f>
        <v>35</v>
      </c>
      <c r="C44" s="270">
        <v>176</v>
      </c>
      <c r="D44" s="270">
        <f>+B44+C44+5</f>
        <v>216</v>
      </c>
      <c r="E44" s="13"/>
      <c r="F44" s="13">
        <v>163</v>
      </c>
      <c r="G44" s="270">
        <v>18</v>
      </c>
      <c r="H44" s="13">
        <v>181</v>
      </c>
      <c r="I44" s="270">
        <v>35</v>
      </c>
      <c r="J44" s="363" t="s">
        <v>469</v>
      </c>
    </row>
    <row r="45" spans="1:11" ht="13.25" customHeight="1">
      <c r="A45" s="117" t="s">
        <v>568</v>
      </c>
    </row>
    <row r="46" spans="1:11" ht="13.25" customHeight="1">
      <c r="A46" s="117" t="s">
        <v>495</v>
      </c>
    </row>
    <row r="47" spans="1:11" ht="10.25" customHeight="1">
      <c r="J47" s="313" t="s">
        <v>679</v>
      </c>
      <c r="K47" s="322"/>
    </row>
  </sheetData>
  <phoneticPr fontId="0" type="noConversion"/>
  <pageMargins left="0.7" right="0.7" top="0.75" bottom="0.75" header="0.3" footer="0.3"/>
  <pageSetup scale="98" firstPageNumber="5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T81"/>
  <sheetViews>
    <sheetView zoomScaleNormal="100" zoomScaleSheetLayoutView="100"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A78" sqref="A78"/>
    </sheetView>
  </sheetViews>
  <sheetFormatPr baseColWidth="10" defaultColWidth="8.75" defaultRowHeight="11"/>
  <cols>
    <col min="1" max="1" width="22.75" customWidth="1"/>
    <col min="2" max="15" width="7.75" customWidth="1"/>
  </cols>
  <sheetData>
    <row r="1" spans="1:15">
      <c r="A1" s="126" t="s">
        <v>676</v>
      </c>
      <c r="B1" s="1"/>
      <c r="C1" s="1"/>
      <c r="D1" s="1"/>
      <c r="E1" s="1"/>
      <c r="F1" s="1"/>
      <c r="G1" s="1"/>
      <c r="H1" s="1"/>
      <c r="I1" s="1" t="s">
        <v>61</v>
      </c>
      <c r="J1" s="1"/>
      <c r="K1" s="1"/>
      <c r="L1" s="1"/>
      <c r="M1" s="1"/>
      <c r="N1" s="1"/>
      <c r="O1" s="1"/>
    </row>
    <row r="2" spans="1:15">
      <c r="A2" s="3" t="s">
        <v>73</v>
      </c>
      <c r="B2" s="51">
        <v>2004</v>
      </c>
      <c r="C2" s="51">
        <v>2005</v>
      </c>
      <c r="D2" s="51">
        <v>2006</v>
      </c>
      <c r="E2" s="51">
        <v>2007</v>
      </c>
      <c r="F2" s="9">
        <v>2008</v>
      </c>
      <c r="G2" s="9">
        <v>2009</v>
      </c>
      <c r="H2" s="9">
        <v>2010</v>
      </c>
      <c r="I2" s="9">
        <v>2011</v>
      </c>
      <c r="J2" s="9">
        <v>2012</v>
      </c>
      <c r="K2" s="9">
        <v>2013</v>
      </c>
      <c r="L2" s="9">
        <v>2014</v>
      </c>
      <c r="M2" s="9">
        <v>2015</v>
      </c>
      <c r="N2" s="9">
        <v>2016</v>
      </c>
      <c r="O2" s="130" t="s">
        <v>680</v>
      </c>
    </row>
    <row r="3" spans="1:15">
      <c r="B3" s="312"/>
      <c r="C3" s="312"/>
      <c r="D3" s="312"/>
      <c r="E3" s="312"/>
      <c r="F3" s="312"/>
      <c r="G3" s="312"/>
      <c r="H3" s="312" t="s">
        <v>91</v>
      </c>
      <c r="I3" s="312"/>
      <c r="J3" s="312"/>
      <c r="K3" s="312"/>
      <c r="L3" s="312"/>
      <c r="M3" s="312"/>
    </row>
    <row r="4" spans="1:15" ht="10.25" customHeight="1">
      <c r="A4" t="s">
        <v>76</v>
      </c>
      <c r="E4" s="15"/>
    </row>
    <row r="5" spans="1:15" ht="10.25" customHeight="1">
      <c r="A5" t="s">
        <v>77</v>
      </c>
      <c r="B5" s="15">
        <v>131.161</v>
      </c>
      <c r="C5" s="15">
        <v>242.12200000000001</v>
      </c>
      <c r="D5" s="15">
        <v>222.251</v>
      </c>
      <c r="E5" s="15">
        <v>128.428</v>
      </c>
      <c r="F5" s="15">
        <v>185.96899999999999</v>
      </c>
      <c r="G5" s="15">
        <v>165</v>
      </c>
      <c r="H5" s="15">
        <v>165.34665000000001</v>
      </c>
      <c r="I5" s="15">
        <v>165.34665000000001</v>
      </c>
      <c r="J5" s="15">
        <v>165.34665000000001</v>
      </c>
      <c r="K5" s="15">
        <v>165.34665000000001</v>
      </c>
      <c r="L5" s="253">
        <v>165.34665000000001</v>
      </c>
      <c r="M5" s="253">
        <v>133.905</v>
      </c>
      <c r="N5" s="253">
        <v>62.790999999999997</v>
      </c>
      <c r="O5" s="253">
        <v>51.331000000000003</v>
      </c>
    </row>
    <row r="6" spans="1:15" ht="10.25" customHeight="1">
      <c r="A6" t="s">
        <v>78</v>
      </c>
      <c r="B6" s="15">
        <v>152.87799999999999</v>
      </c>
      <c r="C6" s="15">
        <v>155.54599999999999</v>
      </c>
      <c r="D6" s="15">
        <v>199.88499999999999</v>
      </c>
      <c r="E6" s="15">
        <v>178.65700000000001</v>
      </c>
      <c r="F6" s="15">
        <v>205.36099999999999</v>
      </c>
      <c r="G6" s="15">
        <v>285.8</v>
      </c>
      <c r="H6" s="15">
        <v>138.82400000000001</v>
      </c>
      <c r="I6" s="15">
        <v>240</v>
      </c>
      <c r="J6" s="15">
        <v>165</v>
      </c>
      <c r="K6" s="15">
        <v>165</v>
      </c>
      <c r="L6" s="253">
        <v>165</v>
      </c>
      <c r="M6" s="253">
        <v>165</v>
      </c>
      <c r="N6" s="253">
        <v>165</v>
      </c>
      <c r="O6" s="253">
        <v>127.15</v>
      </c>
    </row>
    <row r="7" spans="1:15" ht="10.25" customHeight="1">
      <c r="A7" t="s">
        <v>79</v>
      </c>
      <c r="B7" s="15">
        <v>109.035</v>
      </c>
      <c r="C7" s="15">
        <v>76.353999999999999</v>
      </c>
      <c r="D7" s="15">
        <v>101.137</v>
      </c>
      <c r="E7" s="15">
        <v>99.427000000000007</v>
      </c>
      <c r="F7" s="15">
        <v>146.60499999999999</v>
      </c>
      <c r="G7" s="15">
        <v>121.1</v>
      </c>
      <c r="H7" s="15">
        <v>92.539000000000001</v>
      </c>
      <c r="I7" s="15">
        <v>165</v>
      </c>
      <c r="J7" s="15">
        <v>100</v>
      </c>
      <c r="K7" s="15">
        <v>115</v>
      </c>
      <c r="L7" s="253">
        <v>90</v>
      </c>
      <c r="M7" s="253">
        <v>58</v>
      </c>
      <c r="N7" s="253">
        <v>41.546999999999997</v>
      </c>
      <c r="O7" s="253">
        <v>44.128999999999998</v>
      </c>
    </row>
    <row r="8" spans="1:15" ht="10.25" customHeight="1">
      <c r="A8" t="s">
        <v>80</v>
      </c>
      <c r="B8" s="15">
        <v>11.36</v>
      </c>
      <c r="C8" s="15">
        <v>12.827</v>
      </c>
      <c r="D8" s="15">
        <v>11.41</v>
      </c>
      <c r="E8" s="15">
        <v>9.3859999999999992</v>
      </c>
      <c r="F8" s="15">
        <v>17.876000000000001</v>
      </c>
      <c r="G8" s="15">
        <v>30.3</v>
      </c>
      <c r="H8" s="15">
        <v>21.734999999999999</v>
      </c>
      <c r="I8" s="15">
        <v>25</v>
      </c>
      <c r="J8" s="15">
        <v>20</v>
      </c>
      <c r="K8" s="15">
        <v>20</v>
      </c>
      <c r="L8" s="253">
        <v>20</v>
      </c>
      <c r="M8" s="253">
        <v>6.4359999999999999</v>
      </c>
      <c r="N8" s="253">
        <v>9.1440000000000001</v>
      </c>
      <c r="O8" s="253">
        <v>5.4009999999999998</v>
      </c>
    </row>
    <row r="9" spans="1:15" ht="10.25" customHeight="1">
      <c r="A9" t="s">
        <v>81</v>
      </c>
      <c r="B9" s="15">
        <v>141.15</v>
      </c>
      <c r="C9" s="15">
        <v>168.51499999999999</v>
      </c>
      <c r="D9" s="15">
        <v>207.16900000000001</v>
      </c>
      <c r="E9" s="15">
        <v>201.679</v>
      </c>
      <c r="F9" s="15">
        <v>161.304</v>
      </c>
      <c r="G9" s="15">
        <v>285.70100000000002</v>
      </c>
      <c r="H9" s="15">
        <v>332.22</v>
      </c>
      <c r="I9" s="15">
        <v>325</v>
      </c>
      <c r="J9" s="15">
        <v>364.15100000000001</v>
      </c>
      <c r="K9" s="15">
        <v>299.82859200000001</v>
      </c>
      <c r="L9" s="253">
        <v>299.82859200000001</v>
      </c>
      <c r="M9" s="253">
        <v>364.15100000000001</v>
      </c>
      <c r="N9" s="253">
        <v>417.024</v>
      </c>
      <c r="O9" s="253">
        <v>405.93099999999998</v>
      </c>
    </row>
    <row r="10" spans="1:15" ht="10.25" customHeight="1">
      <c r="A10" t="s">
        <v>82</v>
      </c>
      <c r="B10" s="15">
        <v>64.033000000000001</v>
      </c>
      <c r="C10" s="15">
        <v>81.372</v>
      </c>
      <c r="D10" s="15">
        <v>78.2</v>
      </c>
      <c r="E10" s="15">
        <v>94.260999999999996</v>
      </c>
      <c r="F10" s="15">
        <v>72.483000000000004</v>
      </c>
      <c r="G10" s="15">
        <v>76.221000000000004</v>
      </c>
      <c r="H10" s="15">
        <v>73.968999999999994</v>
      </c>
      <c r="I10" s="15">
        <v>80</v>
      </c>
      <c r="J10" s="15">
        <v>81.571014000000005</v>
      </c>
      <c r="K10" s="15">
        <v>74.957148000000004</v>
      </c>
      <c r="L10" s="253">
        <v>74.957148000000004</v>
      </c>
      <c r="M10" s="253">
        <v>86.718999999999994</v>
      </c>
      <c r="N10" s="253">
        <v>94.899000000000001</v>
      </c>
      <c r="O10" s="253">
        <v>92.191000000000003</v>
      </c>
    </row>
    <row r="11" spans="1:15" ht="10.25" customHeight="1">
      <c r="A11" t="s">
        <v>459</v>
      </c>
      <c r="B11" s="15">
        <v>99.144000000000005</v>
      </c>
      <c r="C11" s="15">
        <v>60.3</v>
      </c>
      <c r="D11" s="15">
        <v>36.084000000000003</v>
      </c>
      <c r="E11" s="15">
        <v>22.276</v>
      </c>
      <c r="F11" s="15">
        <v>24.164999999999999</v>
      </c>
      <c r="G11" s="15">
        <v>18.099</v>
      </c>
      <c r="H11" s="15">
        <v>21.658999999999999</v>
      </c>
      <c r="I11" s="15">
        <v>29.669</v>
      </c>
      <c r="J11" s="15">
        <v>12.39</v>
      </c>
      <c r="K11" s="15">
        <v>20</v>
      </c>
      <c r="L11" s="253">
        <v>25</v>
      </c>
      <c r="M11" s="253">
        <v>16.925999999999998</v>
      </c>
      <c r="N11" s="253">
        <v>20</v>
      </c>
      <c r="O11" s="253">
        <v>25</v>
      </c>
    </row>
    <row r="12" spans="1:15" ht="10.25" customHeight="1">
      <c r="A12" t="s">
        <v>83</v>
      </c>
      <c r="B12" s="15">
        <v>24.294</v>
      </c>
      <c r="C12" s="15">
        <v>10.695</v>
      </c>
      <c r="D12" s="15">
        <v>14.4</v>
      </c>
      <c r="E12" s="15">
        <v>18.242999999999999</v>
      </c>
      <c r="F12" s="15">
        <v>22.2</v>
      </c>
      <c r="G12" s="15">
        <v>25.7</v>
      </c>
      <c r="H12" s="15">
        <v>20.646000000000001</v>
      </c>
      <c r="I12" s="15">
        <v>20.260276671126679</v>
      </c>
      <c r="J12" s="15">
        <v>18.504230203077462</v>
      </c>
      <c r="K12" s="15">
        <v>17.661297637807699</v>
      </c>
      <c r="L12" s="253">
        <v>15.369059985793312</v>
      </c>
      <c r="M12" s="253">
        <v>12.482448931415117</v>
      </c>
      <c r="N12" s="253">
        <v>10.892017436132459</v>
      </c>
      <c r="O12" s="253">
        <v>10.433209689656714</v>
      </c>
    </row>
    <row r="13" spans="1:15" ht="10.25" customHeight="1">
      <c r="A13" t="s">
        <v>84</v>
      </c>
      <c r="B13" s="15">
        <v>1075.6310000000001</v>
      </c>
      <c r="C13" s="15">
        <v>1699.03</v>
      </c>
      <c r="D13" s="15">
        <v>3009.826</v>
      </c>
      <c r="E13" s="15">
        <v>3085.2249999999999</v>
      </c>
      <c r="F13" s="15">
        <v>2484.5970000000002</v>
      </c>
      <c r="G13" s="15">
        <v>2860.5</v>
      </c>
      <c r="H13" s="15">
        <v>3405.78</v>
      </c>
      <c r="I13" s="15">
        <v>2675.0010299999999</v>
      </c>
      <c r="J13" s="15">
        <v>2589.6953916000002</v>
      </c>
      <c r="K13" s="15">
        <v>1654.972092</v>
      </c>
      <c r="L13" s="253">
        <v>1165.01028</v>
      </c>
      <c r="M13" s="253">
        <v>1854.818</v>
      </c>
      <c r="N13" s="253">
        <v>1686.8130000000001</v>
      </c>
      <c r="O13" s="253">
        <v>1710.954</v>
      </c>
    </row>
    <row r="14" spans="1:15" ht="10.25" customHeight="1">
      <c r="A14" t="s">
        <v>85</v>
      </c>
      <c r="B14" s="15">
        <v>39.9</v>
      </c>
      <c r="C14" s="15">
        <v>22.295000000000002</v>
      </c>
      <c r="D14" s="15">
        <v>54.106000000000002</v>
      </c>
      <c r="E14" s="15">
        <v>59.9</v>
      </c>
      <c r="F14" s="15">
        <v>26.324999999999999</v>
      </c>
      <c r="G14" s="15">
        <v>111.1</v>
      </c>
      <c r="H14" s="15">
        <v>83.447000000000003</v>
      </c>
      <c r="I14" s="15">
        <v>60</v>
      </c>
      <c r="J14" s="15">
        <v>50</v>
      </c>
      <c r="K14" s="15">
        <v>50</v>
      </c>
      <c r="L14" s="253">
        <v>50</v>
      </c>
      <c r="M14" s="253">
        <v>50</v>
      </c>
      <c r="N14" s="253">
        <v>75.756</v>
      </c>
      <c r="O14" s="253">
        <v>90.813999999999993</v>
      </c>
    </row>
    <row r="15" spans="1:15" ht="10.25" customHeight="1">
      <c r="A15" t="s">
        <v>86</v>
      </c>
      <c r="B15" s="15">
        <v>91.397999999999996</v>
      </c>
      <c r="C15" s="15">
        <v>127.98399999999999</v>
      </c>
      <c r="D15" s="15">
        <v>263.5</v>
      </c>
      <c r="E15" s="15">
        <v>149.19999999999999</v>
      </c>
      <c r="F15" s="15">
        <v>133</v>
      </c>
      <c r="G15" s="15">
        <v>171.8</v>
      </c>
      <c r="H15" s="15">
        <v>193.732</v>
      </c>
      <c r="I15" s="15">
        <v>299</v>
      </c>
      <c r="J15" s="15">
        <v>188</v>
      </c>
      <c r="K15" s="15">
        <v>140</v>
      </c>
      <c r="L15" s="253">
        <v>275</v>
      </c>
      <c r="M15" s="253">
        <v>267</v>
      </c>
      <c r="N15" s="253">
        <v>252.78300000000002</v>
      </c>
      <c r="O15" s="253">
        <v>294.80700000000002</v>
      </c>
    </row>
    <row r="16" spans="1:15" ht="10.25" customHeight="1">
      <c r="A16" t="s">
        <v>87</v>
      </c>
      <c r="B16" s="15">
        <v>20.718</v>
      </c>
      <c r="C16" s="15">
        <v>22.114999999999998</v>
      </c>
      <c r="D16" s="15">
        <v>35.1</v>
      </c>
      <c r="E16" s="15">
        <v>27.076000000000001</v>
      </c>
      <c r="F16" s="15">
        <v>31.2</v>
      </c>
      <c r="G16" s="15">
        <v>47.5</v>
      </c>
      <c r="H16" s="15">
        <v>32.637999999999998</v>
      </c>
      <c r="I16" s="15">
        <v>35</v>
      </c>
      <c r="J16" s="15">
        <v>30</v>
      </c>
      <c r="K16" s="15">
        <v>30</v>
      </c>
      <c r="L16" s="253">
        <v>30</v>
      </c>
      <c r="M16" s="253">
        <v>39.029000000000003</v>
      </c>
      <c r="N16" s="253">
        <v>30.198</v>
      </c>
      <c r="O16" s="253">
        <v>23.69</v>
      </c>
    </row>
    <row r="17" spans="1:15" ht="10.25" customHeight="1">
      <c r="A17" s="117" t="s">
        <v>453</v>
      </c>
      <c r="B17" s="15">
        <f t="shared" ref="B17:O17" si="0">SUM(B5:B16)</f>
        <v>1960.7020000000002</v>
      </c>
      <c r="C17" s="15">
        <f t="shared" si="0"/>
        <v>2679.1549999999997</v>
      </c>
      <c r="D17" s="15">
        <f t="shared" si="0"/>
        <v>4233.0680000000011</v>
      </c>
      <c r="E17" s="15">
        <f t="shared" si="0"/>
        <v>4073.7579999999998</v>
      </c>
      <c r="F17" s="15">
        <f t="shared" si="0"/>
        <v>3511.085</v>
      </c>
      <c r="G17" s="15">
        <f t="shared" si="0"/>
        <v>4198.8209999999999</v>
      </c>
      <c r="H17" s="15">
        <f t="shared" si="0"/>
        <v>4582.5356499999998</v>
      </c>
      <c r="I17" s="15">
        <f t="shared" si="0"/>
        <v>4119.2769566711268</v>
      </c>
      <c r="J17" s="15">
        <f t="shared" si="0"/>
        <v>3784.6582858030779</v>
      </c>
      <c r="K17" s="15">
        <f t="shared" si="0"/>
        <v>2752.7657796378076</v>
      </c>
      <c r="L17" s="15">
        <f t="shared" si="0"/>
        <v>2375.5117299857934</v>
      </c>
      <c r="M17" s="15">
        <f t="shared" si="0"/>
        <v>3054.466448931415</v>
      </c>
      <c r="N17" s="15">
        <f t="shared" si="0"/>
        <v>2866.8470174361323</v>
      </c>
      <c r="O17" s="15">
        <f t="shared" si="0"/>
        <v>2881.8312096896566</v>
      </c>
    </row>
    <row r="18" spans="1:15" ht="10.25" customHeight="1">
      <c r="A18" t="s">
        <v>88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253"/>
      <c r="M18" s="253"/>
      <c r="N18" s="253"/>
      <c r="O18" s="253"/>
    </row>
    <row r="19" spans="1:15" ht="10.25" customHeight="1">
      <c r="A19" s="117" t="s">
        <v>77</v>
      </c>
      <c r="B19" s="15">
        <v>931.11788425811415</v>
      </c>
      <c r="C19" s="15">
        <v>1110.9614347355705</v>
      </c>
      <c r="D19" s="15">
        <v>914.86630374602407</v>
      </c>
      <c r="E19" s="15">
        <v>1182.492158561784</v>
      </c>
      <c r="F19" s="15">
        <v>958.176299147382</v>
      </c>
      <c r="G19" s="15">
        <v>1334.3966770722843</v>
      </c>
      <c r="H19" s="15">
        <v>1077.0048054486001</v>
      </c>
      <c r="I19" s="15">
        <v>1161.5172239163778</v>
      </c>
      <c r="J19" s="15">
        <v>1213.7606981966339</v>
      </c>
      <c r="K19" s="15">
        <v>1168.692646822974</v>
      </c>
      <c r="L19" s="253">
        <v>1266.936028717716</v>
      </c>
      <c r="M19" s="253">
        <v>1149.1401519289439</v>
      </c>
      <c r="N19" s="253">
        <v>1036.2368582628299</v>
      </c>
      <c r="O19" s="253">
        <v>1038.376962</v>
      </c>
    </row>
    <row r="20" spans="1:15" ht="10.25" customHeight="1">
      <c r="A20" s="117" t="s">
        <v>78</v>
      </c>
      <c r="B20" s="15">
        <v>49.0514064957</v>
      </c>
      <c r="C20" s="15">
        <v>45.018266599656002</v>
      </c>
      <c r="D20" s="15">
        <v>43.093466247005999</v>
      </c>
      <c r="E20" s="15">
        <v>45.188242955856005</v>
      </c>
      <c r="F20" s="15">
        <v>43.485108526818003</v>
      </c>
      <c r="G20" s="15">
        <v>37.046113143858008</v>
      </c>
      <c r="H20" s="15">
        <v>47.564953339931989</v>
      </c>
      <c r="I20" s="15">
        <v>45.753717475746001</v>
      </c>
      <c r="J20" s="15">
        <v>60.04575499708799</v>
      </c>
      <c r="K20" s="15">
        <v>42.076685762118004</v>
      </c>
      <c r="L20" s="253">
        <v>38.809559416950002</v>
      </c>
      <c r="M20" s="253">
        <v>82.835172914886016</v>
      </c>
      <c r="N20" s="253">
        <v>73</v>
      </c>
      <c r="O20" s="253">
        <v>65</v>
      </c>
    </row>
    <row r="21" spans="1:15" ht="10.25" customHeight="1">
      <c r="A21" s="117" t="s">
        <v>79</v>
      </c>
      <c r="B21" s="15">
        <v>1.621691283114</v>
      </c>
      <c r="C21" s="15">
        <v>1.4005368318060001</v>
      </c>
      <c r="D21" s="15">
        <v>1.317682727802</v>
      </c>
      <c r="E21" s="15">
        <v>5.0926768200000002E-3</v>
      </c>
      <c r="F21" s="15">
        <v>9.5998060368000002E-2</v>
      </c>
      <c r="G21" s="15">
        <v>9.9728280791999996E-2</v>
      </c>
      <c r="H21" s="15">
        <v>0.20214620042399997</v>
      </c>
      <c r="I21" s="15">
        <v>10.347106756139999</v>
      </c>
      <c r="J21" s="15">
        <v>19.917408336714001</v>
      </c>
      <c r="K21" s="15">
        <v>31.952836666674003</v>
      </c>
      <c r="L21" s="253">
        <v>17.423747164782</v>
      </c>
      <c r="M21" s="253">
        <v>6.6169480615559984</v>
      </c>
      <c r="N21" s="253">
        <v>0.121953075174</v>
      </c>
      <c r="O21" s="253">
        <v>5</v>
      </c>
    </row>
    <row r="22" spans="1:15" ht="10.25" customHeight="1">
      <c r="A22" s="117" t="s">
        <v>80</v>
      </c>
      <c r="B22" s="15">
        <v>4.8391011975599998</v>
      </c>
      <c r="C22" s="15">
        <v>6.7823696687039998</v>
      </c>
      <c r="D22" s="15">
        <v>8.7463351311840007</v>
      </c>
      <c r="E22" s="15">
        <v>6.1739645446080003</v>
      </c>
      <c r="F22" s="15">
        <v>15.400719878922001</v>
      </c>
      <c r="G22" s="15">
        <v>15.920970987726001</v>
      </c>
      <c r="H22" s="15">
        <v>13.596536600514</v>
      </c>
      <c r="I22" s="15">
        <v>13.687206089508001</v>
      </c>
      <c r="J22" s="15">
        <v>14.477494733226001</v>
      </c>
      <c r="K22" s="15">
        <v>16.064269213104001</v>
      </c>
      <c r="L22" s="253">
        <v>13.724539158456002</v>
      </c>
      <c r="M22" s="253">
        <v>11.225260609668</v>
      </c>
      <c r="N22" s="253">
        <v>11.009948406660001</v>
      </c>
      <c r="O22" s="253">
        <v>14</v>
      </c>
    </row>
    <row r="23" spans="1:15" ht="10.25" customHeight="1">
      <c r="A23" s="117" t="s">
        <v>389</v>
      </c>
      <c r="B23" s="15">
        <v>547.14141465190198</v>
      </c>
      <c r="C23" s="15">
        <v>534.57860767021202</v>
      </c>
      <c r="D23" s="15">
        <v>577.63620030803406</v>
      </c>
      <c r="E23" s="15">
        <v>582.66148844735994</v>
      </c>
      <c r="F23" s="15">
        <v>608.92835078311737</v>
      </c>
      <c r="G23" s="15">
        <v>591.2425210209841</v>
      </c>
      <c r="H23" s="15">
        <v>640.40612734413003</v>
      </c>
      <c r="I23" s="15">
        <v>696.05580875304611</v>
      </c>
      <c r="J23" s="15">
        <v>653.46774548567407</v>
      </c>
      <c r="K23" s="15">
        <v>686.72186469709209</v>
      </c>
      <c r="L23" s="253">
        <v>684.03296661008392</v>
      </c>
      <c r="M23" s="253">
        <v>728.57575356451196</v>
      </c>
      <c r="N23" s="253">
        <v>696.28102191345602</v>
      </c>
      <c r="O23" s="253">
        <v>709.888284</v>
      </c>
    </row>
    <row r="24" spans="1:15" ht="10.25" customHeight="1">
      <c r="A24" s="117" t="s">
        <v>81</v>
      </c>
      <c r="B24" s="15">
        <v>769.37801789633397</v>
      </c>
      <c r="C24" s="15">
        <v>1313.9341979922904</v>
      </c>
      <c r="D24" s="15">
        <v>1548.4957361184781</v>
      </c>
      <c r="E24" s="15">
        <v>2098.1183073263278</v>
      </c>
      <c r="F24" s="15">
        <v>2283.8647876629479</v>
      </c>
      <c r="G24" s="15">
        <v>2192.3852544074884</v>
      </c>
      <c r="H24" s="15">
        <v>2160.140408943048</v>
      </c>
      <c r="I24" s="15">
        <v>2275.2666648595805</v>
      </c>
      <c r="J24" s="15">
        <v>2849.8716598319093</v>
      </c>
      <c r="K24" s="15">
        <v>2689.7602485335406</v>
      </c>
      <c r="L24" s="253">
        <v>2519.4272770880639</v>
      </c>
      <c r="M24" s="253">
        <v>2881.8164694698821</v>
      </c>
      <c r="N24" s="253">
        <v>3012.7482425246226</v>
      </c>
      <c r="O24" s="253">
        <v>3373.9535088000002</v>
      </c>
    </row>
    <row r="25" spans="1:15" ht="10.25" customHeight="1">
      <c r="A25" s="117" t="s">
        <v>82</v>
      </c>
      <c r="B25" s="15">
        <v>520.31971884526206</v>
      </c>
      <c r="C25" s="15">
        <v>529.56732549445189</v>
      </c>
      <c r="D25" s="15">
        <v>658.12460601484815</v>
      </c>
      <c r="E25" s="15">
        <v>504.59156630227801</v>
      </c>
      <c r="F25" s="15">
        <v>744.09085143741618</v>
      </c>
      <c r="G25" s="15">
        <v>664.94505832397999</v>
      </c>
      <c r="H25" s="15">
        <v>630.62821430519409</v>
      </c>
      <c r="I25" s="15">
        <v>671.07864742128004</v>
      </c>
      <c r="J25" s="15">
        <v>604.48826257810197</v>
      </c>
      <c r="K25" s="15">
        <v>593.22941014302012</v>
      </c>
      <c r="L25" s="253">
        <v>672.70219058687405</v>
      </c>
      <c r="M25" s="253">
        <v>782.7090606878761</v>
      </c>
      <c r="N25" s="253">
        <v>790.80811879985993</v>
      </c>
      <c r="O25" s="253">
        <v>930.35048400000005</v>
      </c>
    </row>
    <row r="26" spans="1:15" ht="10.25" customHeight="1">
      <c r="A26" t="s">
        <v>459</v>
      </c>
      <c r="B26" s="15">
        <v>55.077365946960015</v>
      </c>
      <c r="C26" s="15">
        <v>61.926299767709992</v>
      </c>
      <c r="D26" s="15">
        <v>104.62311483372</v>
      </c>
      <c r="E26" s="15">
        <v>75.546055447127998</v>
      </c>
      <c r="F26" s="15">
        <v>54.304908285978001</v>
      </c>
      <c r="G26" s="15">
        <v>73.18414909978199</v>
      </c>
      <c r="H26" s="15">
        <v>60.011653903992013</v>
      </c>
      <c r="I26" s="15">
        <v>28.289508883398003</v>
      </c>
      <c r="J26" s="15">
        <v>10.359457048584002</v>
      </c>
      <c r="K26" s="15">
        <v>55.264873457303999</v>
      </c>
      <c r="L26" s="253">
        <v>30.173854422347997</v>
      </c>
      <c r="M26" s="253">
        <v>93.313743485507999</v>
      </c>
      <c r="N26" s="253">
        <v>40.446451568754</v>
      </c>
      <c r="O26" s="253">
        <v>50</v>
      </c>
    </row>
    <row r="27" spans="1:15" ht="10.25" customHeight="1">
      <c r="A27" s="117" t="s">
        <v>86</v>
      </c>
      <c r="B27" s="15">
        <v>1133.2470000000001</v>
      </c>
      <c r="C27" s="15">
        <v>1597.797</v>
      </c>
      <c r="D27" s="15">
        <v>1567.806</v>
      </c>
      <c r="E27" s="15">
        <v>2240.6689999999999</v>
      </c>
      <c r="F27" s="15">
        <v>2315.194</v>
      </c>
      <c r="G27" s="15">
        <v>2350.9380000000001</v>
      </c>
      <c r="H27" s="15">
        <v>3130.9859999999999</v>
      </c>
      <c r="I27" s="15">
        <v>3288.7330000000002</v>
      </c>
      <c r="J27" s="15">
        <v>2760.56</v>
      </c>
      <c r="K27" s="15">
        <v>3385.470621679272</v>
      </c>
      <c r="L27" s="253">
        <v>3691.5499652081398</v>
      </c>
      <c r="M27" s="253">
        <v>3961.8025521797517</v>
      </c>
      <c r="N27" s="253">
        <v>4405.5075550462452</v>
      </c>
      <c r="O27" s="253">
        <v>4544</v>
      </c>
    </row>
    <row r="28" spans="1:15" ht="10.25" customHeight="1">
      <c r="A28" s="117" t="s">
        <v>83</v>
      </c>
      <c r="B28" s="15">
        <v>57.784915136087996</v>
      </c>
      <c r="C28" s="15">
        <v>56.301903395262002</v>
      </c>
      <c r="D28" s="15">
        <v>58.459417032366005</v>
      </c>
      <c r="E28" s="15">
        <v>62.82548791974002</v>
      </c>
      <c r="F28" s="15">
        <v>38.418426404819996</v>
      </c>
      <c r="G28" s="15">
        <v>45.764037311328003</v>
      </c>
      <c r="H28" s="15">
        <v>56.512433773152004</v>
      </c>
      <c r="I28" s="15">
        <v>66.042168104303997</v>
      </c>
      <c r="J28" s="15">
        <v>67.685760102366004</v>
      </c>
      <c r="K28" s="15">
        <v>60.65651465748001</v>
      </c>
      <c r="L28" s="253">
        <v>46.547570993237997</v>
      </c>
      <c r="M28" s="253">
        <v>32.019612462431994</v>
      </c>
      <c r="N28" s="253">
        <v>29.338333549056006</v>
      </c>
      <c r="O28" s="253">
        <v>30</v>
      </c>
    </row>
    <row r="29" spans="1:15" ht="10.25" customHeight="1">
      <c r="A29" s="117" t="s">
        <v>421</v>
      </c>
      <c r="B29" s="15">
        <v>26.006027554458001</v>
      </c>
      <c r="C29" s="15">
        <v>25.978000194972001</v>
      </c>
      <c r="D29" s="15">
        <v>26.480768651316001</v>
      </c>
      <c r="E29" s="15">
        <v>27.805995595601999</v>
      </c>
      <c r="F29" s="15">
        <v>23.613589397034001</v>
      </c>
      <c r="G29" s="15">
        <v>31.416344107596</v>
      </c>
      <c r="H29" s="15">
        <v>27.768340651842006</v>
      </c>
      <c r="I29" s="15">
        <v>27.526328271791996</v>
      </c>
      <c r="J29" s="15">
        <v>29.380979757024001</v>
      </c>
      <c r="K29" s="15">
        <v>28.898884041174</v>
      </c>
      <c r="L29" s="253">
        <v>33.845359148622002</v>
      </c>
      <c r="M29" s="253">
        <v>33.852872500398007</v>
      </c>
      <c r="N29" s="253">
        <v>38.313230661467998</v>
      </c>
      <c r="O29" s="253">
        <v>42.313230661467998</v>
      </c>
    </row>
    <row r="30" spans="1:15" ht="10.25" customHeight="1">
      <c r="A30" s="117" t="s">
        <v>84</v>
      </c>
      <c r="B30" s="15">
        <v>26.268284978333998</v>
      </c>
      <c r="C30" s="15">
        <v>35.337008598444001</v>
      </c>
      <c r="D30" s="15">
        <v>37.473177085344005</v>
      </c>
      <c r="E30" s="15">
        <v>65.355102067247998</v>
      </c>
      <c r="F30" s="15">
        <v>89.577464760251985</v>
      </c>
      <c r="G30" s="15">
        <v>102.57960440485799</v>
      </c>
      <c r="H30" s="15">
        <v>159.00528189306598</v>
      </c>
      <c r="I30" s="15">
        <v>149.136403945788</v>
      </c>
      <c r="J30" s="15">
        <v>195.58962152667002</v>
      </c>
      <c r="K30" s="15">
        <v>165.03883626711601</v>
      </c>
      <c r="L30" s="253">
        <v>264.32139319702196</v>
      </c>
      <c r="M30" s="253">
        <v>286.55315418454205</v>
      </c>
      <c r="N30" s="253">
        <v>318.704386989618</v>
      </c>
      <c r="O30" s="253">
        <v>300</v>
      </c>
    </row>
    <row r="31" spans="1:15" ht="10.25" customHeight="1">
      <c r="A31" s="117" t="s">
        <v>85</v>
      </c>
      <c r="B31" s="15">
        <v>75.400999999999996</v>
      </c>
      <c r="C31" s="15">
        <v>56.463000000000001</v>
      </c>
      <c r="D31" s="15">
        <v>155.797</v>
      </c>
      <c r="E31" s="15">
        <v>103.49299999999999</v>
      </c>
      <c r="F31" s="15">
        <v>67.033000000000001</v>
      </c>
      <c r="G31" s="15">
        <v>48.64</v>
      </c>
      <c r="H31" s="15">
        <v>102.559</v>
      </c>
      <c r="I31" s="15">
        <v>162.607</v>
      </c>
      <c r="J31" s="15">
        <v>71.561000000000007</v>
      </c>
      <c r="K31" s="15">
        <v>76.427000000000007</v>
      </c>
      <c r="L31" s="253">
        <v>176.88200000000001</v>
      </c>
      <c r="M31" s="253">
        <v>92.754000000000005</v>
      </c>
      <c r="N31" s="253">
        <v>119.83799999999999</v>
      </c>
      <c r="O31" s="253">
        <v>110</v>
      </c>
    </row>
    <row r="32" spans="1:15" ht="10.25" customHeight="1">
      <c r="A32" s="117" t="s">
        <v>87</v>
      </c>
      <c r="B32" s="15">
        <v>0.67173730029000001</v>
      </c>
      <c r="C32" s="15">
        <v>5.1322211248140004</v>
      </c>
      <c r="D32" s="15">
        <v>6.0849330897599998</v>
      </c>
      <c r="E32" s="15">
        <v>27.554831829629997</v>
      </c>
      <c r="F32" s="15">
        <v>32.780619316745998</v>
      </c>
      <c r="G32" s="15">
        <v>27.866937961547997</v>
      </c>
      <c r="H32" s="15">
        <v>22.629413066904</v>
      </c>
      <c r="I32" s="15">
        <v>47.323150398972004</v>
      </c>
      <c r="J32" s="15">
        <v>49.670060907474003</v>
      </c>
      <c r="K32" s="15">
        <v>50.91656080013999</v>
      </c>
      <c r="L32" s="253">
        <v>45.465145683678003</v>
      </c>
      <c r="M32" s="253">
        <v>59.329345441211998</v>
      </c>
      <c r="N32" s="253">
        <v>67.648054452300002</v>
      </c>
      <c r="O32" s="253">
        <v>65</v>
      </c>
    </row>
    <row r="33" spans="1:15" ht="10.25" customHeight="1">
      <c r="A33" s="117" t="s">
        <v>454</v>
      </c>
      <c r="B33" s="15">
        <f t="shared" ref="B33:N33" si="1">SUM(B19:B32)</f>
        <v>4197.9255655441157</v>
      </c>
      <c r="C33" s="15">
        <f t="shared" si="1"/>
        <v>5381.1781720738936</v>
      </c>
      <c r="D33" s="15">
        <f t="shared" si="1"/>
        <v>5709.0047409858826</v>
      </c>
      <c r="E33" s="15">
        <f t="shared" si="1"/>
        <v>7022.4802936743818</v>
      </c>
      <c r="F33" s="15">
        <f t="shared" si="1"/>
        <v>7274.9641236618018</v>
      </c>
      <c r="G33" s="15">
        <f t="shared" si="1"/>
        <v>7516.4253961222257</v>
      </c>
      <c r="H33" s="15">
        <f t="shared" si="1"/>
        <v>8129.0153154707978</v>
      </c>
      <c r="I33" s="15">
        <f t="shared" si="1"/>
        <v>8643.3639348759316</v>
      </c>
      <c r="J33" s="15">
        <f t="shared" si="1"/>
        <v>8600.8359035014655</v>
      </c>
      <c r="K33" s="15">
        <f t="shared" si="1"/>
        <v>9051.1712527410091</v>
      </c>
      <c r="L33" s="253">
        <f t="shared" si="1"/>
        <v>9501.8415973959745</v>
      </c>
      <c r="M33" s="253">
        <f t="shared" si="1"/>
        <v>10202.544097491169</v>
      </c>
      <c r="N33" s="253">
        <f t="shared" si="1"/>
        <v>10640.002155250044</v>
      </c>
      <c r="O33" s="253">
        <f>SUM(O19:O32)</f>
        <v>11277.882469461469</v>
      </c>
    </row>
    <row r="34" spans="1:15" ht="10.25" customHeight="1">
      <c r="A34" t="s">
        <v>66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253"/>
      <c r="M34" s="253"/>
      <c r="N34" s="253"/>
      <c r="O34" s="253"/>
    </row>
    <row r="35" spans="1:15" ht="10.25" customHeight="1">
      <c r="A35" t="s">
        <v>78</v>
      </c>
      <c r="B35" s="15">
        <v>2396.105</v>
      </c>
      <c r="C35" s="15">
        <v>2482.7339999999999</v>
      </c>
      <c r="D35" s="15">
        <v>2560.2550000000001</v>
      </c>
      <c r="E35" s="15">
        <v>2506.8400499999998</v>
      </c>
      <c r="F35" s="15">
        <v>2418.4557500000001</v>
      </c>
      <c r="G35" s="15">
        <v>2485.1489999999999</v>
      </c>
      <c r="H35" s="15">
        <v>3650</v>
      </c>
      <c r="I35" s="15">
        <v>3625</v>
      </c>
      <c r="J35" s="15">
        <v>3685</v>
      </c>
      <c r="K35" s="15">
        <v>3890</v>
      </c>
      <c r="L35" s="253">
        <v>4740</v>
      </c>
      <c r="M35" s="292">
        <v>5300</v>
      </c>
      <c r="N35" s="292">
        <v>5850</v>
      </c>
      <c r="O35" s="253">
        <v>6050</v>
      </c>
    </row>
    <row r="36" spans="1:15" ht="10.25" customHeight="1">
      <c r="A36" t="s">
        <v>79</v>
      </c>
      <c r="B36" s="15">
        <v>957.03700000000003</v>
      </c>
      <c r="C36" s="15">
        <v>950.572</v>
      </c>
      <c r="D36" s="15">
        <v>848.70311000000004</v>
      </c>
      <c r="E36" s="15">
        <v>856.2844399999999</v>
      </c>
      <c r="F36" s="15">
        <v>668.67881000000011</v>
      </c>
      <c r="G36" s="15">
        <v>617.29017999999996</v>
      </c>
      <c r="H36" s="15">
        <v>835</v>
      </c>
      <c r="I36" s="15">
        <v>755</v>
      </c>
      <c r="J36" s="15">
        <v>800</v>
      </c>
      <c r="K36" s="15">
        <v>630</v>
      </c>
      <c r="L36" s="253">
        <v>610</v>
      </c>
      <c r="M36" s="292">
        <v>465</v>
      </c>
      <c r="N36" s="292">
        <v>541.625</v>
      </c>
      <c r="O36" s="253">
        <v>595</v>
      </c>
    </row>
    <row r="37" spans="1:15" ht="10.25" customHeight="1">
      <c r="A37" t="s">
        <v>80</v>
      </c>
      <c r="B37" s="15">
        <v>775.53182000000004</v>
      </c>
      <c r="C37" s="15">
        <v>785.48016399999995</v>
      </c>
      <c r="D37" s="15">
        <v>801.06079200000011</v>
      </c>
      <c r="E37" s="15">
        <v>875.86494800000014</v>
      </c>
      <c r="F37" s="15">
        <v>863.8575679999999</v>
      </c>
      <c r="G37" s="15">
        <v>835.19556399999988</v>
      </c>
      <c r="H37" s="15">
        <v>849.58409199999994</v>
      </c>
      <c r="I37" s="15">
        <v>868.11505199999988</v>
      </c>
      <c r="J37" s="15">
        <v>866.95400400000005</v>
      </c>
      <c r="K37" s="15">
        <v>857.47575199999994</v>
      </c>
      <c r="L37" s="253">
        <v>902.10134000000005</v>
      </c>
      <c r="M37" s="293">
        <v>925.16054400000007</v>
      </c>
      <c r="N37" s="293">
        <v>952.84341600000005</v>
      </c>
      <c r="O37" s="253">
        <v>990</v>
      </c>
    </row>
    <row r="38" spans="1:15" ht="10.25" customHeight="1">
      <c r="A38" s="117" t="s">
        <v>389</v>
      </c>
      <c r="B38" s="15">
        <v>4.4092440000000002</v>
      </c>
      <c r="C38" s="15">
        <v>4.4092440000000002</v>
      </c>
      <c r="D38" s="15">
        <v>2.2046220000000001</v>
      </c>
      <c r="E38" s="15">
        <v>4.4092440000000002</v>
      </c>
      <c r="F38" s="15">
        <v>4.4092440000000002</v>
      </c>
      <c r="G38" s="15">
        <v>6.6138659999999998</v>
      </c>
      <c r="H38" s="15">
        <v>11.023110000000001</v>
      </c>
      <c r="I38" s="15">
        <v>13.227732</v>
      </c>
      <c r="J38" s="15">
        <v>22.046220000000002</v>
      </c>
      <c r="K38" s="15">
        <v>22.046220000000002</v>
      </c>
      <c r="L38" s="253">
        <v>17.636976000000001</v>
      </c>
      <c r="M38" s="293">
        <v>30.864708</v>
      </c>
      <c r="N38" s="293">
        <v>33.069330000000001</v>
      </c>
      <c r="O38" s="253">
        <v>35.273952000000001</v>
      </c>
    </row>
    <row r="39" spans="1:15" ht="10.25" customHeight="1">
      <c r="A39" t="s">
        <v>459</v>
      </c>
      <c r="B39" s="15">
        <v>126.249</v>
      </c>
      <c r="C39" s="15">
        <v>181.08500000000001</v>
      </c>
      <c r="D39" s="15">
        <v>166.45</v>
      </c>
      <c r="E39" s="15">
        <v>158.14400000000001</v>
      </c>
      <c r="F39" s="15">
        <v>142.666</v>
      </c>
      <c r="G39" s="15">
        <v>139.90299999999999</v>
      </c>
      <c r="H39" s="15">
        <v>190.11</v>
      </c>
      <c r="I39" s="15">
        <v>188.47900000000001</v>
      </c>
      <c r="J39" s="15">
        <v>210.702</v>
      </c>
      <c r="K39" s="15">
        <v>209.80799999999999</v>
      </c>
      <c r="L39" s="253">
        <v>214.041</v>
      </c>
      <c r="M39" s="293">
        <v>226.21899999999999</v>
      </c>
      <c r="N39" s="293">
        <v>283.68900000000002</v>
      </c>
      <c r="O39" s="253">
        <v>260</v>
      </c>
    </row>
    <row r="40" spans="1:15" ht="10.25" customHeight="1">
      <c r="A40" t="s">
        <v>86</v>
      </c>
      <c r="B40" s="15">
        <v>832.25867613789922</v>
      </c>
      <c r="C40" s="15">
        <v>928.17222296226657</v>
      </c>
      <c r="D40" s="15">
        <v>932.35848317969794</v>
      </c>
      <c r="E40" s="15">
        <v>1015.0025294441491</v>
      </c>
      <c r="F40" s="15">
        <v>1103</v>
      </c>
      <c r="G40" s="15">
        <v>1072</v>
      </c>
      <c r="H40" s="15">
        <v>1136</v>
      </c>
      <c r="I40" s="15">
        <v>1099</v>
      </c>
      <c r="J40" s="15">
        <v>1274</v>
      </c>
      <c r="K40" s="15">
        <v>1562</v>
      </c>
      <c r="L40" s="253">
        <v>1552</v>
      </c>
      <c r="M40" s="293">
        <v>1587.894</v>
      </c>
      <c r="N40" s="293">
        <v>1751.6469999999997</v>
      </c>
      <c r="O40" s="253">
        <v>1683</v>
      </c>
    </row>
    <row r="41" spans="1:15" ht="10.25" customHeight="1">
      <c r="A41" t="s">
        <v>83</v>
      </c>
      <c r="B41" s="15">
        <v>72.827656374699998</v>
      </c>
      <c r="C41" s="15">
        <v>75.667366261593841</v>
      </c>
      <c r="D41" s="15">
        <v>71.409101654248431</v>
      </c>
      <c r="E41" s="15">
        <v>69.235649845376614</v>
      </c>
      <c r="F41" s="15">
        <v>104.28680716746665</v>
      </c>
      <c r="G41" s="15">
        <v>94.84309191996941</v>
      </c>
      <c r="H41" s="15">
        <v>81.434211243702975</v>
      </c>
      <c r="I41" s="15">
        <v>62.255684269380808</v>
      </c>
      <c r="J41" s="15">
        <v>57.551207058402817</v>
      </c>
      <c r="K41" s="15">
        <v>52.325076002018911</v>
      </c>
      <c r="L41" s="253">
        <v>52.231312756700767</v>
      </c>
      <c r="M41" s="292">
        <v>60.557541431435183</v>
      </c>
      <c r="N41" s="292">
        <v>62.207696114027875</v>
      </c>
      <c r="O41" s="253">
        <v>62.207696114027875</v>
      </c>
    </row>
    <row r="42" spans="1:15" ht="10.25" customHeight="1">
      <c r="A42" t="s">
        <v>84</v>
      </c>
      <c r="B42" s="15">
        <v>19359.734</v>
      </c>
      <c r="C42" s="15">
        <v>20387.420999999998</v>
      </c>
      <c r="D42" s="15">
        <v>20488.99351</v>
      </c>
      <c r="E42" s="15">
        <v>20579.830779999997</v>
      </c>
      <c r="F42" s="15">
        <v>18744.967840000001</v>
      </c>
      <c r="G42" s="15">
        <v>19615.31352</v>
      </c>
      <c r="H42" s="15">
        <v>18887.582520000004</v>
      </c>
      <c r="I42" s="15">
        <v>19740.489905999999</v>
      </c>
      <c r="J42" s="15">
        <v>19819.526644000001</v>
      </c>
      <c r="K42" s="15">
        <v>20129.804834999995</v>
      </c>
      <c r="L42" s="253">
        <v>21398.771410000005</v>
      </c>
      <c r="M42" s="292">
        <v>21950.231</v>
      </c>
      <c r="N42" s="292">
        <v>22123.409</v>
      </c>
      <c r="O42" s="253">
        <v>22640</v>
      </c>
    </row>
    <row r="43" spans="1:15" ht="10.25" customHeight="1">
      <c r="A43" t="s">
        <v>85</v>
      </c>
      <c r="B43" s="15">
        <v>255</v>
      </c>
      <c r="C43" s="15">
        <v>553</v>
      </c>
      <c r="D43" s="15">
        <v>600</v>
      </c>
      <c r="E43" s="15">
        <v>632</v>
      </c>
      <c r="F43" s="15">
        <v>646</v>
      </c>
      <c r="G43" s="15">
        <v>722</v>
      </c>
      <c r="H43" s="15">
        <v>487</v>
      </c>
      <c r="I43" s="15">
        <v>322</v>
      </c>
      <c r="J43" s="15">
        <v>428</v>
      </c>
      <c r="K43" s="15">
        <v>430</v>
      </c>
      <c r="L43" s="253">
        <v>322</v>
      </c>
      <c r="M43" s="292">
        <v>452</v>
      </c>
      <c r="N43" s="292">
        <v>465</v>
      </c>
      <c r="O43" s="253">
        <v>445</v>
      </c>
    </row>
    <row r="44" spans="1:15" ht="10.25" customHeight="1">
      <c r="A44" t="s">
        <v>87</v>
      </c>
      <c r="B44" s="15">
        <v>1832.6900000000003</v>
      </c>
      <c r="C44" s="15">
        <v>1833.1100000000001</v>
      </c>
      <c r="D44" s="15">
        <v>1797.7930000000003</v>
      </c>
      <c r="E44" s="15">
        <v>1789.0459999999996</v>
      </c>
      <c r="F44" s="15">
        <v>1846.1</v>
      </c>
      <c r="G44" s="15">
        <v>1821.1536900000001</v>
      </c>
      <c r="H44" s="15">
        <v>2021.0007019999998</v>
      </c>
      <c r="I44" s="15">
        <v>2050.8921600000003</v>
      </c>
      <c r="J44" s="15">
        <v>2053.6843680000002</v>
      </c>
      <c r="K44" s="15">
        <v>1957.91112</v>
      </c>
      <c r="L44" s="253">
        <v>1876.1680400000002</v>
      </c>
      <c r="M44" s="292">
        <v>2111.09</v>
      </c>
      <c r="N44" s="292">
        <v>2051.0079999999998</v>
      </c>
      <c r="O44" s="253">
        <v>2150</v>
      </c>
    </row>
    <row r="45" spans="1:15" ht="10.25" customHeight="1">
      <c r="A45" s="117" t="s">
        <v>455</v>
      </c>
      <c r="B45" s="15">
        <f t="shared" ref="B45:N45" si="2">SUM(B35:B44)</f>
        <v>26611.842396512598</v>
      </c>
      <c r="C45" s="15">
        <f t="shared" si="2"/>
        <v>28181.65099722386</v>
      </c>
      <c r="D45" s="15">
        <f t="shared" si="2"/>
        <v>28269.227618833949</v>
      </c>
      <c r="E45" s="15">
        <f t="shared" si="2"/>
        <v>28486.657641289519</v>
      </c>
      <c r="F45" s="15">
        <f t="shared" si="2"/>
        <v>26542.422019167469</v>
      </c>
      <c r="G45" s="15">
        <f t="shared" si="2"/>
        <v>27409.461911919967</v>
      </c>
      <c r="H45" s="15">
        <f t="shared" si="2"/>
        <v>28148.734635243705</v>
      </c>
      <c r="I45" s="15">
        <f t="shared" si="2"/>
        <v>28724.459534269379</v>
      </c>
      <c r="J45" s="15">
        <f t="shared" si="2"/>
        <v>29217.464443058409</v>
      </c>
      <c r="K45" s="15">
        <f t="shared" si="2"/>
        <v>29741.371003002016</v>
      </c>
      <c r="L45" s="253">
        <f t="shared" si="2"/>
        <v>31684.950078756705</v>
      </c>
      <c r="M45" s="253">
        <f t="shared" si="2"/>
        <v>33109.016793431438</v>
      </c>
      <c r="N45" s="253">
        <f t="shared" si="2"/>
        <v>34114.498442114025</v>
      </c>
      <c r="O45" s="253">
        <f>SUM(O35:O44)</f>
        <v>34910.48164811403</v>
      </c>
    </row>
    <row r="46" spans="1:15" ht="10.25" customHeight="1">
      <c r="A46" t="s">
        <v>90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253"/>
      <c r="M46" s="253"/>
      <c r="N46" s="253"/>
      <c r="O46" s="253"/>
    </row>
    <row r="47" spans="1:15" ht="10.25" customHeight="1">
      <c r="A47" t="s">
        <v>77</v>
      </c>
      <c r="B47" s="15">
        <v>14.49751711023</v>
      </c>
      <c r="C47" s="15">
        <v>14.861264307875999</v>
      </c>
      <c r="D47" s="15">
        <v>9.0144590542020016</v>
      </c>
      <c r="E47" s="15">
        <v>8.4873185016479997</v>
      </c>
      <c r="F47" s="15">
        <v>13.888393279362001</v>
      </c>
      <c r="G47" s="15">
        <v>13.550473228445998</v>
      </c>
      <c r="H47" s="15">
        <v>25.953259926887998</v>
      </c>
      <c r="I47" s="15">
        <v>25.497562354866002</v>
      </c>
      <c r="J47" s="15">
        <v>25.210954880999999</v>
      </c>
      <c r="K47" s="15">
        <v>37.034399987172002</v>
      </c>
      <c r="L47" s="253">
        <v>59.867403281910001</v>
      </c>
      <c r="M47" s="253">
        <v>58.756079787174002</v>
      </c>
      <c r="N47" s="253">
        <v>41.715764889875992</v>
      </c>
      <c r="O47" s="253">
        <v>30.864708</v>
      </c>
    </row>
    <row r="48" spans="1:15" ht="10.25" customHeight="1">
      <c r="A48" t="s">
        <v>418</v>
      </c>
      <c r="B48" s="15">
        <v>789.40283762151012</v>
      </c>
      <c r="C48" s="15">
        <v>798.77636346085228</v>
      </c>
      <c r="D48" s="15">
        <v>792.96945084226809</v>
      </c>
      <c r="E48" s="15">
        <v>769.257643330512</v>
      </c>
      <c r="F48" s="15">
        <v>813.70250538494417</v>
      </c>
      <c r="G48" s="15">
        <v>774.09081189027006</v>
      </c>
      <c r="H48" s="15">
        <v>791.74480316286599</v>
      </c>
      <c r="I48" s="15">
        <v>1003.3988261799599</v>
      </c>
      <c r="J48" s="15">
        <v>1018.7799337415701</v>
      </c>
      <c r="K48" s="15">
        <v>1004.1465347543701</v>
      </c>
      <c r="L48" s="253">
        <v>908.59042173097805</v>
      </c>
      <c r="M48" s="253">
        <v>1093.9486196317139</v>
      </c>
      <c r="N48" s="253">
        <v>1134.7810476017398</v>
      </c>
      <c r="O48" s="253">
        <v>750</v>
      </c>
    </row>
    <row r="49" spans="1:20" ht="10.25" customHeight="1">
      <c r="A49" t="s">
        <v>79</v>
      </c>
      <c r="B49" s="15">
        <v>56.734381888380007</v>
      </c>
      <c r="C49" s="15">
        <v>67.466843342387989</v>
      </c>
      <c r="D49" s="15">
        <v>137.81836181925001</v>
      </c>
      <c r="E49" s="15">
        <v>186.49135376713801</v>
      </c>
      <c r="F49" s="15">
        <v>192.22683001905602</v>
      </c>
      <c r="G49" s="15">
        <v>94.027681660121999</v>
      </c>
      <c r="H49" s="15">
        <v>163.23590300938201</v>
      </c>
      <c r="I49" s="15">
        <v>258.72821206747204</v>
      </c>
      <c r="J49" s="15">
        <v>220.66299256251602</v>
      </c>
      <c r="K49" s="15">
        <v>148.403212807248</v>
      </c>
      <c r="L49" s="253">
        <v>118.49962299588</v>
      </c>
      <c r="M49" s="253">
        <v>54.826321230575999</v>
      </c>
      <c r="N49" s="253">
        <v>103.98553153745401</v>
      </c>
      <c r="O49" s="253">
        <v>90</v>
      </c>
    </row>
    <row r="50" spans="1:20" ht="10.25" customHeight="1">
      <c r="A50" t="s">
        <v>80</v>
      </c>
      <c r="B50" s="15">
        <v>165.32832518193601</v>
      </c>
      <c r="C50" s="15">
        <v>73.619361324180019</v>
      </c>
      <c r="D50" s="15">
        <v>79.380896208138012</v>
      </c>
      <c r="E50" s="15">
        <v>74.713947328692015</v>
      </c>
      <c r="F50" s="15">
        <v>86.878456276752004</v>
      </c>
      <c r="G50" s="15">
        <v>68.718817311479995</v>
      </c>
      <c r="H50" s="15">
        <v>70.372887877908013</v>
      </c>
      <c r="I50" s="15">
        <v>66.008512344852008</v>
      </c>
      <c r="J50" s="15">
        <v>61.456728509442009</v>
      </c>
      <c r="K50" s="15">
        <v>51.786850766994</v>
      </c>
      <c r="L50" s="253">
        <v>46.586295178667996</v>
      </c>
      <c r="M50" s="253">
        <v>43.325469643175992</v>
      </c>
      <c r="N50" s="253">
        <v>39.060299895497991</v>
      </c>
      <c r="O50" s="253">
        <v>40</v>
      </c>
    </row>
    <row r="51" spans="1:20" ht="10.25" customHeight="1">
      <c r="A51" t="s">
        <v>389</v>
      </c>
      <c r="B51" s="15">
        <v>24.954601434840004</v>
      </c>
      <c r="C51" s="15">
        <v>20.520570869694001</v>
      </c>
      <c r="D51" s="15">
        <v>8.2202748434099995</v>
      </c>
      <c r="E51" s="15">
        <v>10.612554268050003</v>
      </c>
      <c r="F51" s="15">
        <v>7.4812701166560007</v>
      </c>
      <c r="G51" s="15">
        <v>7.8151843693979988</v>
      </c>
      <c r="H51" s="15">
        <v>8.1777609127620003</v>
      </c>
      <c r="I51" s="15">
        <v>15.25291981542</v>
      </c>
      <c r="J51" s="15">
        <v>15.393122751510004</v>
      </c>
      <c r="K51" s="15">
        <v>12.85268170536</v>
      </c>
      <c r="L51" s="253">
        <v>16.804226336562003</v>
      </c>
      <c r="M51" s="253">
        <v>17.281458656279998</v>
      </c>
      <c r="N51" s="253">
        <v>26.504735097078001</v>
      </c>
      <c r="O51" s="253">
        <v>22.046220000000002</v>
      </c>
    </row>
    <row r="52" spans="1:20" ht="10.25" customHeight="1">
      <c r="A52" t="s">
        <v>82</v>
      </c>
      <c r="B52" s="15">
        <v>2.3242249481220001</v>
      </c>
      <c r="C52" s="15">
        <v>2.6194987910700007</v>
      </c>
      <c r="D52" s="15">
        <v>3.7829726192159998</v>
      </c>
      <c r="E52" s="15">
        <v>2.6838957996900001</v>
      </c>
      <c r="F52" s="15">
        <v>5.8580863044480012</v>
      </c>
      <c r="G52" s="15">
        <v>5.4681085142459995</v>
      </c>
      <c r="H52" s="15">
        <v>2.6741976675119998</v>
      </c>
      <c r="I52" s="15">
        <v>2.7318397143239999</v>
      </c>
      <c r="J52" s="15">
        <v>1.9594812613320001</v>
      </c>
      <c r="K52" s="15">
        <v>1.5223069233540003</v>
      </c>
      <c r="L52" s="253">
        <v>1.9314362648700001</v>
      </c>
      <c r="M52" s="253">
        <v>2.2531391163540002</v>
      </c>
      <c r="N52" s="253">
        <v>3.8486394901080003</v>
      </c>
      <c r="O52" s="253">
        <v>4.4092440000000002</v>
      </c>
    </row>
    <row r="53" spans="1:20" ht="10.25" customHeight="1">
      <c r="A53" t="s">
        <v>81</v>
      </c>
      <c r="B53" s="15">
        <v>19.534948307532002</v>
      </c>
      <c r="C53" s="15">
        <v>31.422629484917998</v>
      </c>
      <c r="D53" s="15">
        <v>92.901053679462009</v>
      </c>
      <c r="E53" s="15">
        <v>48.400941593088007</v>
      </c>
      <c r="F53" s="15">
        <v>43.292157804755995</v>
      </c>
      <c r="G53" s="15">
        <v>34.414475704056002</v>
      </c>
      <c r="H53" s="15">
        <v>59.413290833106004</v>
      </c>
      <c r="I53" s="15">
        <v>40.645209265164006</v>
      </c>
      <c r="J53" s="15">
        <v>81.286364230469999</v>
      </c>
      <c r="K53" s="15">
        <v>27.653367409920001</v>
      </c>
      <c r="L53" s="253">
        <v>49.942331724473995</v>
      </c>
      <c r="M53" s="253">
        <v>31.470176567592002</v>
      </c>
      <c r="N53" s="253">
        <v>39.432398201279995</v>
      </c>
      <c r="O53" s="253">
        <v>46.297062000000004</v>
      </c>
    </row>
    <row r="54" spans="1:20" ht="10.25" customHeight="1">
      <c r="A54" t="s">
        <v>459</v>
      </c>
      <c r="B54" s="15">
        <v>10.0257390072</v>
      </c>
      <c r="C54" s="15">
        <v>7.4661177496500013</v>
      </c>
      <c r="D54" s="15">
        <v>11.008921052807999</v>
      </c>
      <c r="E54" s="15">
        <v>12.978894110237999</v>
      </c>
      <c r="F54" s="15">
        <v>9.3111196043880007</v>
      </c>
      <c r="G54" s="15">
        <v>10.76435351586</v>
      </c>
      <c r="H54" s="15">
        <v>15.933208844448</v>
      </c>
      <c r="I54" s="15">
        <v>15.646171469292</v>
      </c>
      <c r="J54" s="15">
        <v>12.597635600046001</v>
      </c>
      <c r="K54" s="15">
        <v>8.9400751079220004</v>
      </c>
      <c r="L54" s="253">
        <v>18.840011769936002</v>
      </c>
      <c r="M54" s="253">
        <v>10.252786413114</v>
      </c>
      <c r="N54" s="253">
        <v>12.148662125124</v>
      </c>
      <c r="O54" s="253">
        <v>15</v>
      </c>
    </row>
    <row r="55" spans="1:20" ht="10.25" customHeight="1">
      <c r="A55" t="s">
        <v>86</v>
      </c>
      <c r="B55" s="15">
        <v>268.50700000000001</v>
      </c>
      <c r="C55" s="15">
        <v>471.44551999999999</v>
      </c>
      <c r="D55" s="15">
        <v>629.70799999999997</v>
      </c>
      <c r="E55" s="15">
        <v>348.505</v>
      </c>
      <c r="F55" s="15">
        <v>548.72400000000005</v>
      </c>
      <c r="G55" s="15">
        <v>553.09400000000005</v>
      </c>
      <c r="H55" s="15">
        <v>510.63337037185198</v>
      </c>
      <c r="I55" s="15">
        <v>663.94035255378606</v>
      </c>
      <c r="J55" s="15">
        <v>475.19288210782082</v>
      </c>
      <c r="K55" s="15">
        <v>262.20648211637035</v>
      </c>
      <c r="L55" s="253">
        <v>241.398143700714</v>
      </c>
      <c r="M55" s="253">
        <v>245.796529937364</v>
      </c>
      <c r="N55" s="253">
        <v>271.06590068749796</v>
      </c>
      <c r="O55" s="253">
        <v>243</v>
      </c>
    </row>
    <row r="56" spans="1:20" ht="10.25" customHeight="1">
      <c r="A56" t="s">
        <v>83</v>
      </c>
      <c r="B56" s="15">
        <v>41.169111227999991</v>
      </c>
      <c r="C56" s="15">
        <v>40.498795908900007</v>
      </c>
      <c r="D56" s="15">
        <v>37.232125920485998</v>
      </c>
      <c r="E56" s="15">
        <v>38.639426532588004</v>
      </c>
      <c r="F56" s="15">
        <v>44.291830422924001</v>
      </c>
      <c r="G56" s="15">
        <v>57.051170637426011</v>
      </c>
      <c r="H56" s="15">
        <v>42.156530557092005</v>
      </c>
      <c r="I56" s="15">
        <v>43.863972817518011</v>
      </c>
      <c r="J56" s="15">
        <v>45.138339132264001</v>
      </c>
      <c r="K56" s="15">
        <v>29.561547117312003</v>
      </c>
      <c r="L56" s="253">
        <v>51.611153416703992</v>
      </c>
      <c r="M56" s="253">
        <v>45.717363258966003</v>
      </c>
      <c r="N56" s="253">
        <v>32.463204455052001</v>
      </c>
      <c r="O56" s="253">
        <v>33.463204455052001</v>
      </c>
    </row>
    <row r="57" spans="1:20" ht="10.25" customHeight="1">
      <c r="A57" s="117" t="s">
        <v>421</v>
      </c>
      <c r="B57" s="15">
        <v>6.1632037846259999</v>
      </c>
      <c r="C57" s="15">
        <v>2.2348098890460002</v>
      </c>
      <c r="D57" s="15">
        <v>0.79759696564800009</v>
      </c>
      <c r="E57" s="15">
        <v>1.55814966783</v>
      </c>
      <c r="F57" s="15">
        <v>1.5873498862200002</v>
      </c>
      <c r="G57" s="15">
        <v>1.9717411642740004</v>
      </c>
      <c r="H57" s="15">
        <v>2.2627292220539998</v>
      </c>
      <c r="I57" s="15">
        <v>1.7166421480319998</v>
      </c>
      <c r="J57" s="15">
        <v>1.7691143562540002</v>
      </c>
      <c r="K57" s="15">
        <v>2.5224160566780003</v>
      </c>
      <c r="L57" s="253">
        <v>2.6097168832560005</v>
      </c>
      <c r="M57" s="253">
        <v>2.8829378923379996</v>
      </c>
      <c r="N57" s="253">
        <v>2.4997018362120005</v>
      </c>
      <c r="O57" s="253">
        <v>2.8829378923379996</v>
      </c>
    </row>
    <row r="58" spans="1:20" ht="10.25" customHeight="1">
      <c r="A58" t="s">
        <v>84</v>
      </c>
      <c r="B58" s="15">
        <v>1323.6520901972758</v>
      </c>
      <c r="C58" s="15">
        <v>1153.354456637838</v>
      </c>
      <c r="D58" s="15">
        <v>1876.6194984711722</v>
      </c>
      <c r="E58" s="15">
        <v>2911.0484564629019</v>
      </c>
      <c r="F58" s="15">
        <v>2193.4384199738643</v>
      </c>
      <c r="G58" s="15">
        <v>3358.4855391315896</v>
      </c>
      <c r="H58" s="15">
        <v>3233.0068589106531</v>
      </c>
      <c r="I58" s="15">
        <v>1464.1127377805883</v>
      </c>
      <c r="J58" s="15">
        <v>2163.493910173554</v>
      </c>
      <c r="K58" s="15">
        <v>1878.4999153737178</v>
      </c>
      <c r="L58" s="253">
        <v>2014.3727820536042</v>
      </c>
      <c r="M58" s="253">
        <v>2242.5412316407378</v>
      </c>
      <c r="N58" s="253">
        <v>2556.3087402424744</v>
      </c>
      <c r="O58" s="253">
        <v>1900</v>
      </c>
    </row>
    <row r="59" spans="1:20" ht="10.25" customHeight="1">
      <c r="A59" t="s">
        <v>85</v>
      </c>
      <c r="B59" s="15">
        <v>125.02354482752401</v>
      </c>
      <c r="C59" s="15">
        <v>210.00315356181</v>
      </c>
      <c r="D59" s="15">
        <v>169.93776649651201</v>
      </c>
      <c r="E59" s="15">
        <v>169.066583657748</v>
      </c>
      <c r="F59" s="15">
        <v>199.71018791274602</v>
      </c>
      <c r="G59" s="15">
        <v>215.02181240278202</v>
      </c>
      <c r="H59" s="15">
        <v>83.700392251140002</v>
      </c>
      <c r="I59" s="15">
        <v>41.353675567974001</v>
      </c>
      <c r="J59" s="15">
        <v>62.485965108630005</v>
      </c>
      <c r="K59" s="15">
        <v>81.749345873580012</v>
      </c>
      <c r="L59" s="253">
        <v>63.549816477840011</v>
      </c>
      <c r="M59" s="253">
        <v>85.620728244239999</v>
      </c>
      <c r="N59" s="253">
        <v>70.971999999999994</v>
      </c>
      <c r="O59" s="253">
        <v>60</v>
      </c>
    </row>
    <row r="60" spans="1:20" ht="10.25" customHeight="1">
      <c r="A60" t="s">
        <v>87</v>
      </c>
      <c r="B60" s="15">
        <v>303.64964725964398</v>
      </c>
      <c r="C60" s="15">
        <v>258.56886860317803</v>
      </c>
      <c r="D60" s="15">
        <v>334.90629516342602</v>
      </c>
      <c r="E60" s="15">
        <v>247.93102291154401</v>
      </c>
      <c r="F60" s="15">
        <v>181.32182161959602</v>
      </c>
      <c r="G60" s="15">
        <v>183.22264229875202</v>
      </c>
      <c r="H60" s="15">
        <v>139.376793678696</v>
      </c>
      <c r="I60" s="15">
        <v>141.61652869329001</v>
      </c>
      <c r="J60" s="15">
        <v>181.96295656190398</v>
      </c>
      <c r="K60" s="15">
        <v>104.61279058889397</v>
      </c>
      <c r="L60" s="253">
        <v>119.97237001667401</v>
      </c>
      <c r="M60" s="253">
        <v>230.25271245366602</v>
      </c>
      <c r="N60" s="253">
        <v>200.66135223304801</v>
      </c>
      <c r="O60" s="253">
        <v>225</v>
      </c>
    </row>
    <row r="61" spans="1:20" ht="10.25" customHeight="1">
      <c r="A61" s="117" t="s">
        <v>456</v>
      </c>
      <c r="B61" s="15">
        <f t="shared" ref="B61:N61" si="3">SUM(B47:B60)</f>
        <v>3150.9671727968198</v>
      </c>
      <c r="C61" s="15">
        <f t="shared" si="3"/>
        <v>3152.8582539314002</v>
      </c>
      <c r="D61" s="15">
        <f t="shared" si="3"/>
        <v>4184.2976731359977</v>
      </c>
      <c r="E61" s="15">
        <f t="shared" si="3"/>
        <v>4830.3751879316678</v>
      </c>
      <c r="F61" s="15">
        <f t="shared" si="3"/>
        <v>4341.7124286057133</v>
      </c>
      <c r="G61" s="15">
        <f t="shared" si="3"/>
        <v>5377.6968118287023</v>
      </c>
      <c r="H61" s="15">
        <f t="shared" si="3"/>
        <v>5148.6419872263596</v>
      </c>
      <c r="I61" s="15">
        <f t="shared" si="3"/>
        <v>3784.5131627725386</v>
      </c>
      <c r="J61" s="15">
        <f t="shared" si="3"/>
        <v>4367.3903809783133</v>
      </c>
      <c r="K61" s="15">
        <f t="shared" si="3"/>
        <v>3651.4919265888921</v>
      </c>
      <c r="L61" s="253">
        <f t="shared" si="3"/>
        <v>3714.5757318320702</v>
      </c>
      <c r="M61" s="253">
        <f t="shared" si="3"/>
        <v>4164.9255544732923</v>
      </c>
      <c r="N61" s="253">
        <f t="shared" si="3"/>
        <v>4535.4479782924427</v>
      </c>
      <c r="O61" s="253">
        <f>SUM(O47:O60)</f>
        <v>3462.9633763473898</v>
      </c>
    </row>
    <row r="62" spans="1:20" ht="10.25" customHeight="1">
      <c r="A62" t="s">
        <v>92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253"/>
      <c r="M62" s="253"/>
      <c r="N62" s="253"/>
      <c r="O62" s="253"/>
    </row>
    <row r="63" spans="1:20" ht="10.25" customHeight="1">
      <c r="A63" t="s">
        <v>77</v>
      </c>
      <c r="B63" s="15">
        <v>805.65936714788404</v>
      </c>
      <c r="C63" s="15">
        <v>1115.9711704276947</v>
      </c>
      <c r="D63" s="15">
        <v>999.67484469182216</v>
      </c>
      <c r="E63" s="15">
        <v>1116.4638400601359</v>
      </c>
      <c r="F63" s="15">
        <v>965.25690586802011</v>
      </c>
      <c r="G63" s="15">
        <v>1320.4995538438384</v>
      </c>
      <c r="H63" s="15">
        <v>1051.0515455217121</v>
      </c>
      <c r="I63" s="15">
        <v>1136.0196615615118</v>
      </c>
      <c r="J63" s="15">
        <v>1188.549743315634</v>
      </c>
      <c r="K63" s="15">
        <v>1131.6582468358019</v>
      </c>
      <c r="L63" s="253">
        <v>1238.5102754358061</v>
      </c>
      <c r="M63" s="253">
        <v>1161.4980721417699</v>
      </c>
      <c r="N63" s="253">
        <v>1005.9810933729538</v>
      </c>
      <c r="O63" s="253">
        <v>1003.7277039999999</v>
      </c>
      <c r="P63" s="15"/>
      <c r="Q63" s="15"/>
      <c r="R63" s="15"/>
      <c r="S63" s="15"/>
      <c r="T63" s="15"/>
    </row>
    <row r="64" spans="1:20" ht="10.25" customHeight="1">
      <c r="A64" t="s">
        <v>78</v>
      </c>
      <c r="B64" s="15">
        <v>1653.0855688741904</v>
      </c>
      <c r="C64" s="15">
        <v>1684.6369031388035</v>
      </c>
      <c r="D64" s="15">
        <v>1831.6070154047379</v>
      </c>
      <c r="E64" s="15">
        <v>1756.0666496253439</v>
      </c>
      <c r="F64" s="15">
        <v>1567.7993531418733</v>
      </c>
      <c r="G64" s="15">
        <v>1895.0803012535878</v>
      </c>
      <c r="H64" s="15">
        <v>2804.644150177066</v>
      </c>
      <c r="I64" s="15">
        <v>2742.3548912957858</v>
      </c>
      <c r="J64" s="15">
        <v>2726.2658212555179</v>
      </c>
      <c r="K64" s="15">
        <v>2927.9301510077485</v>
      </c>
      <c r="L64" s="253">
        <v>3870.2191376859719</v>
      </c>
      <c r="M64" s="253">
        <v>4288.8865532831724</v>
      </c>
      <c r="N64" s="253">
        <v>4826.0689523982601</v>
      </c>
      <c r="O64" s="253">
        <v>5342.15</v>
      </c>
      <c r="P64" s="15"/>
      <c r="Q64" s="15"/>
      <c r="R64" s="15"/>
      <c r="S64" s="15"/>
      <c r="T64" s="15"/>
    </row>
    <row r="65" spans="1:20" ht="10.25" customHeight="1">
      <c r="A65" t="s">
        <v>79</v>
      </c>
      <c r="B65" s="15">
        <v>934.60530939473404</v>
      </c>
      <c r="C65" s="15">
        <v>859.72269348941802</v>
      </c>
      <c r="D65" s="15">
        <v>713.9124309085521</v>
      </c>
      <c r="E65" s="15">
        <v>622.62017890968195</v>
      </c>
      <c r="F65" s="15">
        <v>502.05297804131203</v>
      </c>
      <c r="G65" s="15">
        <v>551.92322662066999</v>
      </c>
      <c r="H65" s="15">
        <v>599.50524319104193</v>
      </c>
      <c r="I65" s="15">
        <v>571.61889468866798</v>
      </c>
      <c r="J65" s="15">
        <v>584.25441577419792</v>
      </c>
      <c r="K65" s="15">
        <v>538.54962385942599</v>
      </c>
      <c r="L65" s="253">
        <v>540.92412416890193</v>
      </c>
      <c r="M65" s="253">
        <v>433.24362683097991</v>
      </c>
      <c r="N65" s="253">
        <v>435.17942153772003</v>
      </c>
      <c r="O65" s="253">
        <v>504.12900000000002</v>
      </c>
      <c r="P65" s="15"/>
      <c r="Q65" s="15"/>
      <c r="R65" s="15"/>
      <c r="S65" s="15"/>
      <c r="T65" s="15"/>
    </row>
    <row r="66" spans="1:20" ht="10.25" customHeight="1">
      <c r="A66" t="s">
        <v>80</v>
      </c>
      <c r="B66" s="15">
        <v>613.57559601562411</v>
      </c>
      <c r="C66" s="15">
        <v>720.06017234452395</v>
      </c>
      <c r="D66" s="15">
        <v>732.45023092304609</v>
      </c>
      <c r="E66" s="15">
        <v>798.8349652159161</v>
      </c>
      <c r="F66" s="15">
        <v>779.95583160216995</v>
      </c>
      <c r="G66" s="15">
        <v>790.9627176762458</v>
      </c>
      <c r="H66" s="15">
        <v>789.54274072260591</v>
      </c>
      <c r="I66" s="15">
        <v>820.79374574465589</v>
      </c>
      <c r="J66" s="15">
        <v>819.97477022378405</v>
      </c>
      <c r="K66" s="15">
        <v>821.75317044610995</v>
      </c>
      <c r="L66" s="253">
        <v>882.80358397978796</v>
      </c>
      <c r="M66" s="253">
        <v>890.35233496649209</v>
      </c>
      <c r="N66" s="253">
        <v>928.53606451116207</v>
      </c>
      <c r="O66" s="253">
        <v>959.40099999999995</v>
      </c>
      <c r="P66" s="15"/>
      <c r="Q66" s="15"/>
      <c r="R66" s="15"/>
      <c r="S66" s="15"/>
      <c r="T66" s="15"/>
    </row>
    <row r="67" spans="1:20" ht="10.25" customHeight="1">
      <c r="A67" t="s">
        <v>389</v>
      </c>
      <c r="B67" s="253">
        <v>526.59605721706191</v>
      </c>
      <c r="C67" s="15">
        <v>518.46728080051798</v>
      </c>
      <c r="D67" s="15">
        <v>571.620547464624</v>
      </c>
      <c r="E67" s="15">
        <v>576.45817817930993</v>
      </c>
      <c r="F67" s="15">
        <v>605.85632466646132</v>
      </c>
      <c r="G67" s="15">
        <v>590.0412026515861</v>
      </c>
      <c r="H67" s="15">
        <v>643.25147643136802</v>
      </c>
      <c r="I67" s="15">
        <v>694.03062093762605</v>
      </c>
      <c r="J67" s="15">
        <v>660.12084273416406</v>
      </c>
      <c r="K67" s="15">
        <v>695.91540299173198</v>
      </c>
      <c r="L67" s="253">
        <v>684.86571627352191</v>
      </c>
      <c r="M67" s="253">
        <v>742.15900290823186</v>
      </c>
      <c r="N67" s="253">
        <v>702.84561681637808</v>
      </c>
      <c r="O67" s="253">
        <v>723.11601600000006</v>
      </c>
      <c r="P67" s="15"/>
      <c r="Q67" s="15"/>
      <c r="R67" s="15"/>
      <c r="S67" s="15"/>
      <c r="T67" s="15"/>
    </row>
    <row r="68" spans="1:20" ht="10.25" customHeight="1">
      <c r="A68" t="s">
        <v>81</v>
      </c>
      <c r="B68" s="15">
        <v>722.47806958880199</v>
      </c>
      <c r="C68" s="15">
        <v>1243.8575685073724</v>
      </c>
      <c r="D68" s="15">
        <v>1461.0846824390162</v>
      </c>
      <c r="E68" s="15">
        <v>2090.0923657332396</v>
      </c>
      <c r="F68" s="15">
        <v>2116.1756298581922</v>
      </c>
      <c r="G68" s="15">
        <v>2111.4517787034329</v>
      </c>
      <c r="H68" s="15">
        <v>2107.947118109942</v>
      </c>
      <c r="I68" s="15">
        <v>2195.4704555944168</v>
      </c>
      <c r="J68" s="15">
        <v>2832.9077036014392</v>
      </c>
      <c r="K68" s="15">
        <v>2662.1068811236205</v>
      </c>
      <c r="L68" s="253">
        <v>2405.1625373635898</v>
      </c>
      <c r="M68" s="253">
        <v>2797.4732929022903</v>
      </c>
      <c r="N68" s="253">
        <v>2984.4088443233422</v>
      </c>
      <c r="O68" s="253">
        <v>3349.9832188</v>
      </c>
      <c r="P68" s="15"/>
      <c r="Q68" s="15"/>
      <c r="R68" s="15"/>
      <c r="S68" s="15"/>
      <c r="T68" s="15"/>
    </row>
    <row r="69" spans="1:20" ht="10.25" customHeight="1">
      <c r="A69" t="s">
        <v>82</v>
      </c>
      <c r="B69" s="15">
        <v>500.65649389714002</v>
      </c>
      <c r="C69" s="15">
        <v>530.11982670338182</v>
      </c>
      <c r="D69" s="15">
        <v>638.28063339563221</v>
      </c>
      <c r="E69" s="15">
        <v>523.68567050258798</v>
      </c>
      <c r="F69" s="15">
        <v>734.49476513296815</v>
      </c>
      <c r="G69" s="15">
        <v>661.7289498097341</v>
      </c>
      <c r="H69" s="15">
        <v>621.92301663768205</v>
      </c>
      <c r="I69" s="15">
        <v>666.77579370695605</v>
      </c>
      <c r="J69" s="15">
        <v>609.14264731676997</v>
      </c>
      <c r="K69" s="15">
        <v>591.70710321966612</v>
      </c>
      <c r="L69" s="253">
        <v>659.00890232200413</v>
      </c>
      <c r="M69" s="253">
        <v>772.27592157152208</v>
      </c>
      <c r="N69" s="253">
        <v>789.66747930975191</v>
      </c>
      <c r="O69" s="253">
        <v>916.71962800000017</v>
      </c>
      <c r="P69" s="15"/>
      <c r="Q69" s="15"/>
      <c r="R69" s="15"/>
      <c r="S69" s="15"/>
      <c r="T69" s="15"/>
    </row>
    <row r="70" spans="1:20" ht="10.25" customHeight="1">
      <c r="A70" t="s">
        <v>459</v>
      </c>
      <c r="B70" s="15">
        <v>210.14462693975997</v>
      </c>
      <c r="C70" s="15">
        <v>259.76118201806003</v>
      </c>
      <c r="D70" s="15">
        <v>273.87219378091203</v>
      </c>
      <c r="E70" s="15">
        <v>218.82216133689002</v>
      </c>
      <c r="F70" s="15">
        <v>193.72578868158999</v>
      </c>
      <c r="G70" s="15">
        <v>198.76279558392199</v>
      </c>
      <c r="H70" s="15">
        <v>226.178445059544</v>
      </c>
      <c r="I70" s="15">
        <v>218.40133741410605</v>
      </c>
      <c r="J70" s="15">
        <v>200.85382144853799</v>
      </c>
      <c r="K70" s="15">
        <v>251.132798349382</v>
      </c>
      <c r="L70" s="253">
        <v>233.44884265241197</v>
      </c>
      <c r="M70" s="253">
        <v>306.20595707239397</v>
      </c>
      <c r="N70" s="253">
        <v>306.98678944363002</v>
      </c>
      <c r="O70" s="253">
        <v>295</v>
      </c>
      <c r="P70" s="15"/>
      <c r="Q70" s="15"/>
      <c r="R70" s="15"/>
      <c r="S70" s="15"/>
      <c r="T70" s="15"/>
    </row>
    <row r="71" spans="1:20" ht="10.25" customHeight="1">
      <c r="A71" t="s">
        <v>86</v>
      </c>
      <c r="B71" s="15">
        <v>1660.4126761378993</v>
      </c>
      <c r="C71" s="15">
        <v>1919.0077029622664</v>
      </c>
      <c r="D71" s="15">
        <v>1984.7564831796981</v>
      </c>
      <c r="E71" s="15">
        <v>2923.3665294441489</v>
      </c>
      <c r="F71" s="15">
        <v>2830.6699999999996</v>
      </c>
      <c r="G71" s="15">
        <v>2847.9120000000003</v>
      </c>
      <c r="H71" s="15">
        <v>3651.0846296281479</v>
      </c>
      <c r="I71" s="15">
        <v>3834.7926474462142</v>
      </c>
      <c r="J71" s="15">
        <v>3607.3671178921786</v>
      </c>
      <c r="K71" s="15">
        <v>4550.2641395629016</v>
      </c>
      <c r="L71" s="253">
        <v>5010.1518215074257</v>
      </c>
      <c r="M71" s="253">
        <v>5318.117022242388</v>
      </c>
      <c r="N71" s="253">
        <v>5844.0646543587472</v>
      </c>
      <c r="O71" s="253">
        <v>6039.8069999999998</v>
      </c>
      <c r="P71" s="15"/>
      <c r="Q71" s="15"/>
      <c r="R71" s="15"/>
      <c r="S71" s="15"/>
      <c r="T71" s="15"/>
    </row>
    <row r="72" spans="1:20" ht="10.25" customHeight="1">
      <c r="A72" t="s">
        <v>83</v>
      </c>
      <c r="B72" s="15">
        <v>103.042460282788</v>
      </c>
      <c r="C72" s="15">
        <v>87.765473747955838</v>
      </c>
      <c r="D72" s="15">
        <v>88.793392766128449</v>
      </c>
      <c r="E72" s="15">
        <v>89.464711232528629</v>
      </c>
      <c r="F72" s="15">
        <v>94.913403149362665</v>
      </c>
      <c r="G72" s="15">
        <v>88.609958593871411</v>
      </c>
      <c r="H72" s="15">
        <v>96.175837788636301</v>
      </c>
      <c r="I72" s="15">
        <v>86.189926024216021</v>
      </c>
      <c r="J72" s="15">
        <v>80.941560593774568</v>
      </c>
      <c r="K72" s="15">
        <v>85.71228119420131</v>
      </c>
      <c r="L72" s="253">
        <v>50.054341387612958</v>
      </c>
      <c r="M72" s="253">
        <v>48.450222130183832</v>
      </c>
      <c r="N72" s="253">
        <v>59.541632954507627</v>
      </c>
      <c r="O72" s="253">
        <v>58.744491658975868</v>
      </c>
      <c r="P72" s="15"/>
      <c r="Q72" s="15"/>
      <c r="R72" s="15"/>
      <c r="S72" s="15"/>
      <c r="T72" s="15"/>
    </row>
    <row r="73" spans="1:20" ht="10.25" customHeight="1">
      <c r="A73" s="117" t="s">
        <v>421</v>
      </c>
      <c r="B73" s="15">
        <v>19.842823769832002</v>
      </c>
      <c r="C73" s="15">
        <v>23.743190305925999</v>
      </c>
      <c r="D73" s="15">
        <v>25.683171685668</v>
      </c>
      <c r="E73" s="15">
        <v>26.247845927771998</v>
      </c>
      <c r="F73" s="15">
        <v>22.026239510814001</v>
      </c>
      <c r="G73" s="15">
        <v>29.444602943322</v>
      </c>
      <c r="H73" s="15">
        <v>25.505611429788008</v>
      </c>
      <c r="I73" s="15">
        <v>25.809686123759995</v>
      </c>
      <c r="J73" s="15">
        <v>27.61186540077</v>
      </c>
      <c r="K73" s="15">
        <v>26.376467984495999</v>
      </c>
      <c r="L73" s="253">
        <v>31.235642265366003</v>
      </c>
      <c r="M73" s="253">
        <v>30.969934608060008</v>
      </c>
      <c r="N73" s="253">
        <v>35.813528825256</v>
      </c>
      <c r="O73" s="253">
        <v>39.430292769129998</v>
      </c>
      <c r="P73" s="15"/>
      <c r="Q73" s="15"/>
      <c r="R73" s="15"/>
      <c r="S73" s="15"/>
      <c r="T73" s="15"/>
    </row>
    <row r="74" spans="1:20" ht="10.25" customHeight="1">
      <c r="A74" t="s">
        <v>84</v>
      </c>
      <c r="B74" s="15">
        <v>17438.951194781061</v>
      </c>
      <c r="C74" s="15">
        <v>17958.607551960602</v>
      </c>
      <c r="D74" s="15">
        <v>18574.448188614173</v>
      </c>
      <c r="E74" s="15">
        <v>18334.765425604342</v>
      </c>
      <c r="F74" s="15">
        <v>16265.203884786391</v>
      </c>
      <c r="G74" s="15">
        <v>15814.127585273269</v>
      </c>
      <c r="H74" s="15">
        <v>16544.359912982418</v>
      </c>
      <c r="I74" s="15">
        <v>18510.819210565198</v>
      </c>
      <c r="J74" s="15">
        <v>18786.345654953118</v>
      </c>
      <c r="K74" s="15">
        <v>18906.305567893392</v>
      </c>
      <c r="L74" s="253">
        <v>18958.91230114342</v>
      </c>
      <c r="M74" s="253">
        <v>20162.2479225438</v>
      </c>
      <c r="N74" s="253">
        <v>19861.663646747144</v>
      </c>
      <c r="O74" s="253">
        <v>20999.954000000002</v>
      </c>
      <c r="P74" s="15"/>
      <c r="Q74" s="15"/>
      <c r="R74" s="15"/>
      <c r="S74" s="15"/>
      <c r="T74" s="15"/>
    </row>
    <row r="75" spans="1:20" ht="10.25" customHeight="1">
      <c r="A75" t="s">
        <v>85</v>
      </c>
      <c r="B75" s="15">
        <v>222.98245517247597</v>
      </c>
      <c r="C75" s="15">
        <v>367.64884643818993</v>
      </c>
      <c r="D75" s="15">
        <v>580.065233503488</v>
      </c>
      <c r="E75" s="15">
        <v>600.00141634225201</v>
      </c>
      <c r="F75" s="15">
        <v>428.54781208725399</v>
      </c>
      <c r="G75" s="15">
        <v>583.27118759721793</v>
      </c>
      <c r="H75" s="15">
        <v>529.30560774885998</v>
      </c>
      <c r="I75" s="15">
        <v>453.25332443202598</v>
      </c>
      <c r="J75" s="15">
        <v>437.07503489137002</v>
      </c>
      <c r="K75" s="15">
        <v>424.67765412642001</v>
      </c>
      <c r="L75" s="253">
        <v>435.33218352216005</v>
      </c>
      <c r="M75" s="253">
        <v>433.37727175576003</v>
      </c>
      <c r="N75" s="253">
        <v>498.80799999999999</v>
      </c>
      <c r="O75" s="253">
        <v>525.81399999999996</v>
      </c>
      <c r="P75" s="15"/>
      <c r="Q75" s="15"/>
      <c r="R75" s="15"/>
      <c r="S75" s="15"/>
      <c r="T75" s="15"/>
    </row>
    <row r="76" spans="1:20" ht="10.25" customHeight="1">
      <c r="A76" t="s">
        <v>87</v>
      </c>
      <c r="B76" s="15">
        <v>1528.3150900406463</v>
      </c>
      <c r="C76" s="15">
        <v>1566.688352521636</v>
      </c>
      <c r="D76" s="15">
        <v>1476.9956379263342</v>
      </c>
      <c r="E76" s="15">
        <v>1564.5458089180856</v>
      </c>
      <c r="F76" s="15">
        <v>1681.2587976971499</v>
      </c>
      <c r="G76" s="15">
        <v>1680.6599856627963</v>
      </c>
      <c r="H76" s="15">
        <v>1901.8913213882076</v>
      </c>
      <c r="I76" s="15">
        <v>1961.5987817056821</v>
      </c>
      <c r="J76" s="15">
        <v>1921.3914723455705</v>
      </c>
      <c r="K76" s="15">
        <v>1904.2148902112458</v>
      </c>
      <c r="L76" s="253">
        <v>1792.6318156670043</v>
      </c>
      <c r="M76" s="253">
        <v>1948.9976329875462</v>
      </c>
      <c r="N76" s="253">
        <v>1924.5027022192517</v>
      </c>
      <c r="O76" s="253">
        <v>1983.69</v>
      </c>
      <c r="P76" s="15"/>
      <c r="Q76" s="15"/>
      <c r="R76" s="15"/>
      <c r="S76" s="15"/>
      <c r="T76" s="15"/>
    </row>
    <row r="77" spans="1:20" ht="10.25" customHeight="1">
      <c r="A77" s="1" t="s">
        <v>457</v>
      </c>
      <c r="B77" s="16">
        <f t="shared" ref="B77:M77" si="4">SUM(B63:B76)</f>
        <v>26940.347789259897</v>
      </c>
      <c r="C77" s="16">
        <f t="shared" si="4"/>
        <v>28856.057915366349</v>
      </c>
      <c r="D77" s="16">
        <f t="shared" si="4"/>
        <v>29953.244686683833</v>
      </c>
      <c r="E77" s="16">
        <f t="shared" si="4"/>
        <v>31241.435747032239</v>
      </c>
      <c r="F77" s="16">
        <f t="shared" si="4"/>
        <v>28787.937714223561</v>
      </c>
      <c r="G77" s="16">
        <f t="shared" si="4"/>
        <v>29164.475846213492</v>
      </c>
      <c r="H77" s="16">
        <f t="shared" si="4"/>
        <v>31592.366656817019</v>
      </c>
      <c r="I77" s="16">
        <f t="shared" si="4"/>
        <v>33917.928977240823</v>
      </c>
      <c r="J77" s="16">
        <f t="shared" si="4"/>
        <v>34482.802471746822</v>
      </c>
      <c r="K77" s="16">
        <f t="shared" si="4"/>
        <v>35518.30437880614</v>
      </c>
      <c r="L77" s="16">
        <f t="shared" si="4"/>
        <v>36793.261225374983</v>
      </c>
      <c r="M77" s="16">
        <f t="shared" si="4"/>
        <v>39334.254767944585</v>
      </c>
      <c r="N77" s="294">
        <f>SUM(N63:N76)</f>
        <v>40204.068426818099</v>
      </c>
      <c r="O77" s="294">
        <f>SUM(O63:O76)</f>
        <v>42741.666351228108</v>
      </c>
    </row>
    <row r="78" spans="1:20" ht="13.25" customHeight="1">
      <c r="A78" s="117" t="s">
        <v>777</v>
      </c>
    </row>
    <row r="79" spans="1:20" ht="13.25" customHeight="1">
      <c r="A79" s="117" t="s">
        <v>617</v>
      </c>
    </row>
    <row r="80" spans="1:20">
      <c r="A80" s="117" t="s">
        <v>496</v>
      </c>
      <c r="L80" s="160"/>
      <c r="M80" s="160"/>
      <c r="O80" s="313" t="s">
        <v>679</v>
      </c>
    </row>
    <row r="81" spans="1:1" ht="10.25" customHeight="1">
      <c r="A81" s="175"/>
    </row>
  </sheetData>
  <phoneticPr fontId="0" type="noConversion"/>
  <pageMargins left="0.7" right="0.7" top="0.75" bottom="0.75" header="0.3" footer="0.3"/>
  <pageSetup scale="32" firstPageNumber="5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N48"/>
  <sheetViews>
    <sheetView zoomScaleNormal="100" zoomScaleSheetLayoutView="100" workbookViewId="0"/>
  </sheetViews>
  <sheetFormatPr baseColWidth="10" defaultColWidth="8.75" defaultRowHeight="11"/>
  <cols>
    <col min="1" max="5" width="12.75" customWidth="1"/>
    <col min="6" max="6" width="2.75" customWidth="1"/>
    <col min="7" max="9" width="12.75" customWidth="1"/>
    <col min="10" max="10" width="2.75" customWidth="1"/>
    <col min="11" max="11" width="12.75" customWidth="1"/>
    <col min="12" max="12" width="11.75" customWidth="1"/>
    <col min="13" max="13" width="13.75" customWidth="1"/>
  </cols>
  <sheetData>
    <row r="1" spans="1:13">
      <c r="A1" s="1" t="s">
        <v>716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t="s">
        <v>107</v>
      </c>
      <c r="B2" s="1"/>
      <c r="C2" s="346" t="s">
        <v>119</v>
      </c>
      <c r="D2" s="318"/>
      <c r="E2" s="318"/>
      <c r="G2" s="1"/>
      <c r="H2" s="318" t="s">
        <v>117</v>
      </c>
      <c r="I2" s="318"/>
      <c r="K2" s="187" t="s">
        <v>143</v>
      </c>
      <c r="L2" s="339" t="s">
        <v>118</v>
      </c>
      <c r="M2" s="3"/>
    </row>
    <row r="3" spans="1:13">
      <c r="A3" t="s">
        <v>100</v>
      </c>
      <c r="B3" s="187" t="s">
        <v>141</v>
      </c>
      <c r="C3" s="10" t="s">
        <v>538</v>
      </c>
      <c r="D3" s="7" t="s">
        <v>88</v>
      </c>
      <c r="E3" s="187" t="s">
        <v>3</v>
      </c>
      <c r="G3" s="10" t="s">
        <v>142</v>
      </c>
      <c r="H3" s="187" t="s">
        <v>90</v>
      </c>
      <c r="I3" s="187" t="s">
        <v>3</v>
      </c>
      <c r="K3" s="187" t="s">
        <v>110</v>
      </c>
      <c r="L3" s="7" t="s">
        <v>378</v>
      </c>
      <c r="M3" s="7" t="s">
        <v>540</v>
      </c>
    </row>
    <row r="4" spans="1:13">
      <c r="A4" s="1" t="s">
        <v>140</v>
      </c>
      <c r="B4" s="318" t="s">
        <v>110</v>
      </c>
      <c r="C4" s="318"/>
      <c r="D4" s="318"/>
      <c r="E4" s="318"/>
      <c r="F4" s="1"/>
      <c r="G4" s="1"/>
      <c r="H4" s="1"/>
      <c r="I4" s="1"/>
      <c r="J4" s="1"/>
      <c r="K4" s="1"/>
      <c r="L4" s="318" t="s">
        <v>144</v>
      </c>
      <c r="M4" s="318" t="s">
        <v>539</v>
      </c>
    </row>
    <row r="5" spans="1:13">
      <c r="C5" s="38"/>
      <c r="D5" s="38"/>
      <c r="E5" s="38"/>
      <c r="F5" s="38"/>
      <c r="G5" s="369" t="s">
        <v>91</v>
      </c>
      <c r="H5" s="38"/>
      <c r="I5" s="38"/>
      <c r="J5" s="38"/>
      <c r="K5" s="38"/>
      <c r="L5" s="7" t="s">
        <v>521</v>
      </c>
      <c r="M5" s="7" t="s">
        <v>521</v>
      </c>
    </row>
    <row r="6" spans="1:13">
      <c r="B6" s="38"/>
      <c r="C6" s="38"/>
      <c r="D6" s="38"/>
      <c r="E6" s="38"/>
      <c r="F6" s="38"/>
      <c r="G6" s="38"/>
      <c r="H6" s="38"/>
      <c r="I6" s="38"/>
      <c r="J6" s="38"/>
      <c r="K6" s="38"/>
      <c r="L6" s="7"/>
      <c r="M6" s="7"/>
    </row>
    <row r="7" spans="1:13">
      <c r="A7" s="10" t="s">
        <v>276</v>
      </c>
      <c r="B7" s="31">
        <v>66</v>
      </c>
      <c r="C7" s="31">
        <v>863.505</v>
      </c>
      <c r="D7" s="31">
        <v>0</v>
      </c>
      <c r="E7" s="31">
        <f>+B7+C7+D7</f>
        <v>929.505</v>
      </c>
      <c r="F7" s="31"/>
      <c r="G7" s="31">
        <f t="shared" ref="G7:G25" si="0">+I7-H7</f>
        <v>673.27199999999993</v>
      </c>
      <c r="H7" s="31">
        <v>180.53299999999999</v>
      </c>
      <c r="I7" s="31">
        <f t="shared" ref="I7:I25" si="1">+E7-K7</f>
        <v>853.80499999999995</v>
      </c>
      <c r="J7" s="31"/>
      <c r="K7" s="31">
        <v>75.7</v>
      </c>
      <c r="L7" s="33">
        <v>25.22</v>
      </c>
      <c r="M7" s="265" t="s">
        <v>317</v>
      </c>
    </row>
    <row r="8" spans="1:13">
      <c r="A8" s="10" t="s">
        <v>277</v>
      </c>
      <c r="B8" s="31">
        <f t="shared" ref="B8:B25" si="2">+K7</f>
        <v>75.7</v>
      </c>
      <c r="C8" s="31">
        <v>871.52300000000002</v>
      </c>
      <c r="D8" s="31">
        <v>0</v>
      </c>
      <c r="E8" s="31">
        <f t="shared" ref="E8:E30" si="3">+B8+C8+D8</f>
        <v>947.22300000000007</v>
      </c>
      <c r="F8" s="31"/>
      <c r="G8" s="31">
        <f t="shared" si="0"/>
        <v>692.17400000000009</v>
      </c>
      <c r="H8" s="31">
        <v>202.249</v>
      </c>
      <c r="I8" s="31">
        <f t="shared" si="1"/>
        <v>894.42300000000012</v>
      </c>
      <c r="J8" s="31"/>
      <c r="K8" s="31">
        <v>52.8</v>
      </c>
      <c r="L8" s="33">
        <v>23.42</v>
      </c>
      <c r="M8" s="265" t="s">
        <v>317</v>
      </c>
    </row>
    <row r="9" spans="1:13">
      <c r="A9" s="10" t="s">
        <v>278</v>
      </c>
      <c r="B9" s="31">
        <f t="shared" si="2"/>
        <v>52.8</v>
      </c>
      <c r="C9" s="31">
        <v>982.59699999999998</v>
      </c>
      <c r="D9" s="31">
        <v>0.56000000000000005</v>
      </c>
      <c r="E9" s="31">
        <f t="shared" si="3"/>
        <v>1035.9569999999999</v>
      </c>
      <c r="F9" s="31"/>
      <c r="G9" s="31">
        <f t="shared" si="0"/>
        <v>722.07899999999995</v>
      </c>
      <c r="H9" s="31">
        <v>224.37799999999999</v>
      </c>
      <c r="I9" s="31">
        <f t="shared" si="1"/>
        <v>946.45699999999988</v>
      </c>
      <c r="J9" s="31"/>
      <c r="K9" s="31">
        <v>89.5</v>
      </c>
      <c r="L9" s="33">
        <v>23.82</v>
      </c>
      <c r="M9" s="265" t="s">
        <v>317</v>
      </c>
    </row>
    <row r="10" spans="1:13">
      <c r="A10" s="10" t="s">
        <v>279</v>
      </c>
      <c r="B10" s="31">
        <f t="shared" si="2"/>
        <v>89.5</v>
      </c>
      <c r="C10" s="31">
        <v>1052.9839999999999</v>
      </c>
      <c r="D10" s="31">
        <v>0</v>
      </c>
      <c r="E10" s="31">
        <f t="shared" si="3"/>
        <v>1142.4839999999999</v>
      </c>
      <c r="F10" s="31"/>
      <c r="G10" s="31">
        <f t="shared" si="0"/>
        <v>762.15299999999991</v>
      </c>
      <c r="H10" s="31">
        <v>310.63099999999997</v>
      </c>
      <c r="I10" s="31">
        <f t="shared" si="1"/>
        <v>1072.7839999999999</v>
      </c>
      <c r="J10" s="31"/>
      <c r="K10" s="31">
        <v>69.7</v>
      </c>
      <c r="L10" s="33">
        <v>28.62</v>
      </c>
      <c r="M10" s="265" t="s">
        <v>317</v>
      </c>
    </row>
    <row r="11" spans="1:13">
      <c r="A11" s="10" t="s">
        <v>280</v>
      </c>
      <c r="B11" s="31">
        <f t="shared" si="2"/>
        <v>69.7</v>
      </c>
      <c r="C11" s="31">
        <v>1193.9480000000001</v>
      </c>
      <c r="D11" s="31">
        <v>0</v>
      </c>
      <c r="E11" s="31">
        <f t="shared" si="3"/>
        <v>1263.6480000000001</v>
      </c>
      <c r="F11" s="31"/>
      <c r="G11" s="31">
        <f t="shared" si="0"/>
        <v>930.08800000000019</v>
      </c>
      <c r="H11" s="31">
        <v>260.06</v>
      </c>
      <c r="I11" s="31">
        <f t="shared" si="1"/>
        <v>1190.1480000000001</v>
      </c>
      <c r="J11" s="31"/>
      <c r="K11" s="31">
        <v>73.5</v>
      </c>
      <c r="L11" s="33">
        <v>29.14</v>
      </c>
      <c r="M11" s="265" t="s">
        <v>317</v>
      </c>
    </row>
    <row r="12" spans="1:13">
      <c r="A12" s="10" t="s">
        <v>281</v>
      </c>
      <c r="B12" s="31">
        <f t="shared" si="2"/>
        <v>73.5</v>
      </c>
      <c r="C12" s="31">
        <v>1252.7260000000001</v>
      </c>
      <c r="D12" s="31">
        <v>0</v>
      </c>
      <c r="E12" s="31">
        <f t="shared" si="3"/>
        <v>1326.2260000000001</v>
      </c>
      <c r="F12" s="31"/>
      <c r="G12" s="31">
        <f t="shared" si="0"/>
        <v>862.09400000000005</v>
      </c>
      <c r="H12" s="31">
        <v>343.93200000000002</v>
      </c>
      <c r="I12" s="31">
        <f t="shared" si="1"/>
        <v>1206.0260000000001</v>
      </c>
      <c r="J12" s="31"/>
      <c r="K12" s="31">
        <v>120.2</v>
      </c>
      <c r="L12" s="33">
        <v>18.46</v>
      </c>
      <c r="M12" s="265" t="s">
        <v>317</v>
      </c>
    </row>
    <row r="13" spans="1:13">
      <c r="A13" s="10" t="s">
        <v>282</v>
      </c>
      <c r="B13" s="31">
        <f t="shared" si="2"/>
        <v>120.2</v>
      </c>
      <c r="C13" s="31">
        <v>1400.1</v>
      </c>
      <c r="D13" s="31">
        <v>0</v>
      </c>
      <c r="E13" s="31">
        <f t="shared" si="3"/>
        <v>1520.3</v>
      </c>
      <c r="F13" s="31"/>
      <c r="G13" s="31">
        <f t="shared" si="0"/>
        <v>1143.1129999999998</v>
      </c>
      <c r="H13" s="31">
        <v>267.78699999999998</v>
      </c>
      <c r="I13" s="31">
        <f t="shared" si="1"/>
        <v>1410.8999999999999</v>
      </c>
      <c r="J13" s="31"/>
      <c r="K13" s="31">
        <v>109.4</v>
      </c>
      <c r="L13" s="33">
        <v>21.43</v>
      </c>
      <c r="M13" s="265" t="s">
        <v>317</v>
      </c>
    </row>
    <row r="14" spans="1:13">
      <c r="A14" s="10" t="s">
        <v>283</v>
      </c>
      <c r="B14" s="31">
        <f t="shared" si="2"/>
        <v>109.4</v>
      </c>
      <c r="C14" s="31">
        <v>1435.2950000000001</v>
      </c>
      <c r="D14" s="31">
        <v>2.234</v>
      </c>
      <c r="E14" s="31">
        <f t="shared" si="3"/>
        <v>1546.9290000000001</v>
      </c>
      <c r="F14" s="31"/>
      <c r="G14" s="31">
        <f t="shared" si="0"/>
        <v>1065.9180000000001</v>
      </c>
      <c r="H14" s="31">
        <v>369.911</v>
      </c>
      <c r="I14" s="31">
        <f t="shared" si="1"/>
        <v>1435.8290000000002</v>
      </c>
      <c r="J14" s="31"/>
      <c r="K14" s="31">
        <v>111.1</v>
      </c>
      <c r="L14" s="33">
        <v>23.27</v>
      </c>
      <c r="M14" s="265" t="s">
        <v>317</v>
      </c>
    </row>
    <row r="15" spans="1:13">
      <c r="A15" s="10" t="s">
        <v>284</v>
      </c>
      <c r="B15" s="31">
        <f t="shared" si="2"/>
        <v>111.1</v>
      </c>
      <c r="C15" s="31">
        <v>1414.8869999999999</v>
      </c>
      <c r="D15" s="31">
        <v>0.80338098975399985</v>
      </c>
      <c r="E15" s="31">
        <f t="shared" si="3"/>
        <v>1526.7903809897539</v>
      </c>
      <c r="F15" s="31"/>
      <c r="G15" s="31">
        <f t="shared" si="0"/>
        <v>1064.395915756128</v>
      </c>
      <c r="H15" s="31">
        <v>363.89446523362597</v>
      </c>
      <c r="I15" s="31">
        <f t="shared" si="1"/>
        <v>1428.2903809897539</v>
      </c>
      <c r="J15" s="31"/>
      <c r="K15" s="31">
        <v>98.5</v>
      </c>
      <c r="L15" s="33">
        <v>21.01</v>
      </c>
      <c r="M15" s="265" t="s">
        <v>317</v>
      </c>
    </row>
    <row r="16" spans="1:13">
      <c r="A16" s="10" t="s">
        <v>9</v>
      </c>
      <c r="B16" s="31">
        <f t="shared" si="2"/>
        <v>98.5</v>
      </c>
      <c r="C16" s="31">
        <v>1470.3</v>
      </c>
      <c r="D16" s="31">
        <v>0</v>
      </c>
      <c r="E16" s="31">
        <f t="shared" si="3"/>
        <v>1568.8</v>
      </c>
      <c r="F16" s="31"/>
      <c r="G16" s="31">
        <f t="shared" si="0"/>
        <v>1111.1774949968681</v>
      </c>
      <c r="H16" s="31">
        <v>413.52250500313204</v>
      </c>
      <c r="I16" s="31">
        <f t="shared" si="1"/>
        <v>1524.7</v>
      </c>
      <c r="J16" s="31"/>
      <c r="K16" s="31">
        <v>44.1</v>
      </c>
      <c r="L16" s="33">
        <v>24.82</v>
      </c>
      <c r="M16" s="265" t="s">
        <v>317</v>
      </c>
    </row>
    <row r="17" spans="1:13">
      <c r="A17" s="10" t="s">
        <v>10</v>
      </c>
      <c r="B17" s="31">
        <f t="shared" si="2"/>
        <v>44.1</v>
      </c>
      <c r="C17" s="31">
        <v>1655.9290000000001</v>
      </c>
      <c r="D17" s="31">
        <v>1.7629999999999999</v>
      </c>
      <c r="E17" s="31">
        <f t="shared" si="3"/>
        <v>1701.7919999999999</v>
      </c>
      <c r="F17" s="31"/>
      <c r="G17" s="31">
        <f t="shared" si="0"/>
        <v>1065.3483889999998</v>
      </c>
      <c r="H17" s="31">
        <v>498.05261100000001</v>
      </c>
      <c r="I17" s="31">
        <f t="shared" si="1"/>
        <v>1563.4009999999998</v>
      </c>
      <c r="J17" s="31"/>
      <c r="K17" s="31">
        <v>138.39099999999999</v>
      </c>
      <c r="L17" s="33">
        <v>27.5</v>
      </c>
      <c r="M17" s="265" t="s">
        <v>317</v>
      </c>
    </row>
    <row r="18" spans="1:13">
      <c r="A18" s="10" t="s">
        <v>11</v>
      </c>
      <c r="B18" s="31">
        <f t="shared" si="2"/>
        <v>138.39099999999999</v>
      </c>
      <c r="C18" s="31">
        <v>1821.2860000000001</v>
      </c>
      <c r="D18" s="31">
        <v>5.0516480000000001</v>
      </c>
      <c r="E18" s="31">
        <f t="shared" si="3"/>
        <v>1964.7286480000002</v>
      </c>
      <c r="F18" s="31"/>
      <c r="G18" s="31">
        <f t="shared" si="0"/>
        <v>1201.9076180000002</v>
      </c>
      <c r="H18" s="31">
        <v>566.41503</v>
      </c>
      <c r="I18" s="31">
        <f t="shared" si="1"/>
        <v>1768.3226480000003</v>
      </c>
      <c r="J18" s="31"/>
      <c r="K18" s="31">
        <v>196.40600000000001</v>
      </c>
      <c r="L18" s="33">
        <v>25.82</v>
      </c>
      <c r="M18" s="265" t="s">
        <v>317</v>
      </c>
    </row>
    <row r="19" spans="1:13">
      <c r="A19" s="10" t="s">
        <v>12</v>
      </c>
      <c r="B19" s="31">
        <f t="shared" si="2"/>
        <v>196.40600000000001</v>
      </c>
      <c r="C19" s="31">
        <v>1877.7349999999999</v>
      </c>
      <c r="D19" s="31">
        <v>7.1773719999999983</v>
      </c>
      <c r="E19" s="31">
        <f t="shared" si="3"/>
        <v>2081.3183720000002</v>
      </c>
      <c r="F19" s="31"/>
      <c r="G19" s="31">
        <f t="shared" si="0"/>
        <v>1220.0821429999999</v>
      </c>
      <c r="H19" s="31">
        <v>711.5392290000002</v>
      </c>
      <c r="I19" s="31">
        <f t="shared" si="1"/>
        <v>1931.6213720000001</v>
      </c>
      <c r="J19" s="31"/>
      <c r="K19" s="31">
        <v>149.697</v>
      </c>
      <c r="L19" s="33">
        <v>20.9</v>
      </c>
      <c r="M19" s="265" t="s">
        <v>317</v>
      </c>
    </row>
    <row r="20" spans="1:13">
      <c r="A20" s="10" t="s">
        <v>13</v>
      </c>
      <c r="B20" s="31">
        <f t="shared" si="2"/>
        <v>149.697</v>
      </c>
      <c r="C20" s="31">
        <v>1906.184</v>
      </c>
      <c r="D20" s="31">
        <v>6.6099520000000007</v>
      </c>
      <c r="E20" s="31">
        <f t="shared" si="3"/>
        <v>2062.4909519999997</v>
      </c>
      <c r="F20" s="31"/>
      <c r="G20" s="31">
        <f t="shared" si="0"/>
        <v>1227.6414919999997</v>
      </c>
      <c r="H20" s="31">
        <v>716.57746000000009</v>
      </c>
      <c r="I20" s="31">
        <f t="shared" si="1"/>
        <v>1944.2189519999997</v>
      </c>
      <c r="J20" s="31"/>
      <c r="K20" s="31">
        <v>118.27200000000001</v>
      </c>
      <c r="L20" s="33">
        <v>27.17</v>
      </c>
      <c r="M20" s="265" t="s">
        <v>317</v>
      </c>
    </row>
    <row r="21" spans="1:13">
      <c r="A21" s="10" t="s">
        <v>14</v>
      </c>
      <c r="B21" s="31">
        <f t="shared" si="2"/>
        <v>118.27200000000001</v>
      </c>
      <c r="C21" s="31">
        <v>2227.46</v>
      </c>
      <c r="D21" s="31">
        <v>10.077254118994</v>
      </c>
      <c r="E21" s="31">
        <f t="shared" si="3"/>
        <v>2355.809254118994</v>
      </c>
      <c r="F21" s="31"/>
      <c r="G21" s="31">
        <f t="shared" si="0"/>
        <v>1249.6817045895559</v>
      </c>
      <c r="H21" s="31">
        <v>865.47554952943801</v>
      </c>
      <c r="I21" s="31">
        <f t="shared" si="1"/>
        <v>2115.1572541189939</v>
      </c>
      <c r="J21" s="31"/>
      <c r="K21" s="31">
        <v>240.65199999999999</v>
      </c>
      <c r="L21" s="33">
        <v>26.47</v>
      </c>
      <c r="M21" s="265" t="s">
        <v>317</v>
      </c>
    </row>
    <row r="22" spans="1:13">
      <c r="A22" s="10" t="s">
        <v>15</v>
      </c>
      <c r="B22" s="31">
        <f t="shared" si="2"/>
        <v>240.65199999999999</v>
      </c>
      <c r="C22" s="31">
        <v>2138.9589999999998</v>
      </c>
      <c r="D22" s="31">
        <v>10.992614835148885</v>
      </c>
      <c r="E22" s="31">
        <f t="shared" si="3"/>
        <v>2390.6036148351486</v>
      </c>
      <c r="F22" s="31"/>
      <c r="G22" s="31">
        <f t="shared" si="0"/>
        <v>1298.3008951060265</v>
      </c>
      <c r="H22" s="31">
        <v>976.51471972912202</v>
      </c>
      <c r="I22" s="31">
        <f t="shared" si="1"/>
        <v>2274.8156148351486</v>
      </c>
      <c r="J22" s="31"/>
      <c r="K22" s="31">
        <v>115.788</v>
      </c>
      <c r="L22" s="33">
        <v>25.24</v>
      </c>
      <c r="M22" s="265" t="s">
        <v>317</v>
      </c>
    </row>
    <row r="23" spans="1:13">
      <c r="A23" s="10" t="s">
        <v>16</v>
      </c>
      <c r="B23" s="31">
        <f t="shared" si="2"/>
        <v>115.788</v>
      </c>
      <c r="C23" s="31">
        <v>2231.3690000000001</v>
      </c>
      <c r="D23" s="31">
        <v>13.522084310952</v>
      </c>
      <c r="E23" s="31">
        <f t="shared" si="3"/>
        <v>2360.679084310952</v>
      </c>
      <c r="F23" s="31"/>
      <c r="G23" s="31">
        <f t="shared" si="0"/>
        <v>1244.2017755718139</v>
      </c>
      <c r="H23" s="31">
        <v>987.70830873913803</v>
      </c>
      <c r="I23" s="31">
        <f t="shared" si="1"/>
        <v>2231.9100843109518</v>
      </c>
      <c r="J23" s="31"/>
      <c r="K23" s="31">
        <v>128.76900000000001</v>
      </c>
      <c r="L23" s="33">
        <v>24.05</v>
      </c>
      <c r="M23" s="265" t="s">
        <v>317</v>
      </c>
    </row>
    <row r="24" spans="1:13">
      <c r="A24" s="10" t="s">
        <v>17</v>
      </c>
      <c r="B24" s="31">
        <f t="shared" si="2"/>
        <v>128.76900000000001</v>
      </c>
      <c r="C24" s="31">
        <v>2334.7849999999999</v>
      </c>
      <c r="D24" s="31">
        <v>28.141759526202001</v>
      </c>
      <c r="E24" s="31">
        <f t="shared" si="3"/>
        <v>2491.695759526202</v>
      </c>
      <c r="F24" s="31"/>
      <c r="G24" s="31">
        <f t="shared" si="0"/>
        <v>1271.3171383667341</v>
      </c>
      <c r="H24" s="31">
        <v>1118.4876211594678</v>
      </c>
      <c r="I24" s="31">
        <f t="shared" si="1"/>
        <v>2389.8047595262019</v>
      </c>
      <c r="J24" s="31"/>
      <c r="K24" s="31">
        <v>101.89100000000001</v>
      </c>
      <c r="L24" s="33">
        <v>28.94</v>
      </c>
      <c r="M24" s="265" t="s">
        <v>317</v>
      </c>
    </row>
    <row r="25" spans="1:13">
      <c r="A25" s="10" t="s">
        <v>18</v>
      </c>
      <c r="B25" s="31">
        <f t="shared" si="2"/>
        <v>101.89100000000001</v>
      </c>
      <c r="C25" s="31">
        <v>2374.4160000000002</v>
      </c>
      <c r="D25" s="31">
        <v>42.447928674564004</v>
      </c>
      <c r="E25" s="31">
        <f t="shared" si="3"/>
        <v>2518.7549286745643</v>
      </c>
      <c r="F25" s="31"/>
      <c r="G25" s="31">
        <f t="shared" si="0"/>
        <v>1394.0783954758404</v>
      </c>
      <c r="H25" s="31">
        <v>989.25653319872401</v>
      </c>
      <c r="I25" s="31">
        <f t="shared" si="1"/>
        <v>2383.3349286745643</v>
      </c>
      <c r="J25" s="31"/>
      <c r="K25" s="31">
        <v>135.41999999999999</v>
      </c>
      <c r="L25" s="33">
        <v>25.3</v>
      </c>
      <c r="M25" s="265" t="s">
        <v>317</v>
      </c>
    </row>
    <row r="26" spans="1:13">
      <c r="A26" s="10" t="s">
        <v>19</v>
      </c>
      <c r="B26" s="31">
        <f t="shared" ref="B26:B31" si="4">+K25</f>
        <v>135.41999999999999</v>
      </c>
      <c r="C26" s="31">
        <v>2501.3969999999999</v>
      </c>
      <c r="D26" s="31">
        <v>17.533043505054</v>
      </c>
      <c r="E26" s="31">
        <f t="shared" si="3"/>
        <v>2654.3500435050541</v>
      </c>
      <c r="F26" s="31"/>
      <c r="G26" s="31">
        <f t="shared" ref="G26:G31" si="5">+I26-H26</f>
        <v>1416.9118689254624</v>
      </c>
      <c r="H26" s="31">
        <v>970.07917457959184</v>
      </c>
      <c r="I26" s="31">
        <f t="shared" ref="I26:I31" si="6">+E26-K26</f>
        <v>2386.9910435050542</v>
      </c>
      <c r="J26" s="31"/>
      <c r="K26" s="31">
        <v>267.35899999999998</v>
      </c>
      <c r="L26" s="33">
        <v>17.809999999999999</v>
      </c>
      <c r="M26" s="265" t="s">
        <v>317</v>
      </c>
    </row>
    <row r="27" spans="1:13">
      <c r="A27" s="71" t="s">
        <v>392</v>
      </c>
      <c r="B27" s="81">
        <f t="shared" si="4"/>
        <v>267.35899999999998</v>
      </c>
      <c r="C27" s="81">
        <v>2403.192</v>
      </c>
      <c r="D27" s="31">
        <v>27.287245834379998</v>
      </c>
      <c r="E27" s="31">
        <f t="shared" si="3"/>
        <v>2697.8382458343799</v>
      </c>
      <c r="F27" s="81"/>
      <c r="G27" s="81">
        <f t="shared" si="5"/>
        <v>1630.443410628096</v>
      </c>
      <c r="H27" s="81">
        <v>950.78583520628399</v>
      </c>
      <c r="I27" s="81">
        <f t="shared" si="6"/>
        <v>2581.22924583438</v>
      </c>
      <c r="J27" s="81"/>
      <c r="K27" s="81">
        <v>116.60899999999999</v>
      </c>
      <c r="L27" s="33">
        <v>13.54</v>
      </c>
      <c r="M27" s="265" t="s">
        <v>317</v>
      </c>
    </row>
    <row r="28" spans="1:13">
      <c r="A28" s="71" t="s">
        <v>396</v>
      </c>
      <c r="B28" s="81">
        <f t="shared" si="4"/>
        <v>116.60899999999999</v>
      </c>
      <c r="C28" s="81">
        <v>2461.4560000000001</v>
      </c>
      <c r="D28" s="31">
        <v>61.393407356357997</v>
      </c>
      <c r="E28" s="31">
        <f t="shared" si="3"/>
        <v>2639.4584073563578</v>
      </c>
      <c r="F28" s="81"/>
      <c r="G28" s="81">
        <f t="shared" si="5"/>
        <v>1363.0188588097576</v>
      </c>
      <c r="H28" s="81">
        <v>1172.3745485466002</v>
      </c>
      <c r="I28" s="81">
        <f t="shared" si="6"/>
        <v>2535.3934073563578</v>
      </c>
      <c r="J28" s="81"/>
      <c r="K28" s="81">
        <v>104.065</v>
      </c>
      <c r="L28" s="33">
        <v>19.14</v>
      </c>
      <c r="M28" s="265" t="s">
        <v>317</v>
      </c>
    </row>
    <row r="29" spans="1:13">
      <c r="A29" s="71" t="s">
        <v>409</v>
      </c>
      <c r="B29" s="81">
        <f t="shared" si="4"/>
        <v>104.065</v>
      </c>
      <c r="C29" s="81">
        <v>2453.0439999999999</v>
      </c>
      <c r="D29" s="31">
        <v>65.615917668335996</v>
      </c>
      <c r="E29" s="31">
        <f t="shared" si="3"/>
        <v>2622.7249176683358</v>
      </c>
      <c r="F29" s="81"/>
      <c r="G29" s="81">
        <f t="shared" si="5"/>
        <v>1615.0979483683259</v>
      </c>
      <c r="H29" s="81">
        <v>888.27296930001</v>
      </c>
      <c r="I29" s="81">
        <f t="shared" si="6"/>
        <v>2503.370917668336</v>
      </c>
      <c r="J29" s="81"/>
      <c r="K29" s="81">
        <v>119.354</v>
      </c>
      <c r="L29" s="33">
        <v>28.17</v>
      </c>
      <c r="M29" s="265" t="s">
        <v>317</v>
      </c>
    </row>
    <row r="30" spans="1:13">
      <c r="A30" s="71" t="s">
        <v>420</v>
      </c>
      <c r="B30" s="81">
        <f t="shared" si="4"/>
        <v>119.354</v>
      </c>
      <c r="C30" s="81">
        <v>2396.4520000000002</v>
      </c>
      <c r="D30" s="31">
        <v>66.015042435216003</v>
      </c>
      <c r="E30" s="31">
        <f t="shared" si="3"/>
        <v>2581.821042435216</v>
      </c>
      <c r="F30" s="81"/>
      <c r="G30" s="81">
        <f t="shared" si="5"/>
        <v>1662.059957777708</v>
      </c>
      <c r="H30" s="81">
        <v>766.88308465750799</v>
      </c>
      <c r="I30" s="81">
        <f t="shared" si="6"/>
        <v>2428.9430424352158</v>
      </c>
      <c r="J30" s="81"/>
      <c r="K30" s="81">
        <v>152.87799999999999</v>
      </c>
      <c r="L30" s="33">
        <v>28.43</v>
      </c>
      <c r="M30" s="265" t="s">
        <v>317</v>
      </c>
    </row>
    <row r="31" spans="1:13">
      <c r="A31" s="71" t="s">
        <v>422</v>
      </c>
      <c r="B31" s="81">
        <f t="shared" si="4"/>
        <v>152.87799999999999</v>
      </c>
      <c r="C31" s="81">
        <v>2396.105</v>
      </c>
      <c r="D31" s="31">
        <v>49.0514064957</v>
      </c>
      <c r="E31" s="31">
        <f t="shared" ref="E31:E36" si="7">+B31+C31+D31</f>
        <v>2598.0344064957003</v>
      </c>
      <c r="F31" s="81"/>
      <c r="G31" s="81">
        <f t="shared" si="5"/>
        <v>1653.0855688741904</v>
      </c>
      <c r="H31" s="81">
        <v>789.40283762151012</v>
      </c>
      <c r="I31" s="81">
        <f t="shared" si="6"/>
        <v>2442.4884064957005</v>
      </c>
      <c r="J31" s="81"/>
      <c r="K31" s="81">
        <v>155.54599999999999</v>
      </c>
      <c r="L31" s="33">
        <v>27.86</v>
      </c>
      <c r="M31" s="265" t="s">
        <v>317</v>
      </c>
    </row>
    <row r="32" spans="1:13">
      <c r="A32" s="71" t="s">
        <v>448</v>
      </c>
      <c r="B32" s="81">
        <f t="shared" ref="B32:B37" si="8">+K31</f>
        <v>155.54599999999999</v>
      </c>
      <c r="C32" s="81">
        <v>2482.7339999999999</v>
      </c>
      <c r="D32" s="31">
        <v>45.018266599656002</v>
      </c>
      <c r="E32" s="31">
        <f t="shared" si="7"/>
        <v>2683.2982665996556</v>
      </c>
      <c r="F32" s="81"/>
      <c r="G32" s="81">
        <f t="shared" ref="G32:G39" si="9">+I32-H32</f>
        <v>1684.6369031388035</v>
      </c>
      <c r="H32" s="81">
        <v>798.77636346085228</v>
      </c>
      <c r="I32" s="81">
        <f t="shared" ref="I32:I37" si="10">+E32-K32</f>
        <v>2483.4132665996558</v>
      </c>
      <c r="J32" s="81"/>
      <c r="K32" s="81">
        <v>199.88499999999999</v>
      </c>
      <c r="L32" s="33">
        <v>25.18</v>
      </c>
      <c r="M32" s="265" t="s">
        <v>317</v>
      </c>
    </row>
    <row r="33" spans="1:14">
      <c r="A33" s="71" t="s">
        <v>463</v>
      </c>
      <c r="B33" s="81">
        <f t="shared" si="8"/>
        <v>199.88499999999999</v>
      </c>
      <c r="C33" s="81">
        <v>2560.2550000000001</v>
      </c>
      <c r="D33" s="31">
        <v>43.093466247005999</v>
      </c>
      <c r="E33" s="31">
        <f t="shared" si="7"/>
        <v>2803.2334662470062</v>
      </c>
      <c r="F33" s="81"/>
      <c r="G33" s="81">
        <f t="shared" si="9"/>
        <v>1831.6070154047379</v>
      </c>
      <c r="H33" s="81">
        <v>792.96945084226809</v>
      </c>
      <c r="I33" s="81">
        <f t="shared" si="10"/>
        <v>2624.576466247006</v>
      </c>
      <c r="J33" s="81"/>
      <c r="K33" s="81">
        <v>178.65700000000001</v>
      </c>
      <c r="L33" s="33">
        <v>31.81</v>
      </c>
      <c r="M33" s="265" t="s">
        <v>317</v>
      </c>
    </row>
    <row r="34" spans="1:14">
      <c r="A34" s="71" t="s">
        <v>470</v>
      </c>
      <c r="B34" s="81">
        <f t="shared" si="8"/>
        <v>178.65700000000001</v>
      </c>
      <c r="C34" s="81">
        <v>2506.8400499999998</v>
      </c>
      <c r="D34" s="31">
        <v>45.188242955856005</v>
      </c>
      <c r="E34" s="31">
        <f t="shared" si="7"/>
        <v>2730.6852929558559</v>
      </c>
      <c r="F34" s="81"/>
      <c r="G34" s="81">
        <f t="shared" si="9"/>
        <v>1756.0666496253439</v>
      </c>
      <c r="H34" s="81">
        <v>769.257643330512</v>
      </c>
      <c r="I34" s="81">
        <f t="shared" si="10"/>
        <v>2525.324292955856</v>
      </c>
      <c r="J34" s="81"/>
      <c r="K34" s="81">
        <v>205.36099999999999</v>
      </c>
      <c r="L34" s="33">
        <v>69.400000000000006</v>
      </c>
      <c r="M34" s="265" t="s">
        <v>317</v>
      </c>
    </row>
    <row r="35" spans="1:14">
      <c r="A35" s="71" t="s">
        <v>477</v>
      </c>
      <c r="B35" s="81">
        <f t="shared" si="8"/>
        <v>205.36099999999999</v>
      </c>
      <c r="C35" s="81">
        <v>2418.4557500000001</v>
      </c>
      <c r="D35" s="31">
        <v>43.485108526818003</v>
      </c>
      <c r="E35" s="31">
        <f t="shared" si="7"/>
        <v>2667.3018585268178</v>
      </c>
      <c r="F35" s="81"/>
      <c r="G35" s="81">
        <f t="shared" si="9"/>
        <v>1567.7993531418733</v>
      </c>
      <c r="H35" s="81">
        <v>813.70250538494417</v>
      </c>
      <c r="I35" s="81">
        <f t="shared" si="10"/>
        <v>2381.5018585268176</v>
      </c>
      <c r="J35" s="81"/>
      <c r="K35" s="81">
        <v>285.8</v>
      </c>
      <c r="L35" s="33">
        <v>32.75</v>
      </c>
      <c r="M35" s="265" t="s">
        <v>317</v>
      </c>
    </row>
    <row r="36" spans="1:14">
      <c r="A36" s="71" t="s">
        <v>483</v>
      </c>
      <c r="B36" s="81">
        <f t="shared" si="8"/>
        <v>285.8</v>
      </c>
      <c r="C36" s="81">
        <v>2485.1489999999999</v>
      </c>
      <c r="D36" s="31">
        <v>37.046113143858008</v>
      </c>
      <c r="E36" s="31">
        <f t="shared" si="7"/>
        <v>2807.9951131438579</v>
      </c>
      <c r="F36" s="81"/>
      <c r="G36" s="81">
        <f t="shared" si="9"/>
        <v>1895.0803012535878</v>
      </c>
      <c r="H36" s="81">
        <v>774.09081189027006</v>
      </c>
      <c r="I36" s="81">
        <f t="shared" si="10"/>
        <v>2669.1711131438578</v>
      </c>
      <c r="J36" s="81"/>
      <c r="K36" s="81">
        <v>138.82400000000001</v>
      </c>
      <c r="L36" s="33">
        <v>39.29</v>
      </c>
      <c r="M36" s="265" t="s">
        <v>317</v>
      </c>
    </row>
    <row r="37" spans="1:14">
      <c r="A37" s="71" t="s">
        <v>487</v>
      </c>
      <c r="B37" s="81">
        <f t="shared" si="8"/>
        <v>138.82400000000001</v>
      </c>
      <c r="C37" s="81">
        <v>3650</v>
      </c>
      <c r="D37" s="31">
        <v>47.564953339931989</v>
      </c>
      <c r="E37" s="31">
        <f t="shared" ref="E37:E42" si="11">+B37+C37+D37</f>
        <v>3836.388953339932</v>
      </c>
      <c r="F37" s="81"/>
      <c r="G37" s="81">
        <f t="shared" si="9"/>
        <v>2804.644150177066</v>
      </c>
      <c r="H37" s="81">
        <v>791.74480316286599</v>
      </c>
      <c r="I37" s="81">
        <f t="shared" si="10"/>
        <v>3596.388953339932</v>
      </c>
      <c r="J37" s="81"/>
      <c r="K37" s="81">
        <v>240</v>
      </c>
      <c r="L37" s="33">
        <v>60.76</v>
      </c>
      <c r="M37" s="265" t="s">
        <v>317</v>
      </c>
    </row>
    <row r="38" spans="1:14">
      <c r="A38" s="71" t="s">
        <v>493</v>
      </c>
      <c r="B38" s="81">
        <f>+K37</f>
        <v>240</v>
      </c>
      <c r="C38" s="81">
        <v>3625</v>
      </c>
      <c r="D38" s="31">
        <v>45.753717475746001</v>
      </c>
      <c r="E38" s="31">
        <f t="shared" si="11"/>
        <v>3910.7537174757458</v>
      </c>
      <c r="F38" s="81"/>
      <c r="G38" s="81">
        <f t="shared" si="9"/>
        <v>2742.3548912957858</v>
      </c>
      <c r="H38" s="81">
        <v>1003.3988261799599</v>
      </c>
      <c r="I38" s="81">
        <f t="shared" ref="I38:I43" si="12">+E38-K38</f>
        <v>3745.7537174757458</v>
      </c>
      <c r="J38" s="81"/>
      <c r="K38" s="81">
        <v>165</v>
      </c>
      <c r="L38" s="33">
        <v>56.09</v>
      </c>
      <c r="M38" s="265" t="s">
        <v>317</v>
      </c>
    </row>
    <row r="39" spans="1:14">
      <c r="A39" s="71" t="s">
        <v>506</v>
      </c>
      <c r="B39" s="81">
        <f>+K38</f>
        <v>165</v>
      </c>
      <c r="C39" s="81">
        <v>3685</v>
      </c>
      <c r="D39" s="31">
        <v>60.04575499708799</v>
      </c>
      <c r="E39" s="31">
        <f t="shared" si="11"/>
        <v>3910.0457549970879</v>
      </c>
      <c r="F39" s="81"/>
      <c r="G39" s="81">
        <f t="shared" si="9"/>
        <v>2726.2658212555179</v>
      </c>
      <c r="H39" s="81">
        <v>1018.7799337415701</v>
      </c>
      <c r="I39" s="81">
        <f t="shared" si="12"/>
        <v>3745.0457549970879</v>
      </c>
      <c r="J39" s="81"/>
      <c r="K39" s="81">
        <v>165</v>
      </c>
      <c r="L39" s="33">
        <v>46.66</v>
      </c>
      <c r="M39" s="33">
        <v>36.770000000000003</v>
      </c>
    </row>
    <row r="40" spans="1:14">
      <c r="A40" s="71" t="s">
        <v>541</v>
      </c>
      <c r="B40" s="81">
        <f>+K39</f>
        <v>165</v>
      </c>
      <c r="C40" s="81">
        <v>3890</v>
      </c>
      <c r="D40" s="31">
        <v>42.076685762118004</v>
      </c>
      <c r="E40" s="31">
        <f t="shared" si="11"/>
        <v>4097.0766857621184</v>
      </c>
      <c r="F40" s="81"/>
      <c r="G40" s="81">
        <f>+I40-H40</f>
        <v>2927.9301510077485</v>
      </c>
      <c r="H40" s="81">
        <v>1004.1465347543701</v>
      </c>
      <c r="I40" s="81">
        <f t="shared" si="12"/>
        <v>3932.0766857621184</v>
      </c>
      <c r="J40" s="81"/>
      <c r="K40" s="81">
        <v>165</v>
      </c>
      <c r="L40" s="33">
        <v>39.43</v>
      </c>
      <c r="M40" s="33">
        <v>31.55</v>
      </c>
    </row>
    <row r="41" spans="1:14">
      <c r="A41" s="71" t="s">
        <v>572</v>
      </c>
      <c r="B41" s="81">
        <f>+K40</f>
        <v>165</v>
      </c>
      <c r="C41" s="254">
        <v>4740</v>
      </c>
      <c r="D41" s="255">
        <v>38.809559416950002</v>
      </c>
      <c r="E41" s="31">
        <f t="shared" si="11"/>
        <v>4943.8095594169499</v>
      </c>
      <c r="F41" s="81"/>
      <c r="G41" s="81">
        <f>+I41-H41</f>
        <v>3870.2191376859719</v>
      </c>
      <c r="H41" s="254">
        <v>908.59042173097805</v>
      </c>
      <c r="I41" s="81">
        <f t="shared" si="12"/>
        <v>4778.8095594169499</v>
      </c>
      <c r="J41" s="81"/>
      <c r="K41" s="254">
        <v>165</v>
      </c>
      <c r="L41" s="233">
        <v>37.479999999999997</v>
      </c>
      <c r="M41" s="233">
        <v>26.82</v>
      </c>
    </row>
    <row r="42" spans="1:14">
      <c r="A42" s="71" t="s">
        <v>585</v>
      </c>
      <c r="B42" s="81">
        <v>165</v>
      </c>
      <c r="C42" s="254">
        <v>5300</v>
      </c>
      <c r="D42" s="255">
        <v>82.837626659172017</v>
      </c>
      <c r="E42" s="31">
        <f t="shared" si="11"/>
        <v>5547.8376266591722</v>
      </c>
      <c r="F42" s="81"/>
      <c r="G42" s="81">
        <f>+I42-H42</f>
        <v>4288.8376266591722</v>
      </c>
      <c r="H42" s="254">
        <v>1094</v>
      </c>
      <c r="I42" s="81">
        <f t="shared" si="12"/>
        <v>5382.8376266591722</v>
      </c>
      <c r="J42" s="81"/>
      <c r="K42" s="254">
        <v>165</v>
      </c>
      <c r="L42" s="233">
        <v>39.25</v>
      </c>
      <c r="M42" s="233">
        <v>26.21</v>
      </c>
    </row>
    <row r="43" spans="1:14">
      <c r="A43" s="71" t="s">
        <v>578</v>
      </c>
      <c r="B43" s="81">
        <v>165</v>
      </c>
      <c r="C43" s="254">
        <v>5850</v>
      </c>
      <c r="D43" s="254">
        <v>73</v>
      </c>
      <c r="E43" s="31">
        <f>+B43+C43+D43</f>
        <v>6088</v>
      </c>
      <c r="F43" s="81"/>
      <c r="G43" s="81">
        <f>+I43-H43</f>
        <v>4826</v>
      </c>
      <c r="H43" s="254">
        <v>1135</v>
      </c>
      <c r="I43" s="81">
        <f t="shared" si="12"/>
        <v>5961</v>
      </c>
      <c r="J43" s="81"/>
      <c r="K43" s="254">
        <v>127</v>
      </c>
      <c r="L43" s="232">
        <v>37.43</v>
      </c>
      <c r="M43" s="233">
        <v>28.13</v>
      </c>
    </row>
    <row r="44" spans="1:14">
      <c r="A44" s="50" t="s">
        <v>668</v>
      </c>
      <c r="B44" s="32">
        <v>127</v>
      </c>
      <c r="C44" s="300">
        <v>6050</v>
      </c>
      <c r="D44" s="300">
        <v>65</v>
      </c>
      <c r="E44" s="32">
        <f>+B44+C44+D44</f>
        <v>6242</v>
      </c>
      <c r="F44" s="32"/>
      <c r="G44" s="32">
        <f>+I44-H44</f>
        <v>5342</v>
      </c>
      <c r="H44" s="300">
        <v>750</v>
      </c>
      <c r="I44" s="32">
        <f>+E44-K44</f>
        <v>6092</v>
      </c>
      <c r="J44" s="32"/>
      <c r="K44" s="300">
        <v>150</v>
      </c>
      <c r="L44" s="364" t="s">
        <v>745</v>
      </c>
      <c r="M44" s="364" t="s">
        <v>746</v>
      </c>
    </row>
    <row r="45" spans="1:14" ht="13.25" customHeight="1">
      <c r="A45" s="117" t="s">
        <v>648</v>
      </c>
    </row>
    <row r="46" spans="1:14" ht="13.25" customHeight="1">
      <c r="A46" s="117" t="s">
        <v>640</v>
      </c>
    </row>
    <row r="47" spans="1:14" ht="10.25" customHeight="1">
      <c r="A47" t="s">
        <v>614</v>
      </c>
      <c r="M47" s="160"/>
      <c r="N47" s="160"/>
    </row>
    <row r="48" spans="1:14" ht="10.25" customHeight="1">
      <c r="M48" s="313" t="s">
        <v>679</v>
      </c>
      <c r="N48" s="176"/>
    </row>
  </sheetData>
  <phoneticPr fontId="0" type="noConversion"/>
  <pageMargins left="0.7" right="0.7" top="0.75" bottom="0.75" header="0.3" footer="0.3"/>
  <pageSetup scale="79" firstPageNumber="60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O53"/>
  <sheetViews>
    <sheetView zoomScaleNormal="100" zoomScaleSheetLayoutView="100" workbookViewId="0">
      <selection activeCell="C2" sqref="C2"/>
    </sheetView>
  </sheetViews>
  <sheetFormatPr baseColWidth="10" defaultColWidth="9.25" defaultRowHeight="11"/>
  <cols>
    <col min="1" max="1" width="50.75" style="153" customWidth="1"/>
    <col min="2" max="14" width="9.75" style="153" customWidth="1"/>
    <col min="15" max="16384" width="9.25" style="153"/>
  </cols>
  <sheetData>
    <row r="1" spans="1:14">
      <c r="A1" s="1" t="s">
        <v>677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/>
      <c r="B2"/>
      <c r="C2" s="314"/>
      <c r="D2" s="314"/>
      <c r="E2" s="314"/>
      <c r="F2" s="314"/>
      <c r="G2" s="314"/>
      <c r="H2" s="333">
        <v>2012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  <c r="B4"/>
      <c r="C4"/>
      <c r="D4"/>
      <c r="E4"/>
      <c r="F4"/>
      <c r="G4"/>
      <c r="H4"/>
      <c r="I4"/>
      <c r="J4"/>
      <c r="K4"/>
      <c r="L4"/>
      <c r="M4"/>
      <c r="N4"/>
    </row>
    <row r="5" spans="1:14">
      <c r="A5" t="s">
        <v>292</v>
      </c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 t="s">
        <v>466</v>
      </c>
      <c r="B6" t="s">
        <v>299</v>
      </c>
      <c r="C6" s="88">
        <v>23.4</v>
      </c>
      <c r="D6" s="88">
        <v>24.8</v>
      </c>
      <c r="E6" s="88">
        <v>27.1</v>
      </c>
      <c r="F6" s="88">
        <v>27.8</v>
      </c>
      <c r="G6" s="88">
        <v>27.7</v>
      </c>
      <c r="H6" s="88">
        <v>27.4</v>
      </c>
      <c r="I6" s="88">
        <v>26.9</v>
      </c>
      <c r="J6" s="88">
        <v>25.3</v>
      </c>
      <c r="K6" s="88">
        <v>26.5</v>
      </c>
      <c r="L6" s="88">
        <v>27</v>
      </c>
      <c r="M6" s="88">
        <v>26.7</v>
      </c>
      <c r="N6" s="88">
        <v>27.1</v>
      </c>
    </row>
    <row r="7" spans="1:14">
      <c r="A7" t="s">
        <v>293</v>
      </c>
      <c r="B7" t="s">
        <v>289</v>
      </c>
      <c r="C7" s="88">
        <v>281</v>
      </c>
      <c r="D7" s="88">
        <v>276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88">
        <v>235</v>
      </c>
      <c r="K7" s="88">
        <v>254</v>
      </c>
      <c r="L7" s="88">
        <v>254</v>
      </c>
      <c r="M7" s="88">
        <v>255</v>
      </c>
      <c r="N7" s="88">
        <v>252</v>
      </c>
    </row>
    <row r="8" spans="1:14">
      <c r="A8" t="s">
        <v>294</v>
      </c>
      <c r="B8" t="s">
        <v>295</v>
      </c>
      <c r="C8" s="88">
        <v>13.7</v>
      </c>
      <c r="D8" s="88">
        <v>13.2</v>
      </c>
      <c r="E8" s="88">
        <v>13.3</v>
      </c>
      <c r="F8" s="88">
        <v>14.1</v>
      </c>
      <c r="G8" s="88">
        <v>14.8</v>
      </c>
      <c r="H8" s="88">
        <v>12.9</v>
      </c>
      <c r="I8" s="88">
        <v>13.3</v>
      </c>
      <c r="J8" s="88">
        <v>13.3</v>
      </c>
      <c r="K8" s="88">
        <v>13.3</v>
      </c>
      <c r="L8" s="88">
        <v>13.6</v>
      </c>
      <c r="M8" s="88">
        <v>14.1</v>
      </c>
      <c r="N8" s="88">
        <v>13.8</v>
      </c>
    </row>
    <row r="9" spans="1:14">
      <c r="A9" t="s">
        <v>296</v>
      </c>
      <c r="B9" t="s">
        <v>297</v>
      </c>
      <c r="C9" s="88">
        <v>33.700000000000003</v>
      </c>
      <c r="D9" s="88">
        <v>32.9</v>
      </c>
      <c r="E9" s="88">
        <v>34.799999999999997</v>
      </c>
      <c r="F9" s="88">
        <v>35.099999999999994</v>
      </c>
      <c r="G9" s="88">
        <v>33.800000000000004</v>
      </c>
      <c r="H9" s="88">
        <v>34.4</v>
      </c>
      <c r="I9" s="88">
        <v>34.5</v>
      </c>
      <c r="J9" s="88">
        <v>30.4</v>
      </c>
      <c r="K9" s="88">
        <v>35.199999999999996</v>
      </c>
      <c r="L9" s="88">
        <v>33.800000000000004</v>
      </c>
      <c r="M9" s="88">
        <v>32.800000000000004</v>
      </c>
      <c r="N9" s="88">
        <v>38</v>
      </c>
    </row>
    <row r="10" spans="1:14">
      <c r="A10" t="s">
        <v>298</v>
      </c>
      <c r="B10" t="s">
        <v>295</v>
      </c>
      <c r="C10" s="88">
        <v>11.9</v>
      </c>
      <c r="D10" s="88">
        <v>12.2</v>
      </c>
      <c r="E10" s="88">
        <v>13</v>
      </c>
      <c r="F10" s="88">
        <v>13.8</v>
      </c>
      <c r="G10" s="88">
        <v>14</v>
      </c>
      <c r="H10" s="88">
        <v>13.9</v>
      </c>
      <c r="I10" s="88">
        <v>15.4</v>
      </c>
      <c r="J10" s="88">
        <v>16.2</v>
      </c>
      <c r="K10" s="88">
        <v>14.3</v>
      </c>
      <c r="L10" s="88">
        <v>14.2</v>
      </c>
      <c r="M10" s="88">
        <v>14.3</v>
      </c>
      <c r="N10" s="88">
        <v>14.3</v>
      </c>
    </row>
    <row r="11" spans="1:14">
      <c r="A11" t="s">
        <v>588</v>
      </c>
      <c r="B11" t="s">
        <v>299</v>
      </c>
      <c r="C11" s="88">
        <v>28.9</v>
      </c>
      <c r="D11" s="88">
        <v>29.5</v>
      </c>
      <c r="E11" s="88">
        <v>28.8</v>
      </c>
      <c r="F11" s="88">
        <v>28.4</v>
      </c>
      <c r="G11" s="88">
        <v>27.8</v>
      </c>
      <c r="H11" s="88">
        <v>27.2</v>
      </c>
      <c r="I11" s="88">
        <v>27</v>
      </c>
      <c r="J11" s="88">
        <v>28.8</v>
      </c>
      <c r="K11" s="88">
        <v>28.9</v>
      </c>
      <c r="L11" s="88">
        <v>26.3</v>
      </c>
      <c r="M11" s="88">
        <v>26.7</v>
      </c>
      <c r="N11" s="88">
        <v>24.8</v>
      </c>
    </row>
    <row r="12" spans="1:14">
      <c r="A12" t="s">
        <v>589</v>
      </c>
      <c r="B12" t="s">
        <v>299</v>
      </c>
      <c r="C12" s="88">
        <v>28.1</v>
      </c>
      <c r="D12" s="88">
        <v>26.8</v>
      </c>
      <c r="E12" s="88">
        <v>27.1</v>
      </c>
      <c r="F12" s="88">
        <v>26.7</v>
      </c>
      <c r="G12" s="88">
        <v>26.4</v>
      </c>
      <c r="H12" s="88">
        <v>25.3</v>
      </c>
      <c r="I12" s="88">
        <v>25.3</v>
      </c>
      <c r="J12" s="88">
        <v>28.7</v>
      </c>
      <c r="K12" s="88">
        <v>28.4</v>
      </c>
      <c r="L12" s="88">
        <v>25.6</v>
      </c>
      <c r="M12" s="88">
        <v>25.2</v>
      </c>
      <c r="N12" s="88">
        <v>24.2</v>
      </c>
    </row>
    <row r="13" spans="1:14">
      <c r="A13" t="s">
        <v>590</v>
      </c>
      <c r="B13" t="s">
        <v>299</v>
      </c>
      <c r="C13" s="88">
        <v>33.5</v>
      </c>
      <c r="D13" s="88">
        <v>35.6</v>
      </c>
      <c r="E13" s="88">
        <v>32.5</v>
      </c>
      <c r="F13" s="88">
        <v>33.6</v>
      </c>
      <c r="G13" s="88">
        <v>34.799999999999997</v>
      </c>
      <c r="H13" s="88">
        <v>31.7</v>
      </c>
      <c r="I13" s="88">
        <v>31.5</v>
      </c>
      <c r="J13" s="88">
        <v>29.7</v>
      </c>
      <c r="K13" s="88">
        <v>33.6</v>
      </c>
      <c r="L13" s="88">
        <v>30.6</v>
      </c>
      <c r="M13" s="88">
        <v>32.1</v>
      </c>
      <c r="N13" s="88">
        <v>33.299999999999997</v>
      </c>
    </row>
    <row r="14" spans="1:14">
      <c r="A14" t="s">
        <v>475</v>
      </c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>
      <c r="A15" t="s">
        <v>473</v>
      </c>
      <c r="B15" t="s">
        <v>299</v>
      </c>
      <c r="C15" s="88">
        <v>24.12</v>
      </c>
      <c r="D15" s="88">
        <v>25.81</v>
      </c>
      <c r="E15" s="88">
        <v>27.58</v>
      </c>
      <c r="F15" s="88">
        <v>28.97</v>
      </c>
      <c r="G15" s="88">
        <v>28.69</v>
      </c>
      <c r="H15" s="88">
        <v>26.5</v>
      </c>
      <c r="I15" s="88">
        <v>26.48</v>
      </c>
      <c r="J15" s="88">
        <v>26.84</v>
      </c>
      <c r="K15" s="88">
        <v>28.33</v>
      </c>
      <c r="L15" s="88">
        <v>27.76</v>
      </c>
      <c r="M15" s="88">
        <v>27.07</v>
      </c>
      <c r="N15" s="88">
        <v>27.6</v>
      </c>
    </row>
    <row r="16" spans="1:14">
      <c r="A16" t="s">
        <v>474</v>
      </c>
      <c r="B16" t="s">
        <v>289</v>
      </c>
      <c r="C16" s="88">
        <v>254.4</v>
      </c>
      <c r="D16" s="88">
        <v>240.25</v>
      </c>
      <c r="E16" s="88">
        <v>252.25</v>
      </c>
      <c r="F16" s="88">
        <v>265.25</v>
      </c>
      <c r="G16" s="88">
        <v>254.6</v>
      </c>
      <c r="H16" s="88">
        <v>251.5</v>
      </c>
      <c r="I16" s="88">
        <v>287</v>
      </c>
      <c r="J16" s="88">
        <v>297</v>
      </c>
      <c r="K16" s="88">
        <v>298.75</v>
      </c>
      <c r="L16" s="88">
        <v>278</v>
      </c>
      <c r="M16" s="88">
        <v>266.25</v>
      </c>
      <c r="N16" s="88">
        <v>290</v>
      </c>
    </row>
    <row r="17" spans="1:14">
      <c r="A17" t="s">
        <v>480</v>
      </c>
      <c r="B17" t="s">
        <v>295</v>
      </c>
      <c r="C17" s="88">
        <v>13.31</v>
      </c>
      <c r="D17" s="88">
        <v>13.8</v>
      </c>
      <c r="E17" s="88">
        <v>14.85</v>
      </c>
      <c r="F17" s="88">
        <v>15.38</v>
      </c>
      <c r="G17" s="88">
        <v>14.55</v>
      </c>
      <c r="H17" s="88">
        <v>13.83</v>
      </c>
      <c r="I17" s="88">
        <v>14.21</v>
      </c>
      <c r="J17" s="88">
        <v>14.08</v>
      </c>
      <c r="K17" s="88">
        <v>13.97</v>
      </c>
      <c r="L17" s="88">
        <v>14.57</v>
      </c>
      <c r="M17" s="88">
        <v>14.75</v>
      </c>
      <c r="N17" s="88">
        <v>14.73</v>
      </c>
    </row>
    <row r="18" spans="1:14">
      <c r="A18" t="s">
        <v>472</v>
      </c>
      <c r="B18" t="s">
        <v>295</v>
      </c>
      <c r="C18" s="88">
        <v>11.83</v>
      </c>
      <c r="D18" s="88">
        <v>12.41</v>
      </c>
      <c r="E18" s="88">
        <v>13.33</v>
      </c>
      <c r="F18" s="88">
        <v>14.23</v>
      </c>
      <c r="G18" s="88">
        <v>14.04</v>
      </c>
      <c r="H18" s="88">
        <v>14.15</v>
      </c>
      <c r="I18" s="88">
        <v>16.600000000000001</v>
      </c>
      <c r="J18" s="88">
        <v>17.09</v>
      </c>
      <c r="K18" s="88">
        <v>16.75</v>
      </c>
      <c r="L18" s="88">
        <v>15.27</v>
      </c>
      <c r="M18" s="88">
        <v>14.39</v>
      </c>
      <c r="N18" s="88">
        <v>14.5</v>
      </c>
    </row>
    <row r="19" spans="1:14">
      <c r="A19" t="s">
        <v>471</v>
      </c>
      <c r="B19" t="s">
        <v>295</v>
      </c>
      <c r="C19" s="88">
        <v>12.72</v>
      </c>
      <c r="D19" s="88">
        <v>13.3</v>
      </c>
      <c r="E19" s="88">
        <v>14.13</v>
      </c>
      <c r="F19" s="88">
        <v>15.03</v>
      </c>
      <c r="G19" s="88">
        <v>14.77</v>
      </c>
      <c r="H19" s="88">
        <v>14.86</v>
      </c>
      <c r="I19" s="88">
        <v>17.510000000000002</v>
      </c>
      <c r="J19" s="88">
        <v>17.73</v>
      </c>
      <c r="K19">
        <v>17.47</v>
      </c>
      <c r="L19">
        <v>16.170000000000002</v>
      </c>
      <c r="M19">
        <v>15.46</v>
      </c>
      <c r="N19">
        <v>15.68</v>
      </c>
    </row>
    <row r="20" spans="1:14">
      <c r="A20" t="s">
        <v>476</v>
      </c>
      <c r="B20" t="s">
        <v>299</v>
      </c>
      <c r="C20" s="88">
        <v>27.76</v>
      </c>
      <c r="D20" s="88">
        <v>25.9</v>
      </c>
      <c r="E20" s="88">
        <v>26.1</v>
      </c>
      <c r="F20" s="88">
        <v>26.96</v>
      </c>
      <c r="G20" s="88">
        <v>26.1</v>
      </c>
      <c r="H20" s="88">
        <v>24.2</v>
      </c>
      <c r="I20" s="88">
        <v>22.57</v>
      </c>
      <c r="J20" s="88">
        <v>25.99</v>
      </c>
      <c r="K20">
        <v>27.67</v>
      </c>
      <c r="L20">
        <v>25.31</v>
      </c>
      <c r="M20">
        <v>22.19</v>
      </c>
      <c r="N20">
        <v>21.91</v>
      </c>
    </row>
    <row r="21" spans="1:14">
      <c r="A21" t="s">
        <v>300</v>
      </c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>
      <c r="A22" t="s">
        <v>301</v>
      </c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>
      <c r="A23" t="s">
        <v>413</v>
      </c>
      <c r="B23" t="s">
        <v>297</v>
      </c>
      <c r="C23" s="88">
        <v>55.0625</v>
      </c>
      <c r="D23" s="88">
        <v>56.9375</v>
      </c>
      <c r="E23" s="88">
        <v>59.1</v>
      </c>
      <c r="F23" s="88">
        <v>60.9375</v>
      </c>
      <c r="G23" s="88">
        <v>55.875</v>
      </c>
      <c r="H23" s="88">
        <v>54.1</v>
      </c>
      <c r="I23" s="88">
        <v>57.4375</v>
      </c>
      <c r="J23" s="88">
        <v>58.75</v>
      </c>
      <c r="K23" s="88">
        <v>59.75</v>
      </c>
      <c r="L23" s="88">
        <v>57.5</v>
      </c>
      <c r="M23" s="88">
        <v>58.2</v>
      </c>
      <c r="N23" s="88">
        <v>57.125</v>
      </c>
    </row>
    <row r="24" spans="1:14">
      <c r="A24" t="s">
        <v>302</v>
      </c>
      <c r="B24" t="s">
        <v>303</v>
      </c>
      <c r="C24" s="88">
        <v>68.25</v>
      </c>
      <c r="D24" s="88">
        <v>68</v>
      </c>
      <c r="E24" s="88">
        <v>64.900000000000006</v>
      </c>
      <c r="F24" s="88">
        <v>63.625</v>
      </c>
      <c r="G24" s="88">
        <v>59.25</v>
      </c>
      <c r="H24" s="88">
        <v>54</v>
      </c>
      <c r="I24" s="88">
        <v>52.75</v>
      </c>
      <c r="J24" s="88">
        <v>50.3</v>
      </c>
      <c r="K24" s="88">
        <v>47.75</v>
      </c>
      <c r="L24" s="88">
        <v>43.75</v>
      </c>
      <c r="M24" s="88">
        <v>41.4</v>
      </c>
      <c r="N24" s="88">
        <v>38.875</v>
      </c>
    </row>
    <row r="25" spans="1:14">
      <c r="A25" t="s">
        <v>304</v>
      </c>
      <c r="B25" t="s">
        <v>303</v>
      </c>
      <c r="C25" s="88">
        <v>54</v>
      </c>
      <c r="D25" s="88">
        <v>56.3</v>
      </c>
      <c r="E25" s="88">
        <v>59.31</v>
      </c>
      <c r="F25" s="88">
        <v>60.75</v>
      </c>
      <c r="G25" s="88">
        <v>58.05</v>
      </c>
      <c r="H25" s="88">
        <v>52.9</v>
      </c>
      <c r="I25" s="88">
        <v>54.76</v>
      </c>
      <c r="J25" s="88">
        <v>57.26</v>
      </c>
      <c r="K25" s="88">
        <v>58.21</v>
      </c>
      <c r="L25">
        <v>54.75</v>
      </c>
      <c r="M25">
        <v>51.93</v>
      </c>
      <c r="N25">
        <v>50.63</v>
      </c>
    </row>
    <row r="26" spans="1:14">
      <c r="A26" t="s">
        <v>537</v>
      </c>
      <c r="B26" t="s">
        <v>303</v>
      </c>
      <c r="C26" s="63" t="s">
        <v>317</v>
      </c>
      <c r="D26" s="88">
        <v>42.88</v>
      </c>
      <c r="E26" s="88">
        <v>44.94</v>
      </c>
      <c r="F26" s="88">
        <v>42.33</v>
      </c>
      <c r="G26" s="88">
        <v>42.25</v>
      </c>
      <c r="H26" s="88">
        <v>38.520000000000003</v>
      </c>
      <c r="I26" s="88">
        <v>37.21</v>
      </c>
      <c r="J26" s="88">
        <v>37</v>
      </c>
      <c r="K26" s="88">
        <v>39.869999999999997</v>
      </c>
      <c r="L26" s="88">
        <v>37.39</v>
      </c>
      <c r="M26" s="88">
        <v>31.15</v>
      </c>
      <c r="N26" s="88">
        <v>35.049999999999997</v>
      </c>
    </row>
    <row r="27" spans="1:14">
      <c r="A27" t="s">
        <v>305</v>
      </c>
      <c r="B27" t="s">
        <v>303</v>
      </c>
      <c r="C27" s="88">
        <v>52.1875</v>
      </c>
      <c r="D27" s="88">
        <v>54.5625</v>
      </c>
      <c r="E27" s="88">
        <v>55.95</v>
      </c>
      <c r="F27" s="88">
        <v>56.875</v>
      </c>
      <c r="G27" s="88">
        <v>52</v>
      </c>
      <c r="H27" s="88">
        <v>50.05</v>
      </c>
      <c r="I27" s="88">
        <v>53.75</v>
      </c>
      <c r="J27" s="88">
        <v>54.65</v>
      </c>
      <c r="K27" s="88">
        <v>55.5</v>
      </c>
      <c r="L27" s="88">
        <v>51.3125</v>
      </c>
      <c r="M27" s="88">
        <v>49.05</v>
      </c>
      <c r="N27" s="88">
        <v>50.0625</v>
      </c>
    </row>
    <row r="28" spans="1:14">
      <c r="A28" t="s">
        <v>417</v>
      </c>
      <c r="B28" t="s">
        <v>303</v>
      </c>
      <c r="C28" s="63" t="s">
        <v>317</v>
      </c>
      <c r="D28" s="88">
        <v>52.55</v>
      </c>
      <c r="E28" s="88">
        <v>54.6</v>
      </c>
      <c r="F28" s="88">
        <v>52.59</v>
      </c>
      <c r="G28" s="88">
        <v>54.82</v>
      </c>
      <c r="H28" s="88">
        <v>54.83</v>
      </c>
      <c r="I28" s="88">
        <v>53</v>
      </c>
      <c r="J28" s="63" t="s">
        <v>317</v>
      </c>
      <c r="K28" s="63" t="s">
        <v>317</v>
      </c>
      <c r="L28" s="88">
        <v>51.6</v>
      </c>
      <c r="M28" s="88">
        <v>57</v>
      </c>
      <c r="N28" s="63" t="s">
        <v>317</v>
      </c>
    </row>
    <row r="29" spans="1:14">
      <c r="A29" t="s">
        <v>306</v>
      </c>
      <c r="B29" t="s">
        <v>303</v>
      </c>
      <c r="C29" s="88">
        <v>50.25</v>
      </c>
      <c r="D29" s="88">
        <v>50.1875</v>
      </c>
      <c r="E29" s="88">
        <v>52.6</v>
      </c>
      <c r="F29" s="88">
        <v>56.5625</v>
      </c>
      <c r="G29" s="88">
        <v>52.9375</v>
      </c>
      <c r="H29" s="88">
        <v>48.2</v>
      </c>
      <c r="I29" s="88">
        <v>50.0625</v>
      </c>
      <c r="J29" s="88">
        <v>47.75</v>
      </c>
      <c r="K29" s="88">
        <v>46.625</v>
      </c>
      <c r="L29" s="88">
        <v>41.4375</v>
      </c>
      <c r="M29" s="88">
        <v>41.25</v>
      </c>
      <c r="N29" s="88">
        <v>39.6875</v>
      </c>
    </row>
    <row r="30" spans="1:14">
      <c r="A30" t="s">
        <v>491</v>
      </c>
      <c r="B30" t="s">
        <v>303</v>
      </c>
      <c r="C30" s="88">
        <v>52.6875</v>
      </c>
      <c r="D30" s="88">
        <v>51.5625</v>
      </c>
      <c r="E30" s="88">
        <v>54.8</v>
      </c>
      <c r="F30" s="88">
        <v>57.25</v>
      </c>
      <c r="G30" s="88">
        <v>53.875</v>
      </c>
      <c r="H30" s="88">
        <v>49.8</v>
      </c>
      <c r="I30" s="88">
        <v>52.6875</v>
      </c>
      <c r="J30" s="88">
        <v>49.9</v>
      </c>
      <c r="K30" s="88">
        <v>48.5</v>
      </c>
      <c r="L30" s="88">
        <v>45.5</v>
      </c>
      <c r="M30" s="88">
        <v>44.45</v>
      </c>
      <c r="N30" s="88">
        <v>43.125</v>
      </c>
    </row>
    <row r="31" spans="1:14">
      <c r="A31" t="s">
        <v>307</v>
      </c>
      <c r="B31" t="s">
        <v>303</v>
      </c>
      <c r="C31" s="88">
        <v>95.8125</v>
      </c>
      <c r="D31" s="88">
        <v>95</v>
      </c>
      <c r="E31" s="88">
        <v>96.6</v>
      </c>
      <c r="F31" s="88">
        <v>102.375</v>
      </c>
      <c r="G31" s="88">
        <v>106.125</v>
      </c>
      <c r="H31" s="88">
        <v>111</v>
      </c>
      <c r="I31" s="88">
        <v>110</v>
      </c>
      <c r="J31" s="88">
        <v>110</v>
      </c>
      <c r="K31" s="88">
        <v>104.5</v>
      </c>
      <c r="L31" s="88">
        <v>103</v>
      </c>
      <c r="M31" s="88">
        <v>99.9</v>
      </c>
      <c r="N31" s="88">
        <v>98.5625</v>
      </c>
    </row>
    <row r="32" spans="1:14">
      <c r="A32" t="s">
        <v>308</v>
      </c>
      <c r="B32" t="s">
        <v>303</v>
      </c>
      <c r="C32">
        <v>50.99</v>
      </c>
      <c r="D32">
        <v>52.36</v>
      </c>
      <c r="E32">
        <v>53.43</v>
      </c>
      <c r="F32">
        <v>54.96</v>
      </c>
      <c r="G32">
        <v>50.69</v>
      </c>
      <c r="H32">
        <v>48.65</v>
      </c>
      <c r="I32">
        <v>51.96</v>
      </c>
      <c r="J32">
        <v>52.65</v>
      </c>
      <c r="K32">
        <v>53.81</v>
      </c>
      <c r="L32">
        <v>49.31</v>
      </c>
      <c r="M32">
        <v>46.27</v>
      </c>
      <c r="N32">
        <v>47.16</v>
      </c>
    </row>
    <row r="33" spans="1:15">
      <c r="A33" t="s">
        <v>309</v>
      </c>
      <c r="B33" t="s">
        <v>303</v>
      </c>
      <c r="C33" s="88">
        <v>88.75</v>
      </c>
      <c r="D33" s="88">
        <v>86</v>
      </c>
      <c r="E33" s="88">
        <v>82</v>
      </c>
      <c r="F33" s="88">
        <v>79</v>
      </c>
      <c r="G33" s="88">
        <v>80</v>
      </c>
      <c r="H33" s="88">
        <v>80.2</v>
      </c>
      <c r="I33" s="88">
        <v>78</v>
      </c>
      <c r="J33" s="88">
        <v>75</v>
      </c>
      <c r="K33" s="88">
        <v>75</v>
      </c>
      <c r="L33" s="88">
        <v>74</v>
      </c>
      <c r="M33" s="88">
        <v>70.3</v>
      </c>
      <c r="N33" s="88">
        <v>67.5</v>
      </c>
    </row>
    <row r="34" spans="1:15">
      <c r="A34" t="s">
        <v>415</v>
      </c>
      <c r="B34" t="s">
        <v>303</v>
      </c>
      <c r="C34" s="88">
        <v>51.1</v>
      </c>
      <c r="D34" s="88">
        <v>53.17</v>
      </c>
      <c r="E34" s="88">
        <v>52.24</v>
      </c>
      <c r="F34" s="88">
        <v>49</v>
      </c>
      <c r="G34" s="88">
        <v>55.48</v>
      </c>
      <c r="H34" s="88">
        <v>49.88</v>
      </c>
      <c r="I34" s="88">
        <v>49.13</v>
      </c>
      <c r="J34" s="88">
        <v>48.36</v>
      </c>
      <c r="K34" s="88">
        <v>47.19</v>
      </c>
      <c r="L34" s="88">
        <v>42.27</v>
      </c>
      <c r="M34" s="88">
        <v>37.15</v>
      </c>
      <c r="N34" s="88">
        <v>40.92</v>
      </c>
      <c r="O34" s="154"/>
    </row>
    <row r="35" spans="1:15">
      <c r="A35" s="117" t="s">
        <v>490</v>
      </c>
      <c r="B35" t="s">
        <v>303</v>
      </c>
      <c r="C35" s="88">
        <v>35.5</v>
      </c>
      <c r="D35" s="88">
        <v>40.630000000000003</v>
      </c>
      <c r="E35" s="88">
        <v>43.44</v>
      </c>
      <c r="F35" s="88">
        <v>42.94</v>
      </c>
      <c r="G35" s="88">
        <v>43.45</v>
      </c>
      <c r="H35" s="88">
        <v>40.409999999999997</v>
      </c>
      <c r="I35" s="88">
        <v>37.630000000000003</v>
      </c>
      <c r="J35" s="88">
        <v>38.340000000000003</v>
      </c>
      <c r="K35" s="88">
        <v>39.880000000000003</v>
      </c>
      <c r="L35" s="88">
        <v>37.200000000000003</v>
      </c>
      <c r="M35" s="88">
        <v>32.19</v>
      </c>
      <c r="N35" s="88">
        <v>34.29</v>
      </c>
    </row>
    <row r="36" spans="1:15">
      <c r="A36" s="117" t="s">
        <v>485</v>
      </c>
      <c r="B36" s="117" t="s">
        <v>486</v>
      </c>
      <c r="C36" s="88">
        <v>4.6887499999999998</v>
      </c>
      <c r="D36" s="88">
        <v>4.6712499999999997</v>
      </c>
      <c r="E36" s="88">
        <v>4.75</v>
      </c>
      <c r="F36" s="88">
        <v>4.7987500000000001</v>
      </c>
      <c r="G36" s="88">
        <v>4.6187500000000004</v>
      </c>
      <c r="H36" s="88">
        <v>4.3819999999999997</v>
      </c>
      <c r="I36" s="88">
        <v>4.4050000000000002</v>
      </c>
      <c r="J36" s="88">
        <v>4.4819999999999993</v>
      </c>
      <c r="K36" s="88">
        <v>4.5062499999999996</v>
      </c>
      <c r="L36" s="88">
        <v>4.1649999999999991</v>
      </c>
      <c r="M36" s="88">
        <v>3.9910000000000005</v>
      </c>
      <c r="N36" s="88">
        <v>4.0037500000000001</v>
      </c>
    </row>
    <row r="37" spans="1:15">
      <c r="A37" t="s">
        <v>310</v>
      </c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5">
      <c r="A38" t="s">
        <v>414</v>
      </c>
      <c r="B38" t="s">
        <v>289</v>
      </c>
      <c r="C38">
        <v>253.98</v>
      </c>
      <c r="D38">
        <v>257.63</v>
      </c>
      <c r="E38">
        <v>277.83</v>
      </c>
      <c r="F38">
        <v>313.38</v>
      </c>
      <c r="G38">
        <v>333.69</v>
      </c>
      <c r="H38">
        <v>335.26</v>
      </c>
      <c r="I38">
        <v>378.86</v>
      </c>
      <c r="J38">
        <v>388.13</v>
      </c>
      <c r="K38">
        <v>370.79</v>
      </c>
      <c r="L38">
        <v>354.49</v>
      </c>
      <c r="M38">
        <v>334.46</v>
      </c>
      <c r="N38">
        <v>349.55</v>
      </c>
    </row>
    <row r="39" spans="1:15">
      <c r="A39" t="s">
        <v>311</v>
      </c>
      <c r="B39" t="s">
        <v>303</v>
      </c>
      <c r="C39" s="88">
        <v>213</v>
      </c>
      <c r="D39" s="88">
        <v>190</v>
      </c>
      <c r="E39" s="88">
        <v>225</v>
      </c>
      <c r="F39" s="88">
        <v>240.63</v>
      </c>
      <c r="G39" s="88">
        <v>270</v>
      </c>
      <c r="H39" s="88">
        <v>294.38</v>
      </c>
      <c r="I39" s="88">
        <v>350.5</v>
      </c>
      <c r="J39" s="88">
        <v>407.5</v>
      </c>
      <c r="K39" s="88">
        <v>393.75</v>
      </c>
      <c r="L39" s="88">
        <v>343</v>
      </c>
      <c r="M39" s="88">
        <v>376.88</v>
      </c>
      <c r="N39" s="88">
        <v>345</v>
      </c>
    </row>
    <row r="40" spans="1:15">
      <c r="A40" t="s">
        <v>393</v>
      </c>
      <c r="B40" t="s">
        <v>303</v>
      </c>
      <c r="C40" s="88">
        <v>209</v>
      </c>
      <c r="D40" s="88">
        <v>193.75</v>
      </c>
      <c r="E40" s="88">
        <v>216.25</v>
      </c>
      <c r="F40" s="88">
        <v>256.25</v>
      </c>
      <c r="G40" s="88">
        <v>279</v>
      </c>
      <c r="H40" s="88">
        <v>287.5</v>
      </c>
      <c r="I40" s="88">
        <v>343</v>
      </c>
      <c r="J40" s="88">
        <v>358.75</v>
      </c>
      <c r="K40" s="88">
        <v>340.63</v>
      </c>
      <c r="L40" s="88">
        <v>334</v>
      </c>
      <c r="M40" s="88">
        <v>297.5</v>
      </c>
      <c r="N40" s="88">
        <v>335.83</v>
      </c>
    </row>
    <row r="41" spans="1:15">
      <c r="A41" t="s">
        <v>394</v>
      </c>
      <c r="B41" t="s">
        <v>303</v>
      </c>
      <c r="C41">
        <v>310.64999999999998</v>
      </c>
      <c r="D41">
        <v>330.37</v>
      </c>
      <c r="E41">
        <v>365.95</v>
      </c>
      <c r="F41">
        <v>394.29</v>
      </c>
      <c r="G41">
        <v>415.17</v>
      </c>
      <c r="H41">
        <v>422.59</v>
      </c>
      <c r="I41">
        <v>515.82000000000005</v>
      </c>
      <c r="J41">
        <v>564.69000000000005</v>
      </c>
      <c r="K41">
        <v>529.37</v>
      </c>
      <c r="L41">
        <v>488.46</v>
      </c>
      <c r="M41">
        <v>465.64</v>
      </c>
      <c r="N41">
        <v>459.4</v>
      </c>
    </row>
    <row r="42" spans="1:15">
      <c r="A42" t="s">
        <v>482</v>
      </c>
      <c r="B42" t="s">
        <v>303</v>
      </c>
      <c r="C42" s="88">
        <v>223.5</v>
      </c>
      <c r="D42" s="88">
        <v>191.88</v>
      </c>
      <c r="E42" s="88">
        <v>191.88</v>
      </c>
      <c r="F42" s="88">
        <v>211.25</v>
      </c>
      <c r="G42" s="88">
        <v>230.5</v>
      </c>
      <c r="H42" s="88">
        <v>226.88</v>
      </c>
      <c r="I42" s="88">
        <v>300.5</v>
      </c>
      <c r="J42" s="88">
        <v>348.13</v>
      </c>
      <c r="K42" s="88">
        <v>354.38</v>
      </c>
      <c r="L42" s="88">
        <v>287</v>
      </c>
      <c r="M42" s="88">
        <v>269.38</v>
      </c>
      <c r="N42" s="88">
        <v>266.67</v>
      </c>
    </row>
    <row r="43" spans="1:15">
      <c r="A43" t="s">
        <v>481</v>
      </c>
      <c r="B43" t="s">
        <v>312</v>
      </c>
      <c r="C43"/>
      <c r="D43"/>
      <c r="E43"/>
      <c r="F43"/>
      <c r="G43"/>
      <c r="H43"/>
      <c r="I43"/>
      <c r="J43"/>
      <c r="K43"/>
      <c r="L43"/>
      <c r="M43"/>
      <c r="N43"/>
    </row>
    <row r="44" spans="1:15">
      <c r="A44" t="s">
        <v>313</v>
      </c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5">
      <c r="A45" t="s">
        <v>314</v>
      </c>
      <c r="B45" t="s">
        <v>303</v>
      </c>
      <c r="C45" s="69">
        <v>302.60000000000002</v>
      </c>
      <c r="D45" s="69">
        <v>298.39999999999998</v>
      </c>
      <c r="E45" s="69">
        <v>328.1</v>
      </c>
      <c r="F45" s="69">
        <v>327.60000000000002</v>
      </c>
      <c r="G45" s="69">
        <v>319.60000000000002</v>
      </c>
      <c r="H45" s="69">
        <v>328.2</v>
      </c>
      <c r="I45" s="69">
        <v>330.8</v>
      </c>
      <c r="J45" s="69">
        <v>326.89999999999998</v>
      </c>
      <c r="K45" s="69">
        <v>321.8</v>
      </c>
      <c r="L45" s="69">
        <v>341</v>
      </c>
      <c r="M45" s="69">
        <v>314.39999999999998</v>
      </c>
      <c r="N45" s="69">
        <v>347.1</v>
      </c>
    </row>
    <row r="46" spans="1:15">
      <c r="A46" t="s">
        <v>315</v>
      </c>
      <c r="B46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5">
      <c r="A47" t="s">
        <v>452</v>
      </c>
      <c r="B47" t="s">
        <v>303</v>
      </c>
      <c r="C47" s="69">
        <v>316.3</v>
      </c>
      <c r="D47" s="69">
        <v>319.89999999999998</v>
      </c>
      <c r="E47" s="69">
        <v>320.7</v>
      </c>
      <c r="F47" s="69">
        <v>316.8</v>
      </c>
      <c r="G47" s="69">
        <v>327.10000000000002</v>
      </c>
      <c r="H47" s="69">
        <v>325.7</v>
      </c>
      <c r="I47" s="69">
        <v>329.5</v>
      </c>
      <c r="J47" s="69">
        <v>325.5</v>
      </c>
      <c r="K47" s="69">
        <v>322.8</v>
      </c>
      <c r="L47" s="69">
        <v>327.5</v>
      </c>
      <c r="M47" s="69">
        <v>326.2</v>
      </c>
      <c r="N47" s="69">
        <v>321.7</v>
      </c>
      <c r="O47" s="155"/>
    </row>
    <row r="48" spans="1:15">
      <c r="A48" t="s">
        <v>518</v>
      </c>
      <c r="B48" t="s">
        <v>303</v>
      </c>
      <c r="C48" s="69">
        <v>297.10000000000002</v>
      </c>
      <c r="D48" s="69">
        <v>295.2</v>
      </c>
      <c r="E48" s="69">
        <v>296.10000000000002</v>
      </c>
      <c r="F48" s="69">
        <v>299.39999999999998</v>
      </c>
      <c r="G48" s="69">
        <v>298.39999999999998</v>
      </c>
      <c r="H48" s="69">
        <v>295.89999999999998</v>
      </c>
      <c r="I48" s="69">
        <v>296.5</v>
      </c>
      <c r="J48" s="69">
        <v>291.39999999999998</v>
      </c>
      <c r="K48" s="69">
        <v>294.60000000000002</v>
      </c>
      <c r="L48" s="69">
        <v>292</v>
      </c>
      <c r="M48" s="69">
        <v>289.39999999999998</v>
      </c>
      <c r="N48" s="69">
        <v>285</v>
      </c>
      <c r="O48" s="155"/>
    </row>
    <row r="49" spans="1:14" customFormat="1">
      <c r="A49" t="s">
        <v>451</v>
      </c>
      <c r="B49" t="s">
        <v>303</v>
      </c>
      <c r="C49" s="69">
        <v>328.5</v>
      </c>
      <c r="D49" s="69">
        <v>338.7</v>
      </c>
      <c r="E49" s="69">
        <v>350</v>
      </c>
      <c r="F49" s="69">
        <v>354.4</v>
      </c>
      <c r="G49" s="69">
        <v>346.3</v>
      </c>
      <c r="H49" s="69">
        <v>334.8</v>
      </c>
      <c r="I49" s="69">
        <v>345.2</v>
      </c>
      <c r="J49" s="69">
        <v>343.4</v>
      </c>
      <c r="K49" s="69">
        <v>351.5</v>
      </c>
      <c r="L49" s="69">
        <v>331.7</v>
      </c>
      <c r="M49" s="69">
        <v>306.10000000000002</v>
      </c>
      <c r="N49" s="69">
        <v>311.89999999999998</v>
      </c>
    </row>
    <row r="50" spans="1:14">
      <c r="A50" s="1" t="s">
        <v>504</v>
      </c>
      <c r="B50" s="1" t="s">
        <v>505</v>
      </c>
      <c r="C50" s="143">
        <v>155.6</v>
      </c>
      <c r="D50" s="143">
        <v>187</v>
      </c>
      <c r="E50" s="143">
        <v>188.3</v>
      </c>
      <c r="F50" s="143">
        <v>189</v>
      </c>
      <c r="G50" s="143">
        <v>189</v>
      </c>
      <c r="H50" s="143">
        <v>189</v>
      </c>
      <c r="I50" s="143">
        <v>187.1</v>
      </c>
      <c r="J50" s="143">
        <v>187.1</v>
      </c>
      <c r="K50" s="143">
        <v>187.1</v>
      </c>
      <c r="L50" s="143">
        <v>187.1</v>
      </c>
      <c r="M50" s="143">
        <v>186.9</v>
      </c>
      <c r="N50" s="143">
        <v>181.9</v>
      </c>
    </row>
    <row r="51" spans="1:14">
      <c r="A51" s="117" t="s">
        <v>503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0.25" customHeight="1">
      <c r="A52" s="117" t="s">
        <v>618</v>
      </c>
      <c r="B52"/>
      <c r="C52"/>
      <c r="D52"/>
      <c r="E52"/>
      <c r="F52"/>
      <c r="G52"/>
      <c r="H52"/>
      <c r="I52"/>
      <c r="J52"/>
      <c r="L52"/>
      <c r="M52" s="160"/>
      <c r="N52" s="160"/>
    </row>
    <row r="53" spans="1:14">
      <c r="A53" s="117" t="s">
        <v>619</v>
      </c>
      <c r="B53"/>
      <c r="C53"/>
      <c r="D53"/>
      <c r="E53"/>
      <c r="F53"/>
      <c r="G53"/>
      <c r="H53"/>
      <c r="I53"/>
      <c r="J53"/>
      <c r="K53"/>
      <c r="M53"/>
      <c r="N53" s="313" t="s">
        <v>679</v>
      </c>
    </row>
  </sheetData>
  <pageMargins left="0.7" right="0.7" top="0.75" bottom="0.75" header="0.3" footer="0.3"/>
  <pageSetup scale="87" orientation="landscape" r:id="rId1"/>
  <headerFooter alignWithMargins="0">
    <oddFooter>&amp;C&amp;P
Oil Crops Yearbook/OCS-2018
March 2018
Economic Research Service, USDA</oddFooter>
  </headerFooter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314"/>
      <c r="D2" s="314"/>
      <c r="E2" s="314"/>
      <c r="F2" s="314"/>
      <c r="G2" s="314"/>
      <c r="H2" s="333">
        <v>2013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88">
        <v>26.8</v>
      </c>
      <c r="D6" s="88">
        <v>27.8</v>
      </c>
      <c r="E6" s="88">
        <v>27.3</v>
      </c>
      <c r="F6" s="88">
        <v>27.5</v>
      </c>
      <c r="G6" s="88">
        <v>28</v>
      </c>
      <c r="H6" s="88">
        <v>27.4</v>
      </c>
      <c r="I6" s="88">
        <v>26.3</v>
      </c>
      <c r="J6" s="88">
        <v>22.2</v>
      </c>
      <c r="K6" s="88">
        <v>20.7</v>
      </c>
      <c r="L6" s="88">
        <v>20.7</v>
      </c>
      <c r="M6" s="88">
        <v>20.3</v>
      </c>
      <c r="N6" s="88">
        <v>20.7</v>
      </c>
    </row>
    <row r="7" spans="1:14">
      <c r="A7" t="s">
        <v>293</v>
      </c>
      <c r="B7" t="s">
        <v>289</v>
      </c>
      <c r="C7" s="88">
        <v>249</v>
      </c>
      <c r="D7" s="88">
        <v>217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63" t="s">
        <v>317</v>
      </c>
      <c r="K7" s="88">
        <v>186</v>
      </c>
      <c r="L7" s="88">
        <v>283</v>
      </c>
      <c r="M7" s="88">
        <v>248</v>
      </c>
      <c r="N7" s="88">
        <v>246</v>
      </c>
    </row>
    <row r="8" spans="1:14">
      <c r="A8" t="s">
        <v>294</v>
      </c>
      <c r="B8" t="s">
        <v>295</v>
      </c>
      <c r="C8" s="88">
        <v>13.7</v>
      </c>
      <c r="D8" s="88">
        <v>14.3</v>
      </c>
      <c r="E8" s="88">
        <v>14.4</v>
      </c>
      <c r="F8" s="88">
        <v>14.9</v>
      </c>
      <c r="G8" s="88">
        <v>15.4</v>
      </c>
      <c r="H8" s="88">
        <v>15.2</v>
      </c>
      <c r="I8" s="88">
        <v>15.1</v>
      </c>
      <c r="J8" s="88">
        <v>14.9</v>
      </c>
      <c r="K8" s="88">
        <v>13.1</v>
      </c>
      <c r="L8" s="88">
        <v>13.5</v>
      </c>
      <c r="M8" s="88">
        <v>13.4</v>
      </c>
      <c r="N8" s="88">
        <v>13.5</v>
      </c>
    </row>
    <row r="9" spans="1:14">
      <c r="A9" t="s">
        <v>296</v>
      </c>
      <c r="B9" t="s">
        <v>297</v>
      </c>
      <c r="C9" s="88">
        <v>31.2</v>
      </c>
      <c r="D9" s="88">
        <v>28.199999999999996</v>
      </c>
      <c r="E9" s="88">
        <v>27.700000000000003</v>
      </c>
      <c r="F9" s="88">
        <v>26.700000000000003</v>
      </c>
      <c r="G9" s="88">
        <v>27.200000000000003</v>
      </c>
      <c r="H9" s="88">
        <v>27</v>
      </c>
      <c r="I9" s="88">
        <v>24.7</v>
      </c>
      <c r="J9" s="88">
        <v>25.1</v>
      </c>
      <c r="K9" s="88">
        <v>25.3</v>
      </c>
      <c r="L9" s="88">
        <v>26</v>
      </c>
      <c r="M9" s="88">
        <v>26.6</v>
      </c>
      <c r="N9" s="88">
        <v>24.6</v>
      </c>
    </row>
    <row r="10" spans="1:14">
      <c r="A10" t="s">
        <v>298</v>
      </c>
      <c r="B10" t="s">
        <v>295</v>
      </c>
      <c r="C10" s="88">
        <v>14.3</v>
      </c>
      <c r="D10" s="88">
        <v>14.6</v>
      </c>
      <c r="E10" s="88">
        <v>14.6</v>
      </c>
      <c r="F10" s="88">
        <v>14.4</v>
      </c>
      <c r="G10" s="88">
        <v>14.9</v>
      </c>
      <c r="H10" s="88">
        <v>15.1</v>
      </c>
      <c r="I10" s="88">
        <v>15.3</v>
      </c>
      <c r="J10" s="88">
        <v>14.1</v>
      </c>
      <c r="K10" s="88">
        <v>13.3</v>
      </c>
      <c r="L10" s="88">
        <v>12.5</v>
      </c>
      <c r="M10" s="88">
        <v>12.7</v>
      </c>
      <c r="N10" s="88">
        <v>13</v>
      </c>
    </row>
    <row r="11" spans="1:14">
      <c r="A11" t="s">
        <v>588</v>
      </c>
      <c r="B11" t="s">
        <v>299</v>
      </c>
      <c r="C11" s="88">
        <v>26.3</v>
      </c>
      <c r="D11" s="88">
        <v>26.1</v>
      </c>
      <c r="E11" s="88">
        <v>24.6</v>
      </c>
      <c r="F11" s="88">
        <v>24.8</v>
      </c>
      <c r="G11" s="88">
        <v>24</v>
      </c>
      <c r="H11" s="88">
        <v>24.4</v>
      </c>
      <c r="I11" s="88">
        <v>23.7</v>
      </c>
      <c r="J11" s="88">
        <v>23.7</v>
      </c>
      <c r="K11" s="88">
        <v>22.4</v>
      </c>
      <c r="L11" s="88">
        <v>22.8</v>
      </c>
      <c r="M11" s="88">
        <v>20.7</v>
      </c>
      <c r="N11" s="88">
        <v>18.8</v>
      </c>
    </row>
    <row r="12" spans="1:14">
      <c r="A12" t="s">
        <v>589</v>
      </c>
      <c r="B12" t="s">
        <v>299</v>
      </c>
      <c r="C12" s="88">
        <v>25.6</v>
      </c>
      <c r="D12" s="88">
        <v>24.7</v>
      </c>
      <c r="E12" s="88">
        <v>23.7</v>
      </c>
      <c r="F12" s="88">
        <v>23.2</v>
      </c>
      <c r="G12" s="88">
        <v>23.2</v>
      </c>
      <c r="H12" s="88">
        <v>23.2</v>
      </c>
      <c r="I12" s="88">
        <v>22.6</v>
      </c>
      <c r="J12" s="88">
        <v>22.1</v>
      </c>
      <c r="K12" s="88">
        <v>20.2</v>
      </c>
      <c r="L12" s="88">
        <v>18.7</v>
      </c>
      <c r="M12" s="88">
        <v>18.5</v>
      </c>
      <c r="N12" s="88">
        <v>18.2</v>
      </c>
    </row>
    <row r="13" spans="1:14">
      <c r="A13" t="s">
        <v>590</v>
      </c>
      <c r="B13" t="s">
        <v>299</v>
      </c>
      <c r="C13" s="88">
        <v>28.5</v>
      </c>
      <c r="D13" s="88">
        <v>29.4</v>
      </c>
      <c r="E13" s="88">
        <v>29</v>
      </c>
      <c r="F13" s="88">
        <v>28.6</v>
      </c>
      <c r="G13" s="88">
        <v>27</v>
      </c>
      <c r="H13" s="88">
        <v>31.3</v>
      </c>
      <c r="I13" s="88">
        <v>27.3</v>
      </c>
      <c r="J13" s="88">
        <v>26.9</v>
      </c>
      <c r="K13" s="88">
        <v>30.3</v>
      </c>
      <c r="L13" s="88">
        <v>30.9</v>
      </c>
      <c r="M13" s="88">
        <v>30</v>
      </c>
      <c r="N13" s="88">
        <v>31.8</v>
      </c>
    </row>
    <row r="14" spans="1:14">
      <c r="A14" t="s">
        <v>475</v>
      </c>
    </row>
    <row r="15" spans="1:14">
      <c r="A15" t="s">
        <v>473</v>
      </c>
      <c r="B15" t="s">
        <v>299</v>
      </c>
      <c r="C15" s="88">
        <v>27.96</v>
      </c>
      <c r="D15" s="88">
        <v>28.43</v>
      </c>
      <c r="E15" s="88">
        <v>27.68</v>
      </c>
      <c r="F15" s="88">
        <v>27.62</v>
      </c>
      <c r="G15" s="88">
        <v>27.69</v>
      </c>
      <c r="H15" s="88">
        <v>27.18</v>
      </c>
      <c r="I15" s="88">
        <v>24.62</v>
      </c>
      <c r="J15" s="88">
        <v>22.18</v>
      </c>
      <c r="K15" s="88">
        <v>20.69</v>
      </c>
      <c r="L15" s="88">
        <v>20.6</v>
      </c>
      <c r="M15" s="88">
        <v>20.59</v>
      </c>
      <c r="N15" s="88">
        <v>18.75</v>
      </c>
    </row>
    <row r="16" spans="1:14">
      <c r="A16" t="s">
        <v>474</v>
      </c>
      <c r="B16" t="s">
        <v>289</v>
      </c>
      <c r="C16" s="88">
        <v>279.8</v>
      </c>
      <c r="D16" s="88">
        <v>284.25</v>
      </c>
      <c r="E16" s="88">
        <v>280.5</v>
      </c>
      <c r="F16" s="88">
        <v>278</v>
      </c>
      <c r="G16" s="88">
        <v>298.75</v>
      </c>
      <c r="H16" s="88">
        <v>321.25</v>
      </c>
      <c r="I16" s="88">
        <v>327.5</v>
      </c>
      <c r="J16" s="88">
        <v>348.95</v>
      </c>
      <c r="K16" s="88">
        <v>308.75</v>
      </c>
      <c r="L16" s="88">
        <v>275</v>
      </c>
      <c r="M16" s="88">
        <v>268.75</v>
      </c>
      <c r="N16" s="88">
        <v>294.5</v>
      </c>
    </row>
    <row r="17" spans="1:14">
      <c r="A17" t="s">
        <v>480</v>
      </c>
      <c r="B17" t="s">
        <v>295</v>
      </c>
      <c r="C17" s="88">
        <v>14.7</v>
      </c>
      <c r="D17" s="88">
        <v>14.94</v>
      </c>
      <c r="E17" s="88">
        <v>14.86</v>
      </c>
      <c r="F17" s="88">
        <v>16.16</v>
      </c>
      <c r="G17" s="88">
        <v>15.65</v>
      </c>
      <c r="H17" s="88">
        <v>15.5</v>
      </c>
      <c r="I17" s="88">
        <v>15.74</v>
      </c>
      <c r="J17" s="88">
        <v>14.21</v>
      </c>
      <c r="K17" s="88">
        <v>14.67</v>
      </c>
      <c r="L17" s="88">
        <v>14.25</v>
      </c>
      <c r="M17" s="88">
        <v>14.67</v>
      </c>
      <c r="N17" s="88">
        <v>14.55</v>
      </c>
    </row>
    <row r="18" spans="1:14">
      <c r="A18" t="s">
        <v>472</v>
      </c>
      <c r="B18" t="s">
        <v>295</v>
      </c>
      <c r="C18" s="88">
        <v>14.3</v>
      </c>
      <c r="D18" s="88">
        <v>14.67</v>
      </c>
      <c r="E18" s="88">
        <v>14.62</v>
      </c>
      <c r="F18" s="88">
        <v>14.3</v>
      </c>
      <c r="G18" s="88">
        <v>15.09</v>
      </c>
      <c r="H18" s="88">
        <v>15.49</v>
      </c>
      <c r="I18" s="88">
        <v>15.19</v>
      </c>
      <c r="J18" s="88">
        <v>14</v>
      </c>
      <c r="K18" s="88">
        <v>13.91</v>
      </c>
      <c r="L18" s="88">
        <v>12.69</v>
      </c>
      <c r="M18" s="88">
        <v>12.83</v>
      </c>
      <c r="N18" s="88">
        <v>13.24</v>
      </c>
    </row>
    <row r="19" spans="1:14">
      <c r="A19" t="s">
        <v>471</v>
      </c>
      <c r="B19" t="s">
        <v>295</v>
      </c>
      <c r="C19" s="88">
        <v>15.26</v>
      </c>
      <c r="D19" s="88">
        <v>15.39</v>
      </c>
      <c r="E19" s="88">
        <v>15.24</v>
      </c>
      <c r="F19" s="88">
        <v>15</v>
      </c>
      <c r="G19" s="88">
        <v>15.68</v>
      </c>
      <c r="H19" s="88">
        <v>16.079999999999998</v>
      </c>
      <c r="I19" s="88">
        <v>15.74</v>
      </c>
      <c r="J19" s="88">
        <v>14.26</v>
      </c>
      <c r="K19">
        <v>14.49</v>
      </c>
      <c r="L19">
        <v>13.91</v>
      </c>
      <c r="M19">
        <v>13.91</v>
      </c>
      <c r="N19">
        <v>14.32</v>
      </c>
    </row>
    <row r="20" spans="1:14">
      <c r="A20" t="s">
        <v>476</v>
      </c>
      <c r="B20" t="s">
        <v>299</v>
      </c>
      <c r="C20" s="88">
        <v>22.35</v>
      </c>
      <c r="D20" s="88">
        <v>22.35</v>
      </c>
      <c r="E20" s="88">
        <v>22.51</v>
      </c>
      <c r="F20" s="88">
        <v>22.38</v>
      </c>
      <c r="G20" s="88">
        <v>22.74</v>
      </c>
      <c r="H20" s="88">
        <v>23.04</v>
      </c>
      <c r="I20" s="88">
        <v>22.53</v>
      </c>
      <c r="J20" s="88">
        <v>20.81</v>
      </c>
      <c r="K20">
        <v>20.41</v>
      </c>
      <c r="L20">
        <v>19.36</v>
      </c>
      <c r="M20">
        <v>19.84</v>
      </c>
      <c r="N20">
        <v>19.72</v>
      </c>
    </row>
    <row r="21" spans="1:14">
      <c r="A21" t="s">
        <v>300</v>
      </c>
    </row>
    <row r="22" spans="1:14">
      <c r="A22" t="s">
        <v>301</v>
      </c>
    </row>
    <row r="23" spans="1:14">
      <c r="A23" t="s">
        <v>413</v>
      </c>
      <c r="B23" t="s">
        <v>297</v>
      </c>
      <c r="C23" s="88">
        <v>57.1875</v>
      </c>
      <c r="D23" s="88">
        <v>59.375</v>
      </c>
      <c r="E23" s="88">
        <v>58.95</v>
      </c>
      <c r="F23" s="88">
        <v>60.4375</v>
      </c>
      <c r="G23" s="88">
        <v>60.45</v>
      </c>
      <c r="H23" s="88">
        <v>57.5</v>
      </c>
      <c r="I23" s="88">
        <v>53.25</v>
      </c>
      <c r="J23" s="88">
        <v>48.05</v>
      </c>
      <c r="K23" s="88">
        <v>46</v>
      </c>
      <c r="L23" s="88">
        <v>44.875</v>
      </c>
      <c r="M23" s="88">
        <v>45.05</v>
      </c>
      <c r="N23" s="88">
        <v>42.625</v>
      </c>
    </row>
    <row r="24" spans="1:14">
      <c r="A24" t="s">
        <v>302</v>
      </c>
      <c r="B24" t="s">
        <v>303</v>
      </c>
      <c r="C24" s="88">
        <v>39.375</v>
      </c>
      <c r="D24" s="88">
        <v>41.25</v>
      </c>
      <c r="E24" s="88">
        <v>39.299999999999997</v>
      </c>
      <c r="F24" s="88">
        <v>38</v>
      </c>
      <c r="G24" s="88">
        <v>38.200000000000003</v>
      </c>
      <c r="H24" s="88">
        <v>40.75</v>
      </c>
      <c r="I24" s="88">
        <v>41.5</v>
      </c>
      <c r="J24" s="88">
        <v>41.5</v>
      </c>
      <c r="K24" s="88">
        <v>46</v>
      </c>
      <c r="L24" s="88">
        <v>45</v>
      </c>
      <c r="M24" s="88">
        <v>59.3</v>
      </c>
      <c r="N24" s="88">
        <v>61</v>
      </c>
    </row>
    <row r="25" spans="1:14">
      <c r="A25" t="s">
        <v>543</v>
      </c>
      <c r="B25" t="s">
        <v>303</v>
      </c>
      <c r="C25" s="88">
        <v>52.06</v>
      </c>
      <c r="D25" s="88">
        <v>51.71</v>
      </c>
      <c r="E25" s="88">
        <v>47.76</v>
      </c>
      <c r="F25" s="88">
        <v>47.06</v>
      </c>
      <c r="G25" s="88">
        <v>45.23</v>
      </c>
      <c r="H25" s="88">
        <v>42.5</v>
      </c>
      <c r="I25" s="88">
        <v>38.909999999999997</v>
      </c>
      <c r="J25" s="88">
        <v>38.93</v>
      </c>
      <c r="K25" s="88">
        <v>38.46</v>
      </c>
      <c r="L25">
        <v>37.85</v>
      </c>
      <c r="M25">
        <v>38.79</v>
      </c>
      <c r="N25">
        <v>38.31</v>
      </c>
    </row>
    <row r="26" spans="1:14">
      <c r="A26" t="s">
        <v>537</v>
      </c>
      <c r="B26" t="s">
        <v>303</v>
      </c>
      <c r="C26" s="88">
        <v>37.726190476190474</v>
      </c>
      <c r="D26" s="88">
        <v>38.75</v>
      </c>
      <c r="E26" s="88">
        <v>38.261904761904759</v>
      </c>
      <c r="F26" s="88">
        <v>37.68181818181818</v>
      </c>
      <c r="G26" s="88">
        <v>36.357142857142854</v>
      </c>
      <c r="H26" s="88">
        <v>36.212499999999999</v>
      </c>
      <c r="I26" s="88">
        <v>37.534090909090907</v>
      </c>
      <c r="J26" s="88">
        <v>38.159999999999997</v>
      </c>
      <c r="K26" s="88">
        <v>36.950000000000003</v>
      </c>
      <c r="L26">
        <v>30.36</v>
      </c>
      <c r="M26">
        <v>28.28</v>
      </c>
      <c r="N26">
        <v>29.74</v>
      </c>
    </row>
    <row r="27" spans="1:14">
      <c r="A27" t="s">
        <v>305</v>
      </c>
      <c r="B27" t="s">
        <v>303</v>
      </c>
      <c r="C27" s="88">
        <v>50.9375</v>
      </c>
      <c r="D27" s="88">
        <v>51.5625</v>
      </c>
      <c r="E27" s="88">
        <v>50.2</v>
      </c>
      <c r="F27" s="88">
        <v>49.9375</v>
      </c>
      <c r="G27" s="88">
        <v>49.75</v>
      </c>
      <c r="H27" s="88">
        <v>48.25</v>
      </c>
      <c r="I27" s="88">
        <v>46.1875</v>
      </c>
      <c r="J27" s="88">
        <v>43.1</v>
      </c>
      <c r="K27" s="88">
        <v>42.8125</v>
      </c>
      <c r="L27" s="88">
        <v>41.1875</v>
      </c>
      <c r="M27" s="88">
        <v>42.05</v>
      </c>
      <c r="N27" s="88">
        <v>43.1875</v>
      </c>
    </row>
    <row r="28" spans="1:14">
      <c r="A28" t="s">
        <v>417</v>
      </c>
      <c r="B28" t="s">
        <v>303</v>
      </c>
      <c r="C28" s="88">
        <v>52.45</v>
      </c>
      <c r="D28" s="88">
        <v>45.56</v>
      </c>
      <c r="E28" s="63" t="s">
        <v>317</v>
      </c>
      <c r="F28" s="88">
        <v>43.5</v>
      </c>
      <c r="G28" s="88">
        <v>44.5</v>
      </c>
      <c r="H28" s="88">
        <v>48.5</v>
      </c>
      <c r="I28" s="88">
        <v>53.25</v>
      </c>
      <c r="J28" s="88">
        <v>56.89</v>
      </c>
      <c r="K28" s="88">
        <v>64.78</v>
      </c>
      <c r="L28" s="88">
        <v>43</v>
      </c>
      <c r="M28" s="88">
        <v>48</v>
      </c>
      <c r="N28" s="88">
        <v>41.5</v>
      </c>
    </row>
    <row r="29" spans="1:14">
      <c r="A29" t="s">
        <v>306</v>
      </c>
      <c r="B29" t="s">
        <v>303</v>
      </c>
      <c r="C29" s="88">
        <v>41.375</v>
      </c>
      <c r="D29" s="88">
        <v>42.0625</v>
      </c>
      <c r="E29" s="88">
        <v>41</v>
      </c>
      <c r="F29" s="88">
        <v>41.375</v>
      </c>
      <c r="G29" s="88">
        <v>41.35</v>
      </c>
      <c r="H29" s="88">
        <v>41.3125</v>
      </c>
      <c r="I29" s="88">
        <v>40.1875</v>
      </c>
      <c r="J29" s="88">
        <v>39.700000000000003</v>
      </c>
      <c r="K29" s="88">
        <v>40</v>
      </c>
      <c r="L29" s="88">
        <v>40.1875</v>
      </c>
      <c r="M29" s="88">
        <v>42.65</v>
      </c>
      <c r="N29" s="88">
        <v>42.375</v>
      </c>
    </row>
    <row r="30" spans="1:14">
      <c r="A30" t="s">
        <v>491</v>
      </c>
      <c r="B30" t="s">
        <v>303</v>
      </c>
      <c r="C30" s="88">
        <v>44.25</v>
      </c>
      <c r="D30" s="88">
        <v>44.875</v>
      </c>
      <c r="E30" s="88">
        <v>43.5</v>
      </c>
      <c r="F30" s="88">
        <v>44.625</v>
      </c>
      <c r="G30" s="88">
        <v>45.2</v>
      </c>
      <c r="H30" s="88">
        <v>46.5625</v>
      </c>
      <c r="I30" s="88">
        <v>44.9375</v>
      </c>
      <c r="J30" s="88">
        <v>44.6</v>
      </c>
      <c r="K30" s="88">
        <v>44.1875</v>
      </c>
      <c r="L30" s="88">
        <v>44.375</v>
      </c>
      <c r="M30" s="88">
        <v>47.1</v>
      </c>
      <c r="N30" s="88">
        <v>48.1875</v>
      </c>
    </row>
    <row r="31" spans="1:14">
      <c r="A31" t="s">
        <v>307</v>
      </c>
      <c r="B31" t="s">
        <v>303</v>
      </c>
      <c r="C31" s="88">
        <v>96.75</v>
      </c>
      <c r="D31" s="88">
        <v>86</v>
      </c>
      <c r="E31" s="88">
        <v>79.05</v>
      </c>
      <c r="F31" s="88">
        <v>77.5</v>
      </c>
      <c r="G31" s="88">
        <v>80</v>
      </c>
      <c r="H31" s="88">
        <v>82.75</v>
      </c>
      <c r="I31" s="88">
        <v>84</v>
      </c>
      <c r="J31" s="88">
        <v>83</v>
      </c>
      <c r="K31" s="88">
        <v>82</v>
      </c>
      <c r="L31" s="88">
        <v>81</v>
      </c>
      <c r="M31" s="88">
        <v>78.7</v>
      </c>
      <c r="N31" s="88">
        <v>75.375</v>
      </c>
    </row>
    <row r="32" spans="1:14">
      <c r="A32" t="s">
        <v>308</v>
      </c>
      <c r="B32" t="s">
        <v>303</v>
      </c>
      <c r="C32">
        <v>48.85</v>
      </c>
      <c r="D32">
        <v>49.33</v>
      </c>
      <c r="E32">
        <v>48.62</v>
      </c>
      <c r="F32">
        <v>49.28</v>
      </c>
      <c r="G32">
        <v>49.31</v>
      </c>
      <c r="H32">
        <v>47.84</v>
      </c>
      <c r="I32">
        <v>45.19</v>
      </c>
      <c r="J32">
        <v>42.33</v>
      </c>
      <c r="K32">
        <v>42.12</v>
      </c>
      <c r="L32">
        <v>39.659999999999997</v>
      </c>
      <c r="M32">
        <v>39.58</v>
      </c>
      <c r="N32">
        <v>37.630000000000003</v>
      </c>
    </row>
    <row r="33" spans="1:15">
      <c r="A33" t="s">
        <v>309</v>
      </c>
      <c r="B33" t="s">
        <v>303</v>
      </c>
      <c r="C33" s="88">
        <v>65.25</v>
      </c>
      <c r="D33" s="88">
        <v>65</v>
      </c>
      <c r="E33" s="88">
        <v>64.599999999999994</v>
      </c>
      <c r="F33" s="88">
        <v>64</v>
      </c>
      <c r="G33" s="88">
        <v>64</v>
      </c>
      <c r="H33" s="88">
        <v>64</v>
      </c>
      <c r="I33" s="88">
        <v>64</v>
      </c>
      <c r="J33" s="88">
        <v>64</v>
      </c>
      <c r="K33" s="88">
        <v>63.75</v>
      </c>
      <c r="L33" s="88">
        <v>60.5</v>
      </c>
      <c r="M33" s="88">
        <v>57.4</v>
      </c>
      <c r="N33" s="88">
        <v>57</v>
      </c>
    </row>
    <row r="34" spans="1:15">
      <c r="A34" t="s">
        <v>415</v>
      </c>
      <c r="B34" t="s">
        <v>303</v>
      </c>
      <c r="C34" s="88">
        <v>43.5</v>
      </c>
      <c r="D34" s="88">
        <v>41.93</v>
      </c>
      <c r="E34" s="88">
        <v>45</v>
      </c>
      <c r="F34" s="88">
        <v>43.5</v>
      </c>
      <c r="G34" s="88">
        <v>43.86</v>
      </c>
      <c r="H34" s="88">
        <v>48.44</v>
      </c>
      <c r="I34" s="88">
        <v>49.13</v>
      </c>
      <c r="J34" s="88">
        <v>43.18</v>
      </c>
      <c r="K34" s="88">
        <v>40.020000000000003</v>
      </c>
      <c r="L34" s="88">
        <v>33.17</v>
      </c>
      <c r="M34" s="88">
        <v>38.880000000000003</v>
      </c>
      <c r="N34" s="88">
        <v>39.619999999999997</v>
      </c>
    </row>
    <row r="35" spans="1:15">
      <c r="A35" s="117" t="s">
        <v>490</v>
      </c>
      <c r="B35" t="s">
        <v>303</v>
      </c>
      <c r="C35" s="88">
        <v>37.700000000000003</v>
      </c>
      <c r="D35" s="88">
        <v>38.380000000000003</v>
      </c>
      <c r="E35" s="88">
        <v>39.090000000000003</v>
      </c>
      <c r="F35" s="88">
        <v>38.25</v>
      </c>
      <c r="G35" s="88">
        <v>37.409999999999997</v>
      </c>
      <c r="H35" s="88">
        <v>37.94</v>
      </c>
      <c r="I35" s="88">
        <v>38.630000000000003</v>
      </c>
      <c r="J35" s="88">
        <v>37.380000000000003</v>
      </c>
      <c r="K35" s="88">
        <v>38.72</v>
      </c>
      <c r="L35" s="88">
        <v>26.31</v>
      </c>
      <c r="M35" s="88">
        <v>27.13</v>
      </c>
      <c r="N35" s="88">
        <v>28.69</v>
      </c>
      <c r="O35" s="63"/>
    </row>
    <row r="36" spans="1:15">
      <c r="A36" s="117" t="s">
        <v>485</v>
      </c>
      <c r="B36" s="117" t="s">
        <v>486</v>
      </c>
      <c r="C36" s="88">
        <v>4.2750000000000004</v>
      </c>
      <c r="D36" s="88">
        <v>4.4937500000000004</v>
      </c>
      <c r="E36" s="88">
        <v>4.6249999999999991</v>
      </c>
      <c r="F36" s="88">
        <v>4.7759999999999998</v>
      </c>
      <c r="G36" s="88">
        <v>4.8709999999999996</v>
      </c>
      <c r="H36" s="88">
        <v>4.9387499999999998</v>
      </c>
      <c r="I36" s="88">
        <v>5.0287500000000005</v>
      </c>
      <c r="J36" s="88">
        <v>4.8900000000000006</v>
      </c>
      <c r="K36" s="88">
        <v>4.8800000000000008</v>
      </c>
      <c r="L36" s="88">
        <v>4.54</v>
      </c>
      <c r="M36" s="88">
        <v>4.1680000000000001</v>
      </c>
      <c r="N36" s="88">
        <v>3.9025000000000003</v>
      </c>
    </row>
    <row r="37" spans="1:15">
      <c r="A37" t="s">
        <v>310</v>
      </c>
    </row>
    <row r="38" spans="1:15">
      <c r="A38" t="s">
        <v>414</v>
      </c>
      <c r="B38" t="s">
        <v>289</v>
      </c>
      <c r="C38">
        <v>347.22</v>
      </c>
      <c r="D38">
        <v>359.23</v>
      </c>
      <c r="E38">
        <v>356.74</v>
      </c>
      <c r="F38">
        <v>340.42</v>
      </c>
      <c r="G38">
        <v>362.51</v>
      </c>
      <c r="H38">
        <v>376.19</v>
      </c>
      <c r="I38">
        <v>374.89</v>
      </c>
      <c r="J38">
        <v>340.44</v>
      </c>
      <c r="K38">
        <v>354.55</v>
      </c>
      <c r="L38">
        <v>334.95</v>
      </c>
      <c r="M38">
        <v>342.86</v>
      </c>
      <c r="N38">
        <v>373.6</v>
      </c>
    </row>
    <row r="39" spans="1:15">
      <c r="A39" t="s">
        <v>311</v>
      </c>
      <c r="B39" t="s">
        <v>303</v>
      </c>
      <c r="C39" s="88">
        <v>327.5</v>
      </c>
      <c r="D39" s="88">
        <v>279.38</v>
      </c>
      <c r="E39" s="88">
        <v>301.88</v>
      </c>
      <c r="F39" s="88">
        <v>314.5</v>
      </c>
      <c r="G39" s="88">
        <v>311.88</v>
      </c>
      <c r="H39" s="88">
        <v>329.38</v>
      </c>
      <c r="I39" s="88">
        <v>344.5</v>
      </c>
      <c r="J39" s="88">
        <v>330</v>
      </c>
      <c r="K39" s="88">
        <v>374.38</v>
      </c>
      <c r="L39" s="88">
        <v>355</v>
      </c>
      <c r="M39" s="88">
        <v>345</v>
      </c>
      <c r="N39" s="88">
        <v>401.88</v>
      </c>
    </row>
    <row r="40" spans="1:15">
      <c r="A40" t="s">
        <v>393</v>
      </c>
      <c r="B40" t="s">
        <v>303</v>
      </c>
      <c r="C40" s="88">
        <v>296</v>
      </c>
      <c r="D40" s="88">
        <v>303.75</v>
      </c>
      <c r="E40" s="88">
        <v>303.75</v>
      </c>
      <c r="F40" s="88">
        <v>309</v>
      </c>
      <c r="G40" s="88">
        <v>331.875</v>
      </c>
      <c r="H40" s="88">
        <v>340</v>
      </c>
      <c r="I40" s="88">
        <v>382.5</v>
      </c>
      <c r="J40" s="88">
        <v>317.5</v>
      </c>
      <c r="K40" s="88">
        <v>400</v>
      </c>
      <c r="L40" s="88">
        <v>363.75</v>
      </c>
      <c r="M40" s="88">
        <v>316.25</v>
      </c>
      <c r="N40" s="88">
        <v>328.75</v>
      </c>
    </row>
    <row r="41" spans="1:15">
      <c r="A41" t="s">
        <v>394</v>
      </c>
      <c r="B41" t="s">
        <v>303</v>
      </c>
      <c r="C41">
        <v>431.39</v>
      </c>
      <c r="D41">
        <v>440.66</v>
      </c>
      <c r="E41">
        <v>437.33</v>
      </c>
      <c r="F41">
        <v>422.07</v>
      </c>
      <c r="G41">
        <v>465.72</v>
      </c>
      <c r="H41">
        <v>496.78</v>
      </c>
      <c r="I41">
        <v>544.59</v>
      </c>
      <c r="J41">
        <v>464.9</v>
      </c>
      <c r="K41">
        <v>500.39</v>
      </c>
      <c r="L41">
        <v>443.63</v>
      </c>
      <c r="M41">
        <v>451.13</v>
      </c>
      <c r="N41">
        <v>498.1</v>
      </c>
    </row>
    <row r="42" spans="1:15">
      <c r="A42" t="s">
        <v>482</v>
      </c>
      <c r="B42" t="s">
        <v>303</v>
      </c>
      <c r="C42" s="88">
        <v>252</v>
      </c>
      <c r="D42" s="88">
        <v>237.5</v>
      </c>
      <c r="E42" s="88">
        <v>231.25</v>
      </c>
      <c r="F42" s="88">
        <v>222</v>
      </c>
      <c r="G42" s="88">
        <v>215</v>
      </c>
      <c r="H42" s="88">
        <v>233.13</v>
      </c>
      <c r="I42" s="88">
        <v>245.5</v>
      </c>
      <c r="J42" s="88">
        <v>221.25</v>
      </c>
      <c r="K42" s="88">
        <v>218.13</v>
      </c>
      <c r="L42" s="88">
        <v>236.25</v>
      </c>
      <c r="M42" s="88">
        <v>246.88</v>
      </c>
      <c r="N42" s="88">
        <v>277.5</v>
      </c>
    </row>
    <row r="43" spans="1:15">
      <c r="A43" t="s">
        <v>481</v>
      </c>
      <c r="B43" t="s">
        <v>312</v>
      </c>
    </row>
    <row r="44" spans="1:15">
      <c r="A44" t="s">
        <v>313</v>
      </c>
    </row>
    <row r="45" spans="1:15">
      <c r="A45" t="s">
        <v>314</v>
      </c>
      <c r="B45" t="s">
        <v>303</v>
      </c>
      <c r="C45" s="69">
        <v>347.7</v>
      </c>
      <c r="D45" s="69">
        <v>313.3</v>
      </c>
      <c r="E45" s="69">
        <v>280.3</v>
      </c>
      <c r="F45" s="69">
        <v>279.2</v>
      </c>
      <c r="G45" s="69">
        <v>274.2</v>
      </c>
      <c r="H45" s="69">
        <v>276.89999999999998</v>
      </c>
      <c r="I45" s="69">
        <v>293.39999999999998</v>
      </c>
      <c r="J45" s="69">
        <v>317.10000000000002</v>
      </c>
      <c r="K45" s="69">
        <v>343</v>
      </c>
      <c r="L45" s="69">
        <v>349.1</v>
      </c>
      <c r="M45" s="69">
        <v>299.2</v>
      </c>
      <c r="N45" s="69">
        <v>293.7</v>
      </c>
    </row>
    <row r="46" spans="1:15">
      <c r="A46" t="s">
        <v>315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5">
      <c r="A47" t="s">
        <v>452</v>
      </c>
      <c r="B47" t="s">
        <v>303</v>
      </c>
      <c r="C47" s="69">
        <v>319.5</v>
      </c>
      <c r="D47" s="69">
        <v>318.3</v>
      </c>
      <c r="E47" s="69">
        <v>321.89999999999998</v>
      </c>
      <c r="F47" s="69">
        <v>319.89999999999998</v>
      </c>
      <c r="G47" s="69">
        <v>319.3</v>
      </c>
      <c r="H47" s="69">
        <v>319</v>
      </c>
      <c r="I47" s="69">
        <v>318.8</v>
      </c>
      <c r="J47" s="69">
        <v>318</v>
      </c>
      <c r="K47" s="69">
        <v>319.89999999999998</v>
      </c>
      <c r="L47" s="69">
        <v>307.60000000000002</v>
      </c>
      <c r="M47" s="69">
        <v>312.5</v>
      </c>
      <c r="N47" s="69">
        <v>313.7</v>
      </c>
    </row>
    <row r="48" spans="1:15">
      <c r="A48" t="s">
        <v>518</v>
      </c>
      <c r="B48" t="s">
        <v>303</v>
      </c>
      <c r="C48" s="69">
        <v>284.5</v>
      </c>
      <c r="D48" s="69">
        <v>283.3</v>
      </c>
      <c r="E48" s="69">
        <v>283.60000000000002</v>
      </c>
      <c r="F48" s="69">
        <v>281.5</v>
      </c>
      <c r="G48" s="69">
        <v>276.39999999999998</v>
      </c>
      <c r="H48" s="69">
        <v>275.89999999999998</v>
      </c>
      <c r="I48" s="69">
        <v>280.89999999999998</v>
      </c>
      <c r="J48" s="69">
        <v>275.8</v>
      </c>
      <c r="K48" s="69">
        <v>275.39999999999998</v>
      </c>
      <c r="L48" s="69">
        <v>270.3</v>
      </c>
      <c r="M48" s="69">
        <v>267.60000000000002</v>
      </c>
      <c r="N48" s="69">
        <v>260.89999999999998</v>
      </c>
      <c r="O48" s="69"/>
    </row>
    <row r="49" spans="1:15">
      <c r="A49" t="s">
        <v>451</v>
      </c>
      <c r="B49" t="s">
        <v>303</v>
      </c>
      <c r="C49" s="69">
        <v>315.10000000000002</v>
      </c>
      <c r="D49" s="69">
        <v>324.10000000000002</v>
      </c>
      <c r="E49" s="69">
        <v>319.10000000000002</v>
      </c>
      <c r="F49" s="69">
        <v>324.7</v>
      </c>
      <c r="G49" s="69">
        <v>321.60000000000002</v>
      </c>
      <c r="H49" s="69">
        <v>317.89999999999998</v>
      </c>
      <c r="I49" s="69">
        <v>316.10000000000002</v>
      </c>
      <c r="J49" s="69">
        <v>293.10000000000002</v>
      </c>
      <c r="K49" s="69">
        <v>290.39999999999998</v>
      </c>
      <c r="L49" s="69">
        <v>274.89999999999998</v>
      </c>
      <c r="M49" s="69">
        <v>265.3</v>
      </c>
      <c r="N49" s="69">
        <v>268.60000000000002</v>
      </c>
      <c r="O49" s="69"/>
    </row>
    <row r="50" spans="1:15">
      <c r="A50" s="1" t="s">
        <v>504</v>
      </c>
      <c r="B50" s="1" t="s">
        <v>505</v>
      </c>
      <c r="C50" s="143">
        <v>157.80000000000001</v>
      </c>
      <c r="D50" s="143">
        <v>157.80000000000001</v>
      </c>
      <c r="E50" s="143">
        <v>145.4</v>
      </c>
      <c r="F50" s="143">
        <v>145.4</v>
      </c>
      <c r="G50" s="143">
        <v>147.30000000000001</v>
      </c>
      <c r="H50" s="143">
        <v>147.30000000000001</v>
      </c>
      <c r="I50" s="143">
        <v>147.30000000000001</v>
      </c>
      <c r="J50" s="143">
        <v>147.30000000000001</v>
      </c>
      <c r="K50" s="143">
        <v>147.30000000000001</v>
      </c>
      <c r="L50" s="143">
        <v>147.30000000000001</v>
      </c>
      <c r="M50" s="143">
        <v>147.30000000000001</v>
      </c>
      <c r="N50" s="143">
        <v>147.30000000000001</v>
      </c>
    </row>
    <row r="51" spans="1:15">
      <c r="A51" s="117" t="s">
        <v>618</v>
      </c>
    </row>
    <row r="52" spans="1:15">
      <c r="A52" s="117" t="s">
        <v>619</v>
      </c>
      <c r="K52" s="153"/>
      <c r="M52" s="160"/>
      <c r="N52" s="313" t="s">
        <v>679</v>
      </c>
    </row>
    <row r="53" spans="1:15" ht="10.25" customHeight="1">
      <c r="A53" s="117"/>
      <c r="L53" s="160"/>
    </row>
  </sheetData>
  <pageMargins left="0.7" right="0.7" top="0.75" bottom="0.75" header="0.3" footer="0.3"/>
  <pageSetup scale="87" orientation="landscape" r:id="rId1"/>
  <headerFooter alignWithMargins="0">
    <oddFooter>&amp;C&amp;P
Oil Crops Yearbook/OCS-2018
March 2018
Economic Research Service, USDA</oddFooter>
  </headerFooter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5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>
      <c r="C2" s="314"/>
      <c r="D2" s="314"/>
      <c r="E2" s="314"/>
      <c r="F2" s="314"/>
      <c r="G2" s="314"/>
      <c r="H2" s="333">
        <v>2014</v>
      </c>
      <c r="I2" s="314"/>
      <c r="J2" s="314"/>
      <c r="K2" s="314"/>
      <c r="L2" s="314"/>
      <c r="M2" s="314"/>
      <c r="N2" s="314"/>
    </row>
    <row r="3" spans="1:15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  <c r="O3" s="134"/>
    </row>
    <row r="4" spans="1:15">
      <c r="A4" t="s">
        <v>291</v>
      </c>
    </row>
    <row r="5" spans="1:15">
      <c r="A5" t="s">
        <v>292</v>
      </c>
    </row>
    <row r="6" spans="1:15">
      <c r="A6" t="s">
        <v>466</v>
      </c>
      <c r="B6" t="s">
        <v>299</v>
      </c>
      <c r="C6" s="88">
        <v>19.8</v>
      </c>
      <c r="D6" s="88">
        <v>18.5</v>
      </c>
      <c r="E6" s="88">
        <v>18.399999999999999</v>
      </c>
      <c r="F6" s="88">
        <v>19.5</v>
      </c>
      <c r="G6" s="88">
        <v>21.7</v>
      </c>
      <c r="H6" s="88">
        <v>20.8</v>
      </c>
      <c r="I6" s="88">
        <v>20.7</v>
      </c>
      <c r="J6" s="88">
        <v>17.8</v>
      </c>
      <c r="K6" s="88">
        <v>16.2</v>
      </c>
      <c r="L6" s="88">
        <v>15.6</v>
      </c>
      <c r="M6" s="88">
        <v>17.100000000000001</v>
      </c>
      <c r="N6" s="88">
        <v>16.600000000000001</v>
      </c>
    </row>
    <row r="7" spans="1:15">
      <c r="A7" t="s">
        <v>293</v>
      </c>
      <c r="B7" t="s">
        <v>289</v>
      </c>
      <c r="C7" s="88">
        <v>230</v>
      </c>
      <c r="D7" s="88">
        <v>226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88">
        <v>182</v>
      </c>
      <c r="K7" s="88">
        <v>175</v>
      </c>
      <c r="L7" s="88">
        <v>201</v>
      </c>
      <c r="M7" s="88">
        <v>198</v>
      </c>
      <c r="N7" s="88">
        <v>186</v>
      </c>
    </row>
    <row r="8" spans="1:15">
      <c r="A8" t="s">
        <v>294</v>
      </c>
      <c r="B8" t="s">
        <v>295</v>
      </c>
      <c r="C8" s="88">
        <v>13.8</v>
      </c>
      <c r="D8" s="88">
        <v>13.8</v>
      </c>
      <c r="E8" s="88">
        <v>13.5</v>
      </c>
      <c r="F8" s="88">
        <v>13.9</v>
      </c>
      <c r="G8" s="88">
        <v>14.9</v>
      </c>
      <c r="H8" s="88">
        <v>14.4</v>
      </c>
      <c r="I8" s="88">
        <v>14</v>
      </c>
      <c r="J8" s="88">
        <v>13.3</v>
      </c>
      <c r="K8" s="88">
        <v>11.7</v>
      </c>
      <c r="L8" s="88">
        <v>11.5</v>
      </c>
      <c r="M8" s="88">
        <v>11.6</v>
      </c>
      <c r="N8" s="88">
        <v>11.4</v>
      </c>
    </row>
    <row r="9" spans="1:15">
      <c r="A9" t="s">
        <v>296</v>
      </c>
      <c r="B9" t="s">
        <v>297</v>
      </c>
      <c r="C9" s="88">
        <v>25.4</v>
      </c>
      <c r="D9" s="88">
        <v>24.3</v>
      </c>
      <c r="E9" s="88">
        <v>25</v>
      </c>
      <c r="F9" s="88">
        <v>24.2</v>
      </c>
      <c r="G9" s="88">
        <v>23.7</v>
      </c>
      <c r="H9" s="88">
        <v>20</v>
      </c>
      <c r="I9" s="88">
        <v>21.7</v>
      </c>
      <c r="J9" s="88">
        <v>22.1</v>
      </c>
      <c r="K9" s="88">
        <v>21.5</v>
      </c>
      <c r="L9" s="88">
        <v>21</v>
      </c>
      <c r="M9" s="88">
        <v>21.4</v>
      </c>
      <c r="N9" s="88">
        <v>20.9</v>
      </c>
    </row>
    <row r="10" spans="1:15">
      <c r="A10" t="s">
        <v>298</v>
      </c>
      <c r="B10" t="s">
        <v>295</v>
      </c>
      <c r="C10" s="88">
        <v>12.9</v>
      </c>
      <c r="D10" s="88">
        <v>13.2</v>
      </c>
      <c r="E10" s="88">
        <v>13.7</v>
      </c>
      <c r="F10" s="88">
        <v>14.3</v>
      </c>
      <c r="G10" s="88">
        <v>14.4</v>
      </c>
      <c r="H10" s="88">
        <v>14.3</v>
      </c>
      <c r="I10" s="88">
        <v>13.1</v>
      </c>
      <c r="J10" s="88">
        <v>12.4</v>
      </c>
      <c r="K10" s="88">
        <v>13.3</v>
      </c>
      <c r="L10" s="88">
        <v>12.5</v>
      </c>
      <c r="M10" s="88">
        <v>12.7</v>
      </c>
      <c r="N10" s="88">
        <v>13</v>
      </c>
    </row>
    <row r="11" spans="1:15">
      <c r="A11" t="s">
        <v>588</v>
      </c>
      <c r="B11" t="s">
        <v>299</v>
      </c>
      <c r="C11" s="88">
        <v>19.600000000000001</v>
      </c>
      <c r="D11" s="88">
        <v>22.8</v>
      </c>
      <c r="E11" s="88">
        <v>21.6</v>
      </c>
      <c r="F11" s="88">
        <v>22.3</v>
      </c>
      <c r="G11" s="88">
        <v>24.1</v>
      </c>
      <c r="H11" s="88">
        <v>22.8</v>
      </c>
      <c r="I11" s="88">
        <v>22.1</v>
      </c>
      <c r="J11" s="88">
        <v>22.4</v>
      </c>
      <c r="K11" s="88">
        <v>20.2</v>
      </c>
      <c r="L11" s="88">
        <v>21.7</v>
      </c>
      <c r="M11" s="88">
        <v>20.3</v>
      </c>
      <c r="N11" s="88">
        <v>19.7</v>
      </c>
    </row>
    <row r="12" spans="1:15">
      <c r="A12" t="s">
        <v>589</v>
      </c>
      <c r="B12" t="s">
        <v>299</v>
      </c>
      <c r="C12" s="88">
        <v>18.7</v>
      </c>
      <c r="D12" s="88">
        <v>20</v>
      </c>
      <c r="E12" s="88">
        <v>19.399999999999999</v>
      </c>
      <c r="F12" s="88">
        <v>19.7</v>
      </c>
      <c r="G12" s="88">
        <v>21.7</v>
      </c>
      <c r="H12" s="88">
        <v>20.7</v>
      </c>
      <c r="I12" s="88">
        <v>20.5</v>
      </c>
      <c r="J12" s="88">
        <v>19.399999999999999</v>
      </c>
      <c r="K12" s="88">
        <v>19.3</v>
      </c>
      <c r="L12" s="88">
        <v>18.100000000000001</v>
      </c>
      <c r="M12" s="88">
        <v>17.5</v>
      </c>
      <c r="N12" s="88">
        <v>17.7</v>
      </c>
    </row>
    <row r="13" spans="1:15">
      <c r="A13" t="s">
        <v>590</v>
      </c>
      <c r="B13" t="s">
        <v>299</v>
      </c>
      <c r="C13" s="88">
        <v>34</v>
      </c>
      <c r="D13" s="88">
        <v>32</v>
      </c>
      <c r="E13" s="88">
        <v>33</v>
      </c>
      <c r="F13" s="88">
        <v>32</v>
      </c>
      <c r="G13" s="88">
        <v>30.8</v>
      </c>
      <c r="H13" s="88">
        <v>30.8</v>
      </c>
      <c r="I13" s="88">
        <v>32.4</v>
      </c>
      <c r="J13" s="88">
        <v>31.8</v>
      </c>
      <c r="K13" s="88">
        <v>33.6</v>
      </c>
      <c r="L13" s="88">
        <v>32.799999999999997</v>
      </c>
      <c r="M13" s="88">
        <v>32.6</v>
      </c>
      <c r="N13" s="88">
        <v>31.3</v>
      </c>
    </row>
    <row r="14" spans="1:15">
      <c r="A14" t="s">
        <v>475</v>
      </c>
    </row>
    <row r="15" spans="1:15">
      <c r="A15" t="s">
        <v>473</v>
      </c>
      <c r="B15" t="s">
        <v>299</v>
      </c>
      <c r="C15" s="88">
        <v>17.13</v>
      </c>
      <c r="D15" s="88">
        <v>17.260000000000002</v>
      </c>
      <c r="E15" s="88">
        <v>19.07</v>
      </c>
      <c r="F15" s="88">
        <v>19.920000000000002</v>
      </c>
      <c r="G15" s="88">
        <v>20.89</v>
      </c>
      <c r="H15" s="88">
        <v>19.25</v>
      </c>
      <c r="I15" s="88">
        <v>18.61</v>
      </c>
      <c r="J15" s="88">
        <v>16.809999999999999</v>
      </c>
      <c r="K15" s="88">
        <v>15.91</v>
      </c>
      <c r="L15" s="88">
        <v>16.41</v>
      </c>
      <c r="M15" s="88">
        <v>17.39</v>
      </c>
      <c r="N15" s="88">
        <v>17.13</v>
      </c>
    </row>
    <row r="16" spans="1:15">
      <c r="A16" t="s">
        <v>474</v>
      </c>
      <c r="B16" t="s">
        <v>289</v>
      </c>
      <c r="C16" s="88">
        <v>320.25</v>
      </c>
      <c r="D16" s="88">
        <v>371.25</v>
      </c>
      <c r="E16" s="88">
        <v>400.5</v>
      </c>
      <c r="F16" s="88">
        <v>421</v>
      </c>
      <c r="G16" s="88">
        <v>451.75</v>
      </c>
      <c r="H16" s="88">
        <v>453.25</v>
      </c>
      <c r="I16" s="88">
        <v>383</v>
      </c>
      <c r="J16" s="88">
        <v>356.25</v>
      </c>
      <c r="K16" s="88">
        <v>346</v>
      </c>
      <c r="L16" s="88">
        <v>236.75</v>
      </c>
      <c r="M16" s="88">
        <v>220</v>
      </c>
      <c r="N16" s="88">
        <v>259</v>
      </c>
    </row>
    <row r="17" spans="1:15">
      <c r="A17" t="s">
        <v>480</v>
      </c>
      <c r="B17" t="s">
        <v>295</v>
      </c>
      <c r="C17" s="88">
        <v>14.07</v>
      </c>
      <c r="D17" s="88">
        <v>14.06</v>
      </c>
      <c r="E17" s="88">
        <v>14.6</v>
      </c>
      <c r="F17" s="88">
        <v>15.48</v>
      </c>
      <c r="G17" s="88">
        <v>15.71</v>
      </c>
      <c r="H17" s="88">
        <v>15.73</v>
      </c>
      <c r="I17" s="88">
        <v>14.8</v>
      </c>
      <c r="J17" s="88">
        <v>13.82</v>
      </c>
      <c r="K17" s="88">
        <v>13.2</v>
      </c>
      <c r="L17" s="88">
        <v>12.84</v>
      </c>
      <c r="M17" s="88">
        <v>13</v>
      </c>
      <c r="N17" s="88">
        <v>12.89</v>
      </c>
    </row>
    <row r="18" spans="1:15">
      <c r="A18" t="s">
        <v>472</v>
      </c>
      <c r="B18" t="s">
        <v>295</v>
      </c>
      <c r="C18" s="88">
        <v>12.93</v>
      </c>
      <c r="D18" s="88">
        <v>13.43</v>
      </c>
      <c r="E18" s="88">
        <v>14.17</v>
      </c>
      <c r="F18" s="88">
        <v>14.89</v>
      </c>
      <c r="G18" s="88">
        <v>14.91</v>
      </c>
      <c r="H18" s="88">
        <v>14.45</v>
      </c>
      <c r="I18" s="88">
        <v>12.85</v>
      </c>
      <c r="J18" s="88">
        <v>12.38</v>
      </c>
      <c r="K18" s="88">
        <v>10.37</v>
      </c>
      <c r="L18" s="88">
        <v>9.4</v>
      </c>
      <c r="M18" s="88">
        <v>10.15</v>
      </c>
      <c r="N18" s="88">
        <v>10.23</v>
      </c>
    </row>
    <row r="19" spans="1:15">
      <c r="A19" t="s">
        <v>471</v>
      </c>
      <c r="B19" t="s">
        <v>295</v>
      </c>
      <c r="C19" s="88">
        <v>14.05</v>
      </c>
      <c r="D19" s="88">
        <v>14.47</v>
      </c>
      <c r="E19" s="88">
        <v>15.12</v>
      </c>
      <c r="F19" s="88">
        <v>15.59</v>
      </c>
      <c r="G19" s="88">
        <v>15.58</v>
      </c>
      <c r="H19" s="88">
        <v>15.07</v>
      </c>
      <c r="I19" s="88">
        <v>13.62</v>
      </c>
      <c r="J19" s="88">
        <v>13.71</v>
      </c>
      <c r="K19">
        <v>11.12</v>
      </c>
      <c r="L19">
        <v>10.84</v>
      </c>
      <c r="M19">
        <v>11.41</v>
      </c>
      <c r="N19">
        <v>11.23</v>
      </c>
    </row>
    <row r="20" spans="1:15">
      <c r="A20" t="s">
        <v>476</v>
      </c>
      <c r="B20" t="s">
        <v>299</v>
      </c>
      <c r="C20" s="88">
        <v>19.260000000000002</v>
      </c>
      <c r="D20" s="88">
        <v>19.690000000000001</v>
      </c>
      <c r="E20" s="88">
        <v>20.49</v>
      </c>
      <c r="F20" s="88">
        <v>21.43</v>
      </c>
      <c r="G20" s="88">
        <v>21.25</v>
      </c>
      <c r="H20" s="88">
        <v>21.39</v>
      </c>
      <c r="I20" s="88">
        <v>19.96</v>
      </c>
      <c r="J20" s="88">
        <v>17.78</v>
      </c>
      <c r="K20">
        <v>17.420000000000002</v>
      </c>
      <c r="L20">
        <v>17.3</v>
      </c>
      <c r="M20">
        <v>17.54</v>
      </c>
      <c r="N20">
        <v>18.53</v>
      </c>
    </row>
    <row r="21" spans="1:15">
      <c r="A21" t="s">
        <v>300</v>
      </c>
    </row>
    <row r="22" spans="1:15">
      <c r="A22" t="s">
        <v>301</v>
      </c>
    </row>
    <row r="23" spans="1:15">
      <c r="A23" t="s">
        <v>413</v>
      </c>
      <c r="B23" t="s">
        <v>297</v>
      </c>
      <c r="C23" s="88">
        <v>39.75</v>
      </c>
      <c r="D23" s="88">
        <v>42.56</v>
      </c>
      <c r="E23" s="88">
        <v>45.75</v>
      </c>
      <c r="F23" s="88">
        <v>47.63</v>
      </c>
      <c r="G23" s="88">
        <v>47.5</v>
      </c>
      <c r="H23" s="88">
        <v>46</v>
      </c>
      <c r="I23" s="88">
        <v>43.63</v>
      </c>
      <c r="J23" s="88">
        <v>40.1</v>
      </c>
      <c r="K23" s="88">
        <v>38.94</v>
      </c>
      <c r="L23" s="88">
        <v>39.450000000000003</v>
      </c>
      <c r="M23" s="88">
        <v>38.94</v>
      </c>
      <c r="N23" s="88">
        <v>39.25</v>
      </c>
      <c r="O23" s="63"/>
    </row>
    <row r="24" spans="1:15">
      <c r="A24" t="s">
        <v>302</v>
      </c>
      <c r="B24" t="s">
        <v>303</v>
      </c>
      <c r="C24" s="88">
        <v>59.7</v>
      </c>
      <c r="D24" s="88">
        <v>63</v>
      </c>
      <c r="E24" s="88">
        <v>65.38</v>
      </c>
      <c r="F24" s="88">
        <v>62.75</v>
      </c>
      <c r="G24" s="88">
        <v>65.7</v>
      </c>
      <c r="H24" s="88">
        <v>65.31</v>
      </c>
      <c r="I24" s="88">
        <v>62.88</v>
      </c>
      <c r="J24" s="88">
        <v>56.6</v>
      </c>
      <c r="K24" s="88">
        <v>55.31</v>
      </c>
      <c r="L24" s="88">
        <v>53.75</v>
      </c>
      <c r="M24" s="88">
        <v>55.69</v>
      </c>
      <c r="N24" s="88">
        <v>56.5</v>
      </c>
      <c r="O24" s="63"/>
    </row>
    <row r="25" spans="1:15">
      <c r="A25" t="s">
        <v>543</v>
      </c>
      <c r="B25" t="s">
        <v>303</v>
      </c>
      <c r="C25" s="88">
        <v>38.79</v>
      </c>
      <c r="D25" s="88">
        <v>41.07</v>
      </c>
      <c r="E25" s="88">
        <v>43.19</v>
      </c>
      <c r="F25" s="88">
        <v>41.94</v>
      </c>
      <c r="G25" s="88">
        <v>41.02</v>
      </c>
      <c r="H25" s="88">
        <v>40.01</v>
      </c>
      <c r="I25" s="88">
        <v>39.020000000000003</v>
      </c>
      <c r="J25" s="88">
        <v>38</v>
      </c>
      <c r="K25" s="88">
        <v>35.17</v>
      </c>
      <c r="L25">
        <v>34.5</v>
      </c>
      <c r="M25">
        <v>33.96</v>
      </c>
      <c r="N25">
        <v>33.68</v>
      </c>
      <c r="O25" s="63"/>
    </row>
    <row r="26" spans="1:15">
      <c r="A26" t="s">
        <v>537</v>
      </c>
      <c r="B26" t="s">
        <v>303</v>
      </c>
      <c r="C26" s="88">
        <v>29.78</v>
      </c>
      <c r="D26" s="88">
        <v>31.22</v>
      </c>
      <c r="E26" s="88">
        <v>33.92</v>
      </c>
      <c r="F26" s="88">
        <v>34.770000000000003</v>
      </c>
      <c r="G26" s="88">
        <v>35.520000000000003</v>
      </c>
      <c r="H26" s="88">
        <v>35.119999999999997</v>
      </c>
      <c r="I26" s="88">
        <v>32.28</v>
      </c>
      <c r="J26" s="88">
        <v>29.57</v>
      </c>
      <c r="K26" s="88">
        <v>28.02</v>
      </c>
      <c r="L26" s="88">
        <v>28.13</v>
      </c>
      <c r="M26" s="88">
        <v>30.1</v>
      </c>
      <c r="N26" s="88">
        <v>30.017857142857142</v>
      </c>
      <c r="O26" s="63"/>
    </row>
    <row r="27" spans="1:15">
      <c r="A27" t="s">
        <v>305</v>
      </c>
      <c r="B27" t="s">
        <v>303</v>
      </c>
      <c r="C27" s="88">
        <v>47.1</v>
      </c>
      <c r="D27" s="88">
        <v>57.8125</v>
      </c>
      <c r="E27" s="88">
        <v>69.9375</v>
      </c>
      <c r="F27" s="88">
        <v>75</v>
      </c>
      <c r="G27" s="88">
        <v>84.25</v>
      </c>
      <c r="H27" s="88">
        <v>83.3125</v>
      </c>
      <c r="I27" s="88">
        <v>73.150000000000006</v>
      </c>
      <c r="J27" s="88">
        <v>61.25</v>
      </c>
      <c r="K27" s="88">
        <v>49.625</v>
      </c>
      <c r="L27" s="88">
        <v>41.45</v>
      </c>
      <c r="M27" s="88">
        <v>40.75</v>
      </c>
      <c r="N27" s="88">
        <v>40.3125</v>
      </c>
      <c r="O27" s="63"/>
    </row>
    <row r="28" spans="1:15">
      <c r="A28" t="s">
        <v>417</v>
      </c>
      <c r="B28" t="s">
        <v>303</v>
      </c>
      <c r="C28" s="88">
        <v>33</v>
      </c>
      <c r="D28" s="88">
        <v>38</v>
      </c>
      <c r="E28" s="88">
        <v>40.67</v>
      </c>
      <c r="F28" s="88">
        <v>53</v>
      </c>
      <c r="G28" s="63" t="s">
        <v>317</v>
      </c>
      <c r="H28" s="88">
        <v>45</v>
      </c>
      <c r="I28" s="63" t="s">
        <v>317</v>
      </c>
      <c r="J28" s="88">
        <v>46.5</v>
      </c>
      <c r="K28" s="88">
        <v>50.67</v>
      </c>
      <c r="L28" s="88">
        <v>48</v>
      </c>
      <c r="M28" s="88">
        <v>42.81</v>
      </c>
      <c r="N28" s="88">
        <v>35.909999999999997</v>
      </c>
      <c r="O28" s="63"/>
    </row>
    <row r="29" spans="1:15">
      <c r="A29" t="s">
        <v>306</v>
      </c>
      <c r="B29" t="s">
        <v>303</v>
      </c>
      <c r="C29" s="88">
        <v>40.9</v>
      </c>
      <c r="D29" s="88">
        <v>42.5</v>
      </c>
      <c r="E29" s="88">
        <v>45</v>
      </c>
      <c r="F29" s="88">
        <v>43.44</v>
      </c>
      <c r="G29" s="88">
        <v>42.4</v>
      </c>
      <c r="H29" s="88">
        <v>40.380000000000003</v>
      </c>
      <c r="I29" s="88">
        <v>40.630000000000003</v>
      </c>
      <c r="J29" s="88">
        <v>38.35</v>
      </c>
      <c r="K29" s="88">
        <v>36.56</v>
      </c>
      <c r="L29" s="88">
        <v>37</v>
      </c>
      <c r="M29" s="88">
        <v>36.94</v>
      </c>
      <c r="N29" s="88">
        <v>34.19</v>
      </c>
      <c r="O29" s="63"/>
    </row>
    <row r="30" spans="1:15">
      <c r="A30" t="s">
        <v>491</v>
      </c>
      <c r="B30" t="s">
        <v>303</v>
      </c>
      <c r="C30" s="88">
        <v>46.6</v>
      </c>
      <c r="D30" s="88">
        <v>47.25</v>
      </c>
      <c r="E30" s="88">
        <v>49.75</v>
      </c>
      <c r="F30" s="88">
        <v>48.75</v>
      </c>
      <c r="G30" s="88">
        <v>48.45</v>
      </c>
      <c r="H30" s="88">
        <v>46.19</v>
      </c>
      <c r="I30" s="88">
        <v>45.5</v>
      </c>
      <c r="J30" s="88">
        <v>43.8</v>
      </c>
      <c r="K30" s="88">
        <v>42.63</v>
      </c>
      <c r="L30" s="88">
        <v>43</v>
      </c>
      <c r="M30" s="88">
        <v>41.94</v>
      </c>
      <c r="N30" s="88">
        <v>40</v>
      </c>
      <c r="O30" s="63"/>
    </row>
    <row r="31" spans="1:15">
      <c r="A31" t="s">
        <v>307</v>
      </c>
      <c r="B31" t="s">
        <v>303</v>
      </c>
      <c r="C31" s="88">
        <v>65.7</v>
      </c>
      <c r="D31" s="88">
        <v>62.0625</v>
      </c>
      <c r="E31" s="88">
        <v>59.0625</v>
      </c>
      <c r="F31" s="88">
        <v>57.75</v>
      </c>
      <c r="G31" s="88">
        <v>57.2</v>
      </c>
      <c r="H31" s="88">
        <v>58.25</v>
      </c>
      <c r="I31" s="88">
        <v>58.625</v>
      </c>
      <c r="J31" s="88">
        <v>62.8</v>
      </c>
      <c r="K31" s="88">
        <v>61.75</v>
      </c>
      <c r="L31" s="88">
        <v>59.95</v>
      </c>
      <c r="M31" s="88">
        <v>60.625</v>
      </c>
      <c r="N31" s="88">
        <v>60.125</v>
      </c>
      <c r="O31" s="63"/>
    </row>
    <row r="32" spans="1:15">
      <c r="A32" t="s">
        <v>308</v>
      </c>
      <c r="B32" t="s">
        <v>303</v>
      </c>
      <c r="C32" s="219">
        <v>34.950000000000003</v>
      </c>
      <c r="D32" s="219">
        <v>37.11</v>
      </c>
      <c r="E32" s="219">
        <v>40.82</v>
      </c>
      <c r="F32" s="219">
        <v>41.87</v>
      </c>
      <c r="G32" s="219">
        <v>40.68</v>
      </c>
      <c r="H32" s="219">
        <v>39.840000000000003</v>
      </c>
      <c r="I32" s="219">
        <v>37.6</v>
      </c>
      <c r="J32" s="219">
        <v>35.04</v>
      </c>
      <c r="K32" s="219">
        <v>33.99</v>
      </c>
      <c r="L32" s="88">
        <v>34.1</v>
      </c>
      <c r="M32" s="88">
        <v>33.450000000000003</v>
      </c>
      <c r="N32" s="88">
        <v>32.56</v>
      </c>
      <c r="O32" s="63"/>
    </row>
    <row r="33" spans="1:15">
      <c r="A33" t="s">
        <v>309</v>
      </c>
      <c r="B33" t="s">
        <v>303</v>
      </c>
      <c r="C33" s="88">
        <v>57</v>
      </c>
      <c r="D33" s="88">
        <v>57</v>
      </c>
      <c r="E33" s="88">
        <v>58</v>
      </c>
      <c r="F33" s="88">
        <v>59</v>
      </c>
      <c r="G33" s="88">
        <v>59</v>
      </c>
      <c r="H33" s="88">
        <v>57.5</v>
      </c>
      <c r="I33" s="88">
        <v>61</v>
      </c>
      <c r="J33" s="88">
        <v>63</v>
      </c>
      <c r="K33" s="88">
        <v>63</v>
      </c>
      <c r="L33" s="88">
        <v>63</v>
      </c>
      <c r="M33" s="88">
        <v>61.75</v>
      </c>
      <c r="N33" s="88">
        <v>58</v>
      </c>
      <c r="O33" s="63"/>
    </row>
    <row r="34" spans="1:15">
      <c r="A34" t="s">
        <v>415</v>
      </c>
      <c r="B34" t="s">
        <v>303</v>
      </c>
      <c r="C34" s="88">
        <v>35.840000000000003</v>
      </c>
      <c r="D34" s="88">
        <v>35.67</v>
      </c>
      <c r="E34" s="88">
        <v>41.63</v>
      </c>
      <c r="F34" s="88">
        <v>45.5</v>
      </c>
      <c r="G34" s="88">
        <v>47</v>
      </c>
      <c r="H34" s="88">
        <v>42</v>
      </c>
      <c r="I34" s="88">
        <v>40.83</v>
      </c>
      <c r="J34" s="88">
        <v>40.9</v>
      </c>
      <c r="K34" s="88">
        <v>36.07</v>
      </c>
      <c r="L34" s="88">
        <v>30.33</v>
      </c>
      <c r="M34" s="88">
        <v>35.049999999999997</v>
      </c>
      <c r="N34" s="88">
        <v>36.11</v>
      </c>
      <c r="O34" s="63"/>
    </row>
    <row r="35" spans="1:15">
      <c r="A35" s="117" t="s">
        <v>490</v>
      </c>
      <c r="B35" t="s">
        <v>303</v>
      </c>
      <c r="C35" s="219">
        <v>27</v>
      </c>
      <c r="D35" s="219">
        <v>27.44</v>
      </c>
      <c r="E35" s="219">
        <v>32</v>
      </c>
      <c r="F35" s="219">
        <v>34.299999999999997</v>
      </c>
      <c r="G35" s="219">
        <v>36.090000000000003</v>
      </c>
      <c r="H35" s="219">
        <v>35.81</v>
      </c>
      <c r="I35" s="219">
        <v>34.6</v>
      </c>
      <c r="J35" s="219">
        <v>30.94</v>
      </c>
      <c r="K35" s="219">
        <v>28.05</v>
      </c>
      <c r="L35" s="219">
        <v>26.06</v>
      </c>
      <c r="M35" s="219">
        <v>27.09</v>
      </c>
      <c r="N35" s="219">
        <v>26.38</v>
      </c>
      <c r="O35" s="63"/>
    </row>
    <row r="36" spans="1:15">
      <c r="A36" s="117" t="s">
        <v>485</v>
      </c>
      <c r="B36" s="117" t="s">
        <v>486</v>
      </c>
      <c r="C36" s="219">
        <v>3.347</v>
      </c>
      <c r="D36" s="219">
        <v>3.3812500000000001</v>
      </c>
      <c r="E36" s="219">
        <v>3.6737500000000001</v>
      </c>
      <c r="F36" s="219">
        <v>3.7450000000000001</v>
      </c>
      <c r="G36" s="219">
        <v>3.7509999999999999</v>
      </c>
      <c r="H36" s="219">
        <v>3.7250000000000001</v>
      </c>
      <c r="I36" s="219">
        <v>3.6625000000000001</v>
      </c>
      <c r="J36" s="219">
        <v>3.4919999999999995</v>
      </c>
      <c r="K36" s="219">
        <v>3.36625</v>
      </c>
      <c r="L36" s="219">
        <v>3.1390000000000002</v>
      </c>
      <c r="M36" s="219">
        <v>3.1174999999999997</v>
      </c>
      <c r="N36" s="219">
        <v>3.0274999999999999</v>
      </c>
    </row>
    <row r="37" spans="1:15">
      <c r="A37" t="s">
        <v>310</v>
      </c>
    </row>
    <row r="38" spans="1:15">
      <c r="A38" t="s">
        <v>414</v>
      </c>
      <c r="B38" t="s">
        <v>289</v>
      </c>
      <c r="C38">
        <v>365.48</v>
      </c>
      <c r="D38">
        <v>384.21</v>
      </c>
      <c r="E38">
        <v>383.68</v>
      </c>
      <c r="F38">
        <v>398.39</v>
      </c>
      <c r="G38">
        <v>407.14</v>
      </c>
      <c r="H38">
        <v>387.65</v>
      </c>
      <c r="I38">
        <v>317.81</v>
      </c>
      <c r="J38">
        <v>303.74</v>
      </c>
      <c r="K38">
        <v>316.94</v>
      </c>
      <c r="L38">
        <v>301.75</v>
      </c>
      <c r="M38">
        <v>356.31</v>
      </c>
      <c r="N38">
        <v>349.31</v>
      </c>
    </row>
    <row r="39" spans="1:15">
      <c r="A39" t="s">
        <v>311</v>
      </c>
      <c r="B39" t="s">
        <v>303</v>
      </c>
      <c r="C39" s="88">
        <v>375.63</v>
      </c>
      <c r="D39" s="88">
        <v>388.75</v>
      </c>
      <c r="E39" s="88">
        <v>401.25</v>
      </c>
      <c r="F39" s="88">
        <v>405.5</v>
      </c>
      <c r="G39" s="88">
        <v>416.88</v>
      </c>
      <c r="H39" s="88">
        <v>412.5</v>
      </c>
      <c r="I39" s="88">
        <v>359.5</v>
      </c>
      <c r="J39" s="88">
        <v>310</v>
      </c>
      <c r="K39" s="88">
        <v>360.63</v>
      </c>
      <c r="L39" s="88">
        <v>346.88</v>
      </c>
      <c r="M39" s="88">
        <v>313.13</v>
      </c>
      <c r="N39" s="88">
        <v>332.5</v>
      </c>
    </row>
    <row r="40" spans="1:15">
      <c r="A40" t="s">
        <v>393</v>
      </c>
      <c r="B40" t="s">
        <v>303</v>
      </c>
      <c r="C40" s="88">
        <v>330</v>
      </c>
      <c r="D40" s="88">
        <v>377.5</v>
      </c>
      <c r="E40" s="88">
        <v>413.75</v>
      </c>
      <c r="F40" s="88">
        <v>388</v>
      </c>
      <c r="G40" s="88">
        <v>355</v>
      </c>
      <c r="H40" s="88">
        <v>323.75</v>
      </c>
      <c r="I40" s="88">
        <v>295</v>
      </c>
      <c r="J40" s="88">
        <v>252.5</v>
      </c>
      <c r="K40" s="88">
        <v>302.5</v>
      </c>
      <c r="L40" s="88">
        <v>214.38</v>
      </c>
      <c r="M40" s="88">
        <v>283.75</v>
      </c>
      <c r="N40" s="88">
        <v>287.5</v>
      </c>
    </row>
    <row r="41" spans="1:15">
      <c r="A41" t="s">
        <v>394</v>
      </c>
      <c r="B41" t="s">
        <v>303</v>
      </c>
      <c r="C41" s="218">
        <v>479.54</v>
      </c>
      <c r="D41" s="218">
        <v>509.25</v>
      </c>
      <c r="E41" s="218">
        <v>495.71</v>
      </c>
      <c r="F41" s="218">
        <v>514.01</v>
      </c>
      <c r="G41" s="218">
        <v>519.38</v>
      </c>
      <c r="H41" s="218">
        <v>501.72</v>
      </c>
      <c r="I41" s="218">
        <v>450.79</v>
      </c>
      <c r="J41" s="218">
        <v>490.32</v>
      </c>
      <c r="K41" s="218">
        <v>525.72</v>
      </c>
      <c r="L41" s="218">
        <v>381.5</v>
      </c>
      <c r="M41" s="218">
        <v>441.39</v>
      </c>
      <c r="N41" s="218">
        <v>431.73</v>
      </c>
    </row>
    <row r="42" spans="1:15">
      <c r="A42" t="s">
        <v>482</v>
      </c>
      <c r="B42" t="s">
        <v>303</v>
      </c>
      <c r="C42" s="88">
        <v>283.75</v>
      </c>
      <c r="D42" s="88">
        <v>285</v>
      </c>
      <c r="E42" s="88">
        <v>271.25</v>
      </c>
      <c r="F42" s="88">
        <v>267.5</v>
      </c>
      <c r="G42" s="88">
        <v>265</v>
      </c>
      <c r="H42" s="88">
        <v>250</v>
      </c>
      <c r="I42" s="88">
        <v>192.5</v>
      </c>
      <c r="J42" s="88">
        <v>151.25</v>
      </c>
      <c r="K42" s="88">
        <v>139.5</v>
      </c>
      <c r="L42" s="88">
        <v>162.5</v>
      </c>
      <c r="M42" s="88">
        <v>208.13</v>
      </c>
      <c r="N42" s="88">
        <v>245</v>
      </c>
    </row>
    <row r="43" spans="1:15">
      <c r="A43" t="s">
        <v>481</v>
      </c>
      <c r="B43" t="s">
        <v>312</v>
      </c>
      <c r="O43" s="28"/>
    </row>
    <row r="44" spans="1:15">
      <c r="A44" t="s">
        <v>313</v>
      </c>
      <c r="O44" s="28"/>
    </row>
    <row r="45" spans="1:15">
      <c r="A45" t="s">
        <v>314</v>
      </c>
      <c r="B45" t="s">
        <v>303</v>
      </c>
      <c r="C45" s="69">
        <v>286.10000000000002</v>
      </c>
      <c r="D45" s="69">
        <v>216</v>
      </c>
      <c r="E45" s="69">
        <v>225.3</v>
      </c>
      <c r="F45" s="69">
        <v>264.2</v>
      </c>
      <c r="G45" s="69">
        <v>323.5</v>
      </c>
      <c r="H45" s="69">
        <v>326.5</v>
      </c>
      <c r="I45" s="69">
        <v>286.2</v>
      </c>
      <c r="J45" s="69">
        <v>279.7</v>
      </c>
      <c r="K45" s="69">
        <v>283.60000000000002</v>
      </c>
      <c r="L45" s="69">
        <v>303.8</v>
      </c>
      <c r="M45" s="69">
        <v>298.89999999999998</v>
      </c>
      <c r="N45" s="69">
        <v>240.6</v>
      </c>
      <c r="O45" s="28"/>
    </row>
    <row r="46" spans="1:15">
      <c r="A46" t="s">
        <v>315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28"/>
    </row>
    <row r="47" spans="1:15">
      <c r="A47" t="s">
        <v>452</v>
      </c>
      <c r="B47" t="s">
        <v>303</v>
      </c>
      <c r="C47" s="69">
        <v>314.3</v>
      </c>
      <c r="D47" s="69">
        <v>319.2</v>
      </c>
      <c r="E47" s="69">
        <v>320.5</v>
      </c>
      <c r="F47" s="69">
        <v>313.3</v>
      </c>
      <c r="G47" s="69">
        <v>318</v>
      </c>
      <c r="H47" s="69">
        <v>319</v>
      </c>
      <c r="I47" s="69">
        <v>319.5</v>
      </c>
      <c r="J47" s="69">
        <v>319.2</v>
      </c>
      <c r="K47" s="69">
        <v>326.2</v>
      </c>
      <c r="L47" s="69">
        <v>323</v>
      </c>
      <c r="M47" s="69">
        <v>310.89999999999998</v>
      </c>
      <c r="N47" s="69">
        <v>315.60000000000002</v>
      </c>
      <c r="O47" s="28"/>
    </row>
    <row r="48" spans="1:15">
      <c r="A48" t="s">
        <v>518</v>
      </c>
      <c r="B48" t="s">
        <v>303</v>
      </c>
      <c r="C48" s="69">
        <v>260.3</v>
      </c>
      <c r="D48" s="69">
        <v>256</v>
      </c>
      <c r="E48" s="69">
        <v>251</v>
      </c>
      <c r="F48" s="69">
        <v>260.60000000000002</v>
      </c>
      <c r="G48" s="69">
        <v>259.2</v>
      </c>
      <c r="H48" s="69">
        <v>259.3</v>
      </c>
      <c r="I48" s="69">
        <v>258.60000000000002</v>
      </c>
      <c r="J48" s="69">
        <v>258</v>
      </c>
      <c r="K48" s="69">
        <v>255.5</v>
      </c>
      <c r="L48" s="69">
        <v>252.2</v>
      </c>
      <c r="M48" s="69">
        <v>251.3</v>
      </c>
      <c r="N48" s="69">
        <v>251.1</v>
      </c>
      <c r="O48" s="28"/>
    </row>
    <row r="49" spans="1:14">
      <c r="A49" t="s">
        <v>451</v>
      </c>
      <c r="B49" t="s">
        <v>303</v>
      </c>
      <c r="C49" s="69">
        <v>256.5</v>
      </c>
      <c r="D49" s="69">
        <v>256.8</v>
      </c>
      <c r="E49" s="69">
        <v>279.7</v>
      </c>
      <c r="F49" s="69">
        <v>277.5</v>
      </c>
      <c r="G49" s="69">
        <v>272.3</v>
      </c>
      <c r="H49" s="69">
        <v>269.7</v>
      </c>
      <c r="I49" s="69">
        <v>256.39999999999998</v>
      </c>
      <c r="J49" s="69">
        <v>248.7</v>
      </c>
      <c r="K49" s="69">
        <v>231.6</v>
      </c>
      <c r="L49" s="69">
        <v>226.9</v>
      </c>
      <c r="M49" s="69">
        <v>232.1</v>
      </c>
      <c r="N49" s="69">
        <v>225.3</v>
      </c>
    </row>
    <row r="50" spans="1:14">
      <c r="A50" s="1" t="s">
        <v>504</v>
      </c>
      <c r="B50" s="1" t="s">
        <v>505</v>
      </c>
      <c r="C50" s="143">
        <v>147.30000000000001</v>
      </c>
      <c r="D50" s="143">
        <v>147.30000000000001</v>
      </c>
      <c r="E50" s="143">
        <v>147.30000000000001</v>
      </c>
      <c r="F50" s="143">
        <v>147.30000000000001</v>
      </c>
      <c r="G50" s="143">
        <v>147.30000000000001</v>
      </c>
      <c r="H50" s="143">
        <v>147.30000000000001</v>
      </c>
      <c r="I50" s="143">
        <v>147.30000000000001</v>
      </c>
      <c r="J50" s="143">
        <v>147.30000000000001</v>
      </c>
      <c r="K50" s="143">
        <v>147.30000000000001</v>
      </c>
      <c r="L50" s="143">
        <v>135.80000000000001</v>
      </c>
      <c r="M50" s="143">
        <v>135.80000000000001</v>
      </c>
      <c r="N50" s="143">
        <v>135.80000000000001</v>
      </c>
    </row>
    <row r="51" spans="1:14">
      <c r="A51" s="117" t="s">
        <v>503</v>
      </c>
      <c r="N51" s="148"/>
    </row>
    <row r="52" spans="1:14" ht="10.25" customHeight="1">
      <c r="A52" s="117" t="s">
        <v>618</v>
      </c>
      <c r="M52" s="64"/>
    </row>
    <row r="53" spans="1:14">
      <c r="A53" s="117" t="s">
        <v>619</v>
      </c>
      <c r="K53" s="153"/>
      <c r="M53" s="160"/>
      <c r="N53" s="313" t="s">
        <v>679</v>
      </c>
    </row>
  </sheetData>
  <phoneticPr fontId="0" type="noConversion"/>
  <pageMargins left="0.7" right="0.7" top="0.75" bottom="0.75" header="0.3" footer="0.3"/>
  <pageSetup scale="87" firstPageNumber="65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O53"/>
  <sheetViews>
    <sheetView zoomScaleNormal="100" zoomScaleSheetLayoutView="9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314"/>
      <c r="D2" s="314"/>
      <c r="E2" s="314"/>
      <c r="F2" s="314"/>
      <c r="G2" s="314"/>
      <c r="H2" s="333">
        <v>2015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17.8</v>
      </c>
      <c r="D6" s="219">
        <v>17.2</v>
      </c>
      <c r="E6" s="219">
        <v>16.600000000000001</v>
      </c>
      <c r="F6" s="219">
        <v>16.3</v>
      </c>
      <c r="G6" s="219">
        <v>16.7</v>
      </c>
      <c r="H6" s="219">
        <v>17.8</v>
      </c>
      <c r="I6" s="219">
        <v>18.100000000000001</v>
      </c>
      <c r="J6" s="219">
        <v>15.6</v>
      </c>
      <c r="K6" s="219">
        <v>15.1</v>
      </c>
      <c r="L6" s="219">
        <v>14.8</v>
      </c>
      <c r="M6" s="219">
        <v>15.1</v>
      </c>
      <c r="N6" s="219">
        <v>14.9</v>
      </c>
    </row>
    <row r="7" spans="1:14">
      <c r="A7" t="s">
        <v>293</v>
      </c>
      <c r="B7" t="s">
        <v>289</v>
      </c>
      <c r="C7" s="219">
        <v>194</v>
      </c>
      <c r="D7" s="219">
        <v>196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192</v>
      </c>
      <c r="K7" s="219">
        <v>203</v>
      </c>
      <c r="L7" s="219">
        <v>235</v>
      </c>
      <c r="M7" s="219">
        <v>233</v>
      </c>
      <c r="N7" s="219">
        <v>217</v>
      </c>
    </row>
    <row r="8" spans="1:14">
      <c r="A8" t="s">
        <v>294</v>
      </c>
      <c r="B8" t="s">
        <v>295</v>
      </c>
      <c r="C8" s="219">
        <v>11.7</v>
      </c>
      <c r="D8" s="219">
        <v>11.5</v>
      </c>
      <c r="E8" s="219">
        <v>11.5</v>
      </c>
      <c r="F8" s="219">
        <v>12</v>
      </c>
      <c r="G8" s="219">
        <v>12.1</v>
      </c>
      <c r="H8" s="219">
        <v>11.4</v>
      </c>
      <c r="I8" s="219">
        <v>11.5</v>
      </c>
      <c r="J8" s="219">
        <v>10</v>
      </c>
      <c r="K8" s="219">
        <v>9.08</v>
      </c>
      <c r="L8" s="219">
        <v>8.57</v>
      </c>
      <c r="M8" s="219">
        <v>8.7100000000000009</v>
      </c>
      <c r="N8" s="219">
        <v>8.6199999999999992</v>
      </c>
    </row>
    <row r="9" spans="1:14">
      <c r="A9" t="s">
        <v>296</v>
      </c>
      <c r="B9" t="s">
        <v>297</v>
      </c>
      <c r="C9" s="219">
        <v>22.5</v>
      </c>
      <c r="D9" s="219">
        <v>22.2</v>
      </c>
      <c r="E9" s="219">
        <v>22.5</v>
      </c>
      <c r="F9" s="219">
        <v>22.1</v>
      </c>
      <c r="G9" s="219">
        <v>22.5</v>
      </c>
      <c r="H9" s="219">
        <v>21.8</v>
      </c>
      <c r="I9" s="219">
        <v>23</v>
      </c>
      <c r="J9" s="219">
        <v>20.7</v>
      </c>
      <c r="K9" s="219">
        <v>19.600000000000001</v>
      </c>
      <c r="L9" s="219">
        <v>18.8</v>
      </c>
      <c r="M9" s="219">
        <v>18.5</v>
      </c>
      <c r="N9" s="219">
        <v>17.8</v>
      </c>
    </row>
    <row r="10" spans="1:14">
      <c r="A10" t="s">
        <v>298</v>
      </c>
      <c r="B10" t="s">
        <v>295</v>
      </c>
      <c r="C10" s="219">
        <v>10.3</v>
      </c>
      <c r="D10" s="219">
        <v>9.91</v>
      </c>
      <c r="E10" s="219">
        <v>9.85</v>
      </c>
      <c r="F10" s="219">
        <v>9.69</v>
      </c>
      <c r="G10" s="219">
        <v>9.58</v>
      </c>
      <c r="H10" s="219">
        <v>9.58</v>
      </c>
      <c r="I10" s="219">
        <v>9.9499999999999993</v>
      </c>
      <c r="J10" s="219">
        <v>9.7100000000000009</v>
      </c>
      <c r="K10" s="219">
        <v>9.0500000000000007</v>
      </c>
      <c r="L10" s="219">
        <v>8.81</v>
      </c>
      <c r="M10" s="219">
        <v>8.68</v>
      </c>
      <c r="N10" s="219">
        <v>8.76</v>
      </c>
    </row>
    <row r="11" spans="1:14">
      <c r="A11" t="s">
        <v>588</v>
      </c>
      <c r="B11" t="s">
        <v>299</v>
      </c>
      <c r="C11" s="219">
        <v>19.100000000000001</v>
      </c>
      <c r="D11" s="219">
        <v>21.5</v>
      </c>
      <c r="E11" s="219">
        <v>22.5</v>
      </c>
      <c r="F11" s="219">
        <v>23.2</v>
      </c>
      <c r="G11" s="219">
        <v>26.4</v>
      </c>
      <c r="H11" s="219">
        <v>25.4</v>
      </c>
      <c r="I11" s="219">
        <v>26.4</v>
      </c>
      <c r="J11" s="219">
        <v>24.2</v>
      </c>
      <c r="K11" s="219">
        <v>25.1</v>
      </c>
      <c r="L11" s="219">
        <v>18.399999999999999</v>
      </c>
      <c r="M11" s="219">
        <v>18.3</v>
      </c>
      <c r="N11" s="219">
        <v>19.3</v>
      </c>
    </row>
    <row r="12" spans="1:14">
      <c r="A12" t="s">
        <v>589</v>
      </c>
      <c r="B12" t="s">
        <v>299</v>
      </c>
      <c r="C12" s="219">
        <v>18.899999999999999</v>
      </c>
      <c r="D12" s="219">
        <v>19.399999999999999</v>
      </c>
      <c r="E12" s="219">
        <v>20.100000000000001</v>
      </c>
      <c r="F12" s="219">
        <v>21.4</v>
      </c>
      <c r="G12" s="219">
        <v>23.3</v>
      </c>
      <c r="H12" s="219">
        <v>23</v>
      </c>
      <c r="I12" s="219">
        <v>21.8</v>
      </c>
      <c r="J12" s="219">
        <v>21.3</v>
      </c>
      <c r="K12" s="219">
        <v>25.2</v>
      </c>
      <c r="L12" s="219">
        <v>17.5</v>
      </c>
      <c r="M12" s="219">
        <v>17.3</v>
      </c>
      <c r="N12" s="219">
        <v>17.5</v>
      </c>
    </row>
    <row r="13" spans="1:14">
      <c r="A13" t="s">
        <v>590</v>
      </c>
      <c r="B13" t="s">
        <v>299</v>
      </c>
      <c r="C13" s="219">
        <v>25.8</v>
      </c>
      <c r="D13" s="219">
        <v>31.9</v>
      </c>
      <c r="E13" s="219">
        <v>32</v>
      </c>
      <c r="F13" s="219">
        <v>31</v>
      </c>
      <c r="G13" s="219">
        <v>31.4</v>
      </c>
      <c r="H13" s="219">
        <v>29.6</v>
      </c>
      <c r="I13" s="219">
        <v>31.6</v>
      </c>
      <c r="J13" s="219">
        <v>29.1</v>
      </c>
      <c r="K13" s="219">
        <v>24.7</v>
      </c>
      <c r="L13" s="219">
        <v>27.2</v>
      </c>
      <c r="M13" s="219">
        <v>25.8</v>
      </c>
      <c r="N13" s="219">
        <v>28.4</v>
      </c>
    </row>
    <row r="14" spans="1:14">
      <c r="A14" t="s">
        <v>475</v>
      </c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</row>
    <row r="15" spans="1:14">
      <c r="A15" t="s">
        <v>473</v>
      </c>
      <c r="B15" t="s">
        <v>299</v>
      </c>
      <c r="C15" s="219">
        <v>17.05</v>
      </c>
      <c r="D15" s="219">
        <v>16.45</v>
      </c>
      <c r="E15" s="219">
        <v>16.12</v>
      </c>
      <c r="F15" s="219">
        <v>16.05</v>
      </c>
      <c r="G15" s="219">
        <v>16.809999999999999</v>
      </c>
      <c r="H15" s="219">
        <v>17.989999999999998</v>
      </c>
      <c r="I15" s="219">
        <v>17.14</v>
      </c>
      <c r="J15" s="219">
        <v>15.58</v>
      </c>
      <c r="K15" s="219">
        <v>14.06</v>
      </c>
      <c r="L15" s="219">
        <v>14.52</v>
      </c>
      <c r="M15" s="219">
        <v>14.35</v>
      </c>
      <c r="N15" s="219">
        <v>14.85</v>
      </c>
    </row>
    <row r="16" spans="1:14">
      <c r="A16" t="s">
        <v>474</v>
      </c>
      <c r="B16" t="s">
        <v>289</v>
      </c>
      <c r="C16" s="219">
        <v>263.25</v>
      </c>
      <c r="D16" s="219">
        <v>266.5</v>
      </c>
      <c r="E16" s="219">
        <v>277</v>
      </c>
      <c r="F16" s="219">
        <v>270</v>
      </c>
      <c r="G16" s="219">
        <v>297.5</v>
      </c>
      <c r="H16" s="219">
        <v>308.39999999999998</v>
      </c>
      <c r="I16" s="219">
        <v>315</v>
      </c>
      <c r="J16" s="219">
        <v>300.5</v>
      </c>
      <c r="K16" s="219">
        <v>288.75</v>
      </c>
      <c r="L16" s="219">
        <v>276.25</v>
      </c>
      <c r="M16" s="219">
        <v>280</v>
      </c>
      <c r="N16" s="219">
        <v>285</v>
      </c>
    </row>
    <row r="17" spans="1:14">
      <c r="A17" t="s">
        <v>480</v>
      </c>
      <c r="B17" t="s">
        <v>295</v>
      </c>
      <c r="C17" s="219">
        <v>12.75</v>
      </c>
      <c r="D17" s="219">
        <v>12.75</v>
      </c>
      <c r="E17" s="219">
        <v>12.75</v>
      </c>
      <c r="F17" s="219">
        <v>12.59</v>
      </c>
      <c r="G17" s="219">
        <v>12.45</v>
      </c>
      <c r="H17" s="219">
        <v>12.07</v>
      </c>
      <c r="I17" s="219">
        <v>11.75</v>
      </c>
      <c r="J17" s="219">
        <v>11.15</v>
      </c>
      <c r="K17" s="219">
        <v>9.58</v>
      </c>
      <c r="L17" s="219">
        <v>9.2100000000000009</v>
      </c>
      <c r="M17" s="219">
        <v>9.4</v>
      </c>
      <c r="N17" s="219">
        <v>9.27</v>
      </c>
    </row>
    <row r="18" spans="1:14">
      <c r="A18" t="s">
        <v>472</v>
      </c>
      <c r="B18" t="s">
        <v>295</v>
      </c>
      <c r="C18" s="219">
        <v>9.8800000000000008</v>
      </c>
      <c r="D18" s="219">
        <v>10.039999999999999</v>
      </c>
      <c r="E18" s="219">
        <v>9.68</v>
      </c>
      <c r="F18" s="219">
        <v>9.6199999999999992</v>
      </c>
      <c r="G18" s="219">
        <v>9.49</v>
      </c>
      <c r="H18" s="219">
        <v>9.6300000000000008</v>
      </c>
      <c r="I18" s="219">
        <v>10.11</v>
      </c>
      <c r="J18" s="219">
        <v>9.48</v>
      </c>
      <c r="K18" s="219">
        <v>8.6199999999999992</v>
      </c>
      <c r="L18" s="219">
        <v>8.7100000000000009</v>
      </c>
      <c r="M18" s="219">
        <v>8.6</v>
      </c>
      <c r="N18" s="219">
        <v>8.73</v>
      </c>
    </row>
    <row r="19" spans="1:14">
      <c r="A19" t="s">
        <v>471</v>
      </c>
      <c r="B19" t="s">
        <v>295</v>
      </c>
      <c r="C19" s="219">
        <v>10.84</v>
      </c>
      <c r="D19" s="219">
        <v>10.74</v>
      </c>
      <c r="E19" s="219">
        <v>10.52</v>
      </c>
      <c r="F19" s="219">
        <v>10.45</v>
      </c>
      <c r="G19" s="219">
        <v>10.37</v>
      </c>
      <c r="H19" s="219">
        <v>10.48</v>
      </c>
      <c r="I19" s="219">
        <v>10.92</v>
      </c>
      <c r="J19" s="219">
        <v>10</v>
      </c>
      <c r="K19" s="218">
        <v>9.69</v>
      </c>
      <c r="L19" s="218">
        <v>9.68</v>
      </c>
      <c r="M19" s="218">
        <v>9.34</v>
      </c>
      <c r="N19" s="218">
        <v>9.44</v>
      </c>
    </row>
    <row r="20" spans="1:14">
      <c r="A20" t="s">
        <v>476</v>
      </c>
      <c r="B20" t="s">
        <v>299</v>
      </c>
      <c r="C20" s="219">
        <v>19.05</v>
      </c>
      <c r="D20" s="219">
        <v>19.100000000000001</v>
      </c>
      <c r="E20" s="219">
        <v>19.239999999999998</v>
      </c>
      <c r="F20" s="219">
        <v>19.82</v>
      </c>
      <c r="G20" s="219">
        <v>21.03</v>
      </c>
      <c r="H20" s="219">
        <v>22.01</v>
      </c>
      <c r="I20" s="219">
        <v>22.95</v>
      </c>
      <c r="J20" s="219">
        <v>19.55</v>
      </c>
      <c r="K20" s="218">
        <v>16.71</v>
      </c>
      <c r="L20" s="218">
        <v>16.739999999999998</v>
      </c>
      <c r="M20" s="218">
        <v>16.59</v>
      </c>
      <c r="N20" s="218">
        <v>16.95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38.799999999999997</v>
      </c>
      <c r="D23" s="219">
        <v>38.94</v>
      </c>
      <c r="E23" s="219">
        <v>35.69</v>
      </c>
      <c r="F23" s="219">
        <v>37.19</v>
      </c>
      <c r="G23" s="219">
        <v>38.549999999999997</v>
      </c>
      <c r="H23" s="219">
        <v>40.19</v>
      </c>
      <c r="I23" s="219">
        <v>38.299999999999997</v>
      </c>
      <c r="J23" s="219">
        <v>35.130000000000003</v>
      </c>
      <c r="K23" s="219">
        <v>33.31</v>
      </c>
      <c r="L23" s="219">
        <v>34.200000000000003</v>
      </c>
      <c r="M23" s="219">
        <v>33.630000000000003</v>
      </c>
      <c r="N23" s="219">
        <v>36.5</v>
      </c>
    </row>
    <row r="24" spans="1:14">
      <c r="A24" t="s">
        <v>302</v>
      </c>
      <c r="B24" t="s">
        <v>303</v>
      </c>
      <c r="C24" s="219">
        <v>56.3</v>
      </c>
      <c r="D24" s="219">
        <v>54.94</v>
      </c>
      <c r="E24" s="219">
        <v>52.94</v>
      </c>
      <c r="F24" s="219">
        <v>49.5</v>
      </c>
      <c r="G24" s="219">
        <v>52.25</v>
      </c>
      <c r="H24" s="219">
        <v>53.19</v>
      </c>
      <c r="I24" s="219">
        <v>52.3</v>
      </c>
      <c r="J24" s="219">
        <v>51.56</v>
      </c>
      <c r="K24" s="219">
        <v>50.75</v>
      </c>
      <c r="L24" s="219">
        <v>51.05</v>
      </c>
      <c r="M24" s="219">
        <v>50.31</v>
      </c>
      <c r="N24" s="219">
        <v>52.2</v>
      </c>
    </row>
    <row r="25" spans="1:14">
      <c r="A25" t="s">
        <v>543</v>
      </c>
      <c r="B25" t="s">
        <v>303</v>
      </c>
      <c r="C25" s="219">
        <v>34.86</v>
      </c>
      <c r="D25" s="219">
        <v>36.130000000000003</v>
      </c>
      <c r="E25" s="219">
        <v>37.729999999999997</v>
      </c>
      <c r="F25" s="219">
        <v>39.270000000000003</v>
      </c>
      <c r="G25" s="219">
        <v>39.5</v>
      </c>
      <c r="H25" s="219">
        <v>40.340000000000003</v>
      </c>
      <c r="I25" s="219">
        <v>41.49</v>
      </c>
      <c r="J25" s="219">
        <v>40.75</v>
      </c>
      <c r="K25" s="219">
        <v>37.549999999999997</v>
      </c>
      <c r="L25" s="219">
        <v>36.6</v>
      </c>
      <c r="M25" s="218">
        <v>36.43</v>
      </c>
      <c r="N25" s="218">
        <v>38.25</v>
      </c>
    </row>
    <row r="26" spans="1:14">
      <c r="A26" t="s">
        <v>537</v>
      </c>
      <c r="B26" t="s">
        <v>303</v>
      </c>
      <c r="C26" s="219">
        <v>27.68</v>
      </c>
      <c r="D26" s="219">
        <v>26.43</v>
      </c>
      <c r="E26" s="219">
        <v>28.13</v>
      </c>
      <c r="F26" s="219">
        <v>26.66</v>
      </c>
      <c r="G26" s="219">
        <v>24.87</v>
      </c>
      <c r="H26" s="219">
        <v>28.38</v>
      </c>
      <c r="I26" s="219">
        <v>25.27</v>
      </c>
      <c r="J26" s="219">
        <v>23.56</v>
      </c>
      <c r="K26" s="219">
        <v>22.63</v>
      </c>
      <c r="L26" s="219">
        <v>23.12</v>
      </c>
      <c r="M26" s="219">
        <v>23.4</v>
      </c>
      <c r="N26" s="219">
        <v>22.08</v>
      </c>
    </row>
    <row r="27" spans="1:14">
      <c r="A27" t="s">
        <v>305</v>
      </c>
      <c r="B27" t="s">
        <v>303</v>
      </c>
      <c r="C27" s="219">
        <v>44.95</v>
      </c>
      <c r="D27" s="219">
        <v>48.81</v>
      </c>
      <c r="E27" s="219">
        <v>46.06</v>
      </c>
      <c r="F27" s="219">
        <v>48.19</v>
      </c>
      <c r="G27" s="219">
        <v>48.9</v>
      </c>
      <c r="H27" s="219">
        <v>49.94</v>
      </c>
      <c r="I27" s="219">
        <v>49.15</v>
      </c>
      <c r="J27" s="219">
        <v>46.25</v>
      </c>
      <c r="K27" s="219">
        <v>44.13</v>
      </c>
      <c r="L27" s="219">
        <v>44.25</v>
      </c>
      <c r="M27" s="219">
        <v>45.19</v>
      </c>
      <c r="N27" s="219">
        <v>48.35</v>
      </c>
    </row>
    <row r="28" spans="1:14">
      <c r="A28" t="s">
        <v>417</v>
      </c>
      <c r="B28" t="s">
        <v>303</v>
      </c>
      <c r="C28" s="219">
        <v>29.5</v>
      </c>
      <c r="D28" s="219">
        <v>28</v>
      </c>
      <c r="E28" s="224" t="s">
        <v>577</v>
      </c>
      <c r="F28" s="219">
        <v>26.64</v>
      </c>
      <c r="G28" s="219">
        <v>28</v>
      </c>
      <c r="H28" s="224" t="s">
        <v>317</v>
      </c>
      <c r="I28" s="224">
        <v>31</v>
      </c>
      <c r="J28" s="219">
        <v>31</v>
      </c>
      <c r="K28" s="224" t="s">
        <v>317</v>
      </c>
      <c r="L28" s="219">
        <v>34.229999999999997</v>
      </c>
      <c r="M28" s="219">
        <v>35.5</v>
      </c>
      <c r="N28" s="219">
        <v>28.8</v>
      </c>
    </row>
    <row r="29" spans="1:14">
      <c r="A29" t="s">
        <v>306</v>
      </c>
      <c r="B29" t="s">
        <v>303</v>
      </c>
      <c r="C29" s="219">
        <v>36.049999999999997</v>
      </c>
      <c r="D29" s="219">
        <v>34.880000000000003</v>
      </c>
      <c r="E29" s="219">
        <v>34.5</v>
      </c>
      <c r="F29" s="219">
        <v>32.380000000000003</v>
      </c>
      <c r="G29" s="219">
        <v>33.049999999999997</v>
      </c>
      <c r="H29" s="219">
        <v>33.19</v>
      </c>
      <c r="I29" s="219">
        <v>32.15</v>
      </c>
      <c r="J29" s="219">
        <v>29.88</v>
      </c>
      <c r="K29" s="219">
        <v>29.25</v>
      </c>
      <c r="L29" s="219">
        <v>30.75</v>
      </c>
      <c r="M29" s="219">
        <v>29.5</v>
      </c>
      <c r="N29" s="219">
        <v>29.6</v>
      </c>
    </row>
    <row r="30" spans="1:14">
      <c r="A30" t="s">
        <v>491</v>
      </c>
      <c r="B30" t="s">
        <v>303</v>
      </c>
      <c r="C30" s="219">
        <v>41</v>
      </c>
      <c r="D30" s="219">
        <v>49.06</v>
      </c>
      <c r="E30" s="219">
        <v>55.31</v>
      </c>
      <c r="F30" s="219">
        <v>43.31</v>
      </c>
      <c r="G30" s="219">
        <v>37.549999999999997</v>
      </c>
      <c r="H30" s="219">
        <v>37</v>
      </c>
      <c r="I30" s="219">
        <v>37.6</v>
      </c>
      <c r="J30" s="219">
        <v>36.25</v>
      </c>
      <c r="K30" s="219">
        <v>36.130000000000003</v>
      </c>
      <c r="L30" s="219">
        <v>36.450000000000003</v>
      </c>
      <c r="M30" s="219">
        <v>36.06</v>
      </c>
      <c r="N30" s="219">
        <v>37.9</v>
      </c>
    </row>
    <row r="31" spans="1:14">
      <c r="A31" t="s">
        <v>307</v>
      </c>
      <c r="B31" t="s">
        <v>303</v>
      </c>
      <c r="C31" s="219">
        <v>56.15</v>
      </c>
      <c r="D31" s="219">
        <v>55.56</v>
      </c>
      <c r="E31" s="219">
        <v>54.69</v>
      </c>
      <c r="F31" s="219">
        <v>54.81</v>
      </c>
      <c r="G31" s="219">
        <v>54.65</v>
      </c>
      <c r="H31" s="219">
        <v>56.31</v>
      </c>
      <c r="I31" s="219">
        <v>58.15</v>
      </c>
      <c r="J31" s="219">
        <v>58.63</v>
      </c>
      <c r="K31" s="219">
        <v>58.69</v>
      </c>
      <c r="L31" s="219">
        <v>57.7</v>
      </c>
      <c r="M31" s="219">
        <v>58.06</v>
      </c>
      <c r="N31" s="219">
        <v>58.5</v>
      </c>
    </row>
    <row r="32" spans="1:14">
      <c r="A32" s="218" t="s">
        <v>308</v>
      </c>
      <c r="B32" s="218" t="s">
        <v>303</v>
      </c>
      <c r="C32" s="219">
        <v>32.33</v>
      </c>
      <c r="D32" s="219">
        <v>31.57</v>
      </c>
      <c r="E32" s="219">
        <v>30.89</v>
      </c>
      <c r="F32" s="219">
        <v>31.13</v>
      </c>
      <c r="G32" s="219">
        <v>32.65</v>
      </c>
      <c r="H32" s="219">
        <v>33.729999999999997</v>
      </c>
      <c r="I32" s="219">
        <v>31.54</v>
      </c>
      <c r="J32" s="219">
        <v>28.87</v>
      </c>
      <c r="K32" s="219">
        <v>26.43</v>
      </c>
      <c r="L32" s="219">
        <v>27.14</v>
      </c>
      <c r="M32" s="218">
        <v>26.42</v>
      </c>
      <c r="N32" s="218">
        <v>29.72</v>
      </c>
    </row>
    <row r="33" spans="1:15">
      <c r="A33" t="s">
        <v>309</v>
      </c>
      <c r="B33" t="s">
        <v>303</v>
      </c>
      <c r="C33" s="219">
        <v>63</v>
      </c>
      <c r="D33" s="219">
        <v>65.63</v>
      </c>
      <c r="E33" s="219">
        <v>65.56</v>
      </c>
      <c r="F33" s="219">
        <v>65.5</v>
      </c>
      <c r="G33" s="219">
        <v>65</v>
      </c>
      <c r="H33" s="219">
        <v>69.75</v>
      </c>
      <c r="I33" s="219">
        <v>73.400000000000006</v>
      </c>
      <c r="J33" s="219">
        <v>75</v>
      </c>
      <c r="K33" s="219">
        <v>75</v>
      </c>
      <c r="L33" s="219">
        <v>72</v>
      </c>
      <c r="M33" s="219">
        <v>64.5</v>
      </c>
      <c r="N33" s="219">
        <v>62</v>
      </c>
    </row>
    <row r="34" spans="1:15">
      <c r="A34" t="s">
        <v>415</v>
      </c>
      <c r="B34" t="s">
        <v>303</v>
      </c>
      <c r="C34" s="219">
        <v>31.2</v>
      </c>
      <c r="D34" s="219">
        <v>31.38</v>
      </c>
      <c r="E34" s="219">
        <v>32.299999999999997</v>
      </c>
      <c r="F34" s="219">
        <v>28.58</v>
      </c>
      <c r="G34" s="219">
        <v>31.32</v>
      </c>
      <c r="H34" s="219">
        <v>32.04</v>
      </c>
      <c r="I34" s="219">
        <v>29.75</v>
      </c>
      <c r="J34" s="219">
        <v>30.14</v>
      </c>
      <c r="K34" s="219">
        <v>28.1</v>
      </c>
      <c r="L34" s="219">
        <v>24.61</v>
      </c>
      <c r="M34" s="219">
        <v>21.1</v>
      </c>
      <c r="N34" s="219">
        <v>20.5</v>
      </c>
    </row>
    <row r="35" spans="1:15">
      <c r="A35" s="117" t="s">
        <v>490</v>
      </c>
      <c r="B35" t="s">
        <v>303</v>
      </c>
      <c r="C35" s="219">
        <v>25.47</v>
      </c>
      <c r="D35" s="219">
        <v>25.25</v>
      </c>
      <c r="E35" s="219">
        <v>25.35</v>
      </c>
      <c r="F35" s="219">
        <v>23.16</v>
      </c>
      <c r="G35" s="219">
        <v>23.16</v>
      </c>
      <c r="H35" s="219">
        <v>25.18</v>
      </c>
      <c r="I35" s="219">
        <v>24.88</v>
      </c>
      <c r="J35" s="219">
        <v>23.19</v>
      </c>
      <c r="K35" s="219">
        <v>20.8</v>
      </c>
      <c r="L35" s="219">
        <v>18.440000000000001</v>
      </c>
      <c r="M35" s="219">
        <v>18.190000000000001</v>
      </c>
      <c r="N35" s="219">
        <v>18.09</v>
      </c>
      <c r="O35" s="63"/>
    </row>
    <row r="36" spans="1:15">
      <c r="A36" s="117" t="s">
        <v>485</v>
      </c>
      <c r="B36" s="117" t="s">
        <v>486</v>
      </c>
      <c r="C36" s="219">
        <v>2.9916666666666667</v>
      </c>
      <c r="D36" s="219">
        <v>2.94625</v>
      </c>
      <c r="E36" s="219">
        <v>2.89</v>
      </c>
      <c r="F36" s="219">
        <v>2.88375</v>
      </c>
      <c r="G36" s="219">
        <v>3.097</v>
      </c>
      <c r="H36" s="219">
        <v>3.2362500000000001</v>
      </c>
      <c r="I36" s="219">
        <v>3.0129999999999999</v>
      </c>
      <c r="J36" s="219">
        <v>2.6062500000000002</v>
      </c>
      <c r="K36" s="219">
        <v>2.5237500000000002</v>
      </c>
      <c r="L36" s="219">
        <v>2.5780000000000003</v>
      </c>
      <c r="M36" s="219">
        <v>2.585</v>
      </c>
      <c r="N36" s="219">
        <v>2.7524999999999999</v>
      </c>
      <c r="O36" s="63"/>
    </row>
    <row r="37" spans="1:15">
      <c r="A37" t="s">
        <v>310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</row>
    <row r="38" spans="1:15">
      <c r="A38" t="s">
        <v>414</v>
      </c>
      <c r="B38" t="s">
        <v>289</v>
      </c>
      <c r="C38" s="218">
        <v>311.56</v>
      </c>
      <c r="D38" s="218">
        <v>296.20999999999998</v>
      </c>
      <c r="E38" s="218">
        <v>279.54000000000002</v>
      </c>
      <c r="F38" s="218">
        <v>261.35000000000002</v>
      </c>
      <c r="G38" s="219">
        <v>274.60000000000002</v>
      </c>
      <c r="H38" s="218">
        <v>305.85000000000002</v>
      </c>
      <c r="I38" s="218">
        <v>328.03</v>
      </c>
      <c r="J38" s="218">
        <v>285.83</v>
      </c>
      <c r="K38" s="218">
        <v>264.01</v>
      </c>
      <c r="L38" s="218">
        <v>257.69</v>
      </c>
      <c r="M38" s="218">
        <v>248.98</v>
      </c>
      <c r="N38" s="218">
        <v>240.64</v>
      </c>
    </row>
    <row r="39" spans="1:15">
      <c r="A39" t="s">
        <v>311</v>
      </c>
      <c r="B39" t="s">
        <v>303</v>
      </c>
      <c r="C39" s="219">
        <v>313.75</v>
      </c>
      <c r="D39" s="219">
        <v>302.5</v>
      </c>
      <c r="E39" s="219">
        <v>310.5</v>
      </c>
      <c r="F39" s="219">
        <v>288.13</v>
      </c>
      <c r="G39" s="219">
        <v>274.38</v>
      </c>
      <c r="H39" s="219">
        <v>281</v>
      </c>
      <c r="I39" s="219">
        <v>299.38</v>
      </c>
      <c r="J39" s="219">
        <v>295.63</v>
      </c>
      <c r="K39" s="219">
        <v>293.5</v>
      </c>
      <c r="L39" s="219">
        <v>292.5</v>
      </c>
      <c r="M39" s="219">
        <v>291.88</v>
      </c>
      <c r="N39" s="219">
        <v>267.5</v>
      </c>
    </row>
    <row r="40" spans="1:15">
      <c r="A40" t="s">
        <v>393</v>
      </c>
      <c r="B40" t="s">
        <v>303</v>
      </c>
      <c r="C40" s="219">
        <v>250</v>
      </c>
      <c r="D40" s="219">
        <v>230.63</v>
      </c>
      <c r="E40" s="219">
        <v>230.5</v>
      </c>
      <c r="F40" s="219">
        <v>239.38</v>
      </c>
      <c r="G40" s="219">
        <v>256.88</v>
      </c>
      <c r="H40" s="219">
        <v>258</v>
      </c>
      <c r="I40" s="219">
        <v>284.38</v>
      </c>
      <c r="J40" s="219">
        <v>287.5</v>
      </c>
      <c r="K40" s="219">
        <v>256</v>
      </c>
      <c r="L40" s="219">
        <v>215</v>
      </c>
      <c r="M40" s="219">
        <v>209</v>
      </c>
      <c r="N40" s="219">
        <v>200</v>
      </c>
    </row>
    <row r="41" spans="1:15">
      <c r="A41" s="218" t="s">
        <v>394</v>
      </c>
      <c r="B41" s="218" t="s">
        <v>303</v>
      </c>
      <c r="C41" s="218">
        <v>380.03</v>
      </c>
      <c r="D41" s="218">
        <v>370.38</v>
      </c>
      <c r="E41" s="218">
        <v>357.83</v>
      </c>
      <c r="F41" s="218">
        <v>336.61</v>
      </c>
      <c r="G41" s="218">
        <v>320.23</v>
      </c>
      <c r="H41" s="218">
        <v>335.03</v>
      </c>
      <c r="I41" s="218">
        <v>375.71</v>
      </c>
      <c r="J41" s="218">
        <v>357.85</v>
      </c>
      <c r="K41" s="218">
        <v>333.62</v>
      </c>
      <c r="L41" s="218">
        <v>327.97</v>
      </c>
      <c r="M41" s="218">
        <v>308.60000000000002</v>
      </c>
      <c r="N41" s="218">
        <v>289.77999999999997</v>
      </c>
    </row>
    <row r="42" spans="1:15">
      <c r="A42" t="s">
        <v>482</v>
      </c>
      <c r="B42" t="s">
        <v>303</v>
      </c>
      <c r="C42" s="219">
        <v>247.5</v>
      </c>
      <c r="D42" s="219">
        <v>225.63</v>
      </c>
      <c r="E42" s="219">
        <v>202.5</v>
      </c>
      <c r="F42" s="219">
        <v>202.5</v>
      </c>
      <c r="G42" s="219">
        <v>192.5</v>
      </c>
      <c r="H42" s="219">
        <v>180.5</v>
      </c>
      <c r="I42" s="219">
        <v>214.38</v>
      </c>
      <c r="J42" s="219">
        <v>222.5</v>
      </c>
      <c r="K42" s="219">
        <v>216</v>
      </c>
      <c r="L42" s="219">
        <v>212.5</v>
      </c>
      <c r="M42" s="219">
        <v>187.5</v>
      </c>
      <c r="N42" s="219">
        <v>163.13</v>
      </c>
    </row>
    <row r="43" spans="1:15">
      <c r="A43" t="s">
        <v>481</v>
      </c>
      <c r="B43" t="s">
        <v>312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</row>
    <row r="44" spans="1:15">
      <c r="A44" t="s">
        <v>313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</row>
    <row r="45" spans="1:15">
      <c r="A45" t="s">
        <v>314</v>
      </c>
      <c r="B45" t="s">
        <v>303</v>
      </c>
      <c r="C45" s="220">
        <v>213.1</v>
      </c>
      <c r="D45" s="220">
        <v>181</v>
      </c>
      <c r="E45" s="220">
        <v>174</v>
      </c>
      <c r="F45" s="220">
        <v>169.4</v>
      </c>
      <c r="G45" s="220">
        <v>164.7</v>
      </c>
      <c r="H45" s="220">
        <v>170.8</v>
      </c>
      <c r="I45" s="220">
        <v>172</v>
      </c>
      <c r="J45" s="220">
        <v>179.8</v>
      </c>
      <c r="K45" s="220">
        <v>180.3</v>
      </c>
      <c r="L45" s="224" t="s">
        <v>317</v>
      </c>
      <c r="M45" s="224" t="s">
        <v>317</v>
      </c>
      <c r="N45" s="224" t="s">
        <v>317</v>
      </c>
    </row>
    <row r="46" spans="1:15">
      <c r="A46" t="s">
        <v>315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309.5</v>
      </c>
      <c r="D47" s="220">
        <v>306.5</v>
      </c>
      <c r="E47" s="220">
        <v>310.60000000000002</v>
      </c>
      <c r="F47" s="220">
        <v>310.3</v>
      </c>
      <c r="G47" s="220">
        <v>312.8</v>
      </c>
      <c r="H47" s="220">
        <v>313.89999999999998</v>
      </c>
      <c r="I47" s="220">
        <v>313.39999999999998</v>
      </c>
      <c r="J47" s="220">
        <v>319.8</v>
      </c>
      <c r="K47" s="220">
        <v>322.10000000000002</v>
      </c>
      <c r="L47" s="220">
        <v>321</v>
      </c>
      <c r="M47" s="220">
        <v>325.89999999999998</v>
      </c>
      <c r="N47" s="220">
        <v>322.60000000000002</v>
      </c>
    </row>
    <row r="48" spans="1:15">
      <c r="A48" t="s">
        <v>518</v>
      </c>
      <c r="B48" t="s">
        <v>303</v>
      </c>
      <c r="C48" s="220">
        <v>245.1</v>
      </c>
      <c r="D48" s="220">
        <v>245.7</v>
      </c>
      <c r="E48" s="220">
        <v>246</v>
      </c>
      <c r="F48" s="220">
        <v>243.6</v>
      </c>
      <c r="G48" s="220">
        <v>245.1</v>
      </c>
      <c r="H48" s="220">
        <v>245.6</v>
      </c>
      <c r="I48" s="220">
        <v>246.6</v>
      </c>
      <c r="J48" s="220">
        <v>243.2</v>
      </c>
      <c r="K48" s="220">
        <v>241.9</v>
      </c>
      <c r="L48" s="220">
        <v>239</v>
      </c>
      <c r="M48" s="220">
        <v>239.4</v>
      </c>
      <c r="N48" s="220">
        <v>238.2</v>
      </c>
    </row>
    <row r="49" spans="1:14">
      <c r="A49" t="s">
        <v>451</v>
      </c>
      <c r="B49" t="s">
        <v>303</v>
      </c>
      <c r="C49" s="220">
        <v>223.8</v>
      </c>
      <c r="D49" s="220">
        <v>218.1</v>
      </c>
      <c r="E49" s="220">
        <v>213.6</v>
      </c>
      <c r="F49" s="220">
        <v>215.3</v>
      </c>
      <c r="G49" s="220">
        <v>219.6</v>
      </c>
      <c r="H49" s="220">
        <v>223.3</v>
      </c>
      <c r="I49" s="220">
        <v>213.9</v>
      </c>
      <c r="J49" s="220">
        <v>204.3</v>
      </c>
      <c r="K49" s="220">
        <v>186.5</v>
      </c>
      <c r="L49" s="220">
        <v>180</v>
      </c>
      <c r="M49" s="220">
        <v>173.8</v>
      </c>
      <c r="N49" s="220">
        <v>186.4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135.80000000000001</v>
      </c>
      <c r="E50" s="225">
        <v>135.80000000000001</v>
      </c>
      <c r="F50" s="225">
        <v>135.80000000000001</v>
      </c>
      <c r="G50" s="225">
        <v>135.80000000000001</v>
      </c>
      <c r="H50" s="225">
        <v>135.80000000000001</v>
      </c>
      <c r="I50" s="225">
        <v>135.80000000000001</v>
      </c>
      <c r="J50" s="225">
        <v>135.80000000000001</v>
      </c>
      <c r="K50" s="225">
        <v>135.80000000000001</v>
      </c>
      <c r="L50" s="225">
        <v>135.80000000000001</v>
      </c>
      <c r="M50" s="225">
        <v>135.80000000000001</v>
      </c>
      <c r="N50" s="225">
        <v>135.80000000000001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honeticPr fontId="0" type="noConversion"/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153"/>
      <c r="D2" s="314"/>
      <c r="E2" s="314"/>
      <c r="F2" s="314"/>
      <c r="G2" s="314"/>
      <c r="H2" s="333">
        <v>2016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13.8</v>
      </c>
      <c r="D6" s="219">
        <v>15.3</v>
      </c>
      <c r="E6" s="219">
        <v>15.1</v>
      </c>
      <c r="F6" s="219">
        <v>16.100000000000001</v>
      </c>
      <c r="G6" s="63" t="s">
        <v>317</v>
      </c>
      <c r="H6" s="219">
        <v>18.8</v>
      </c>
      <c r="I6" s="219">
        <v>16.100000000000001</v>
      </c>
      <c r="J6" s="219">
        <v>15.6</v>
      </c>
      <c r="K6" s="219">
        <v>15.5</v>
      </c>
      <c r="L6" s="219">
        <v>15.8</v>
      </c>
      <c r="M6" s="219">
        <v>16.2</v>
      </c>
      <c r="N6" s="219">
        <v>17.100000000000001</v>
      </c>
    </row>
    <row r="7" spans="1:14">
      <c r="A7" t="s">
        <v>293</v>
      </c>
      <c r="B7" t="s">
        <v>289</v>
      </c>
      <c r="C7" s="219">
        <v>227</v>
      </c>
      <c r="D7" s="219">
        <v>236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176</v>
      </c>
      <c r="K7" s="219">
        <v>180</v>
      </c>
      <c r="L7" s="219">
        <v>197</v>
      </c>
      <c r="M7" s="219">
        <v>195</v>
      </c>
      <c r="N7" s="219">
        <v>197</v>
      </c>
    </row>
    <row r="8" spans="1:14">
      <c r="A8" t="s">
        <v>294</v>
      </c>
      <c r="B8" t="s">
        <v>295</v>
      </c>
      <c r="C8" s="219">
        <v>8.4600000000000009</v>
      </c>
      <c r="D8" s="219">
        <v>8.1</v>
      </c>
      <c r="E8" s="219">
        <v>8.3699999999999992</v>
      </c>
      <c r="F8" s="219">
        <v>8.1</v>
      </c>
      <c r="G8" s="219">
        <v>7.93</v>
      </c>
      <c r="H8" s="219">
        <v>8.44</v>
      </c>
      <c r="I8" s="219">
        <v>8.48</v>
      </c>
      <c r="J8" s="219">
        <v>8.25</v>
      </c>
      <c r="K8" s="219">
        <v>7.61</v>
      </c>
      <c r="L8" s="219">
        <v>7.37</v>
      </c>
      <c r="M8" s="219">
        <v>7.36</v>
      </c>
      <c r="N8" s="219">
        <v>7.59</v>
      </c>
    </row>
    <row r="9" spans="1:14">
      <c r="A9" t="s">
        <v>296</v>
      </c>
      <c r="B9" t="s">
        <v>297</v>
      </c>
      <c r="C9" s="219">
        <v>19.3</v>
      </c>
      <c r="D9" s="219">
        <v>19.8</v>
      </c>
      <c r="E9" s="219">
        <v>19.5</v>
      </c>
      <c r="F9" s="219">
        <v>19.8</v>
      </c>
      <c r="G9" s="219">
        <v>19.600000000000001</v>
      </c>
      <c r="H9" s="219">
        <v>19.5</v>
      </c>
      <c r="I9" s="219">
        <v>19</v>
      </c>
      <c r="J9" s="219">
        <v>19</v>
      </c>
      <c r="K9" s="219">
        <v>19.100000000000001</v>
      </c>
      <c r="L9" s="219">
        <v>19.5</v>
      </c>
      <c r="M9" s="219">
        <v>19</v>
      </c>
      <c r="N9" s="219">
        <v>18.600000000000001</v>
      </c>
    </row>
    <row r="10" spans="1:14">
      <c r="A10" t="s">
        <v>298</v>
      </c>
      <c r="B10" t="s">
        <v>295</v>
      </c>
      <c r="C10" s="219">
        <v>8.7100000000000009</v>
      </c>
      <c r="D10" s="219">
        <v>8.51</v>
      </c>
      <c r="E10" s="219">
        <v>8.56</v>
      </c>
      <c r="F10" s="219">
        <v>9.01</v>
      </c>
      <c r="G10" s="219">
        <v>9.76</v>
      </c>
      <c r="H10" s="219">
        <v>10.199999999999999</v>
      </c>
      <c r="I10" s="219">
        <v>10.199999999999999</v>
      </c>
      <c r="J10" s="219">
        <v>9.93</v>
      </c>
      <c r="K10" s="219">
        <v>9.41</v>
      </c>
      <c r="L10" s="219">
        <v>9.3000000000000007</v>
      </c>
      <c r="M10" s="219">
        <v>9.4700000000000006</v>
      </c>
      <c r="N10" s="219">
        <v>9.64</v>
      </c>
    </row>
    <row r="11" spans="1:14">
      <c r="A11" t="s">
        <v>588</v>
      </c>
      <c r="B11" t="s">
        <v>299</v>
      </c>
      <c r="C11" s="219">
        <v>20.100000000000001</v>
      </c>
      <c r="D11" s="219">
        <v>20.399999999999999</v>
      </c>
      <c r="E11" s="219">
        <v>21.1</v>
      </c>
      <c r="F11" s="219">
        <v>20.9</v>
      </c>
      <c r="G11" s="219">
        <v>19.5</v>
      </c>
      <c r="H11" s="219">
        <v>20.100000000000001</v>
      </c>
      <c r="I11" s="219">
        <v>19</v>
      </c>
      <c r="J11" s="219">
        <v>19.600000000000001</v>
      </c>
      <c r="K11" s="219">
        <v>17.899999999999999</v>
      </c>
      <c r="L11" s="219">
        <v>17</v>
      </c>
      <c r="M11" s="219">
        <v>16.399999999999999</v>
      </c>
      <c r="N11" s="219">
        <v>17.2</v>
      </c>
    </row>
    <row r="12" spans="1:14">
      <c r="A12" t="s">
        <v>589</v>
      </c>
      <c r="B12" t="s">
        <v>299</v>
      </c>
      <c r="C12" s="219">
        <v>18.600000000000001</v>
      </c>
      <c r="D12" s="219">
        <v>18.399999999999999</v>
      </c>
      <c r="E12" s="219">
        <v>18.399999999999999</v>
      </c>
      <c r="F12" s="219">
        <v>18.600000000000001</v>
      </c>
      <c r="G12" s="219">
        <v>18</v>
      </c>
      <c r="H12" s="219">
        <v>18.600000000000001</v>
      </c>
      <c r="I12" s="219">
        <v>18</v>
      </c>
      <c r="J12" s="219">
        <v>17.8</v>
      </c>
      <c r="K12" s="219">
        <v>17.399999999999999</v>
      </c>
      <c r="L12" s="219">
        <v>16.7</v>
      </c>
      <c r="M12" s="219">
        <v>16</v>
      </c>
      <c r="N12" s="219">
        <v>16.8</v>
      </c>
    </row>
    <row r="13" spans="1:14">
      <c r="A13" t="s">
        <v>590</v>
      </c>
      <c r="B13" t="s">
        <v>299</v>
      </c>
      <c r="C13" s="219">
        <v>26.8</v>
      </c>
      <c r="D13" s="219">
        <v>26.8</v>
      </c>
      <c r="E13" s="219">
        <v>27.1</v>
      </c>
      <c r="F13" s="219">
        <v>26</v>
      </c>
      <c r="G13" s="219">
        <v>26.2</v>
      </c>
      <c r="H13" s="219">
        <v>27.5</v>
      </c>
      <c r="I13" s="219">
        <v>25.8</v>
      </c>
      <c r="J13" s="219">
        <v>26.5</v>
      </c>
      <c r="K13" s="219">
        <v>23.3</v>
      </c>
      <c r="L13" s="219">
        <v>20.9</v>
      </c>
      <c r="M13" s="219">
        <v>21.6</v>
      </c>
      <c r="N13" s="219">
        <v>19.5</v>
      </c>
    </row>
    <row r="14" spans="1:14">
      <c r="A14" s="218" t="s">
        <v>475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</row>
    <row r="15" spans="1:14">
      <c r="A15" t="s">
        <v>473</v>
      </c>
      <c r="B15" t="s">
        <v>299</v>
      </c>
      <c r="C15" s="219">
        <v>14.51</v>
      </c>
      <c r="D15" s="219">
        <v>14.64</v>
      </c>
      <c r="E15" s="219">
        <v>15.63</v>
      </c>
      <c r="F15" s="219">
        <v>17</v>
      </c>
      <c r="G15" s="219">
        <v>17.68</v>
      </c>
      <c r="H15" s="219">
        <v>17.239999999999998</v>
      </c>
      <c r="I15" s="219">
        <v>15.65</v>
      </c>
      <c r="J15" s="219">
        <v>15.3</v>
      </c>
      <c r="K15" s="219">
        <v>14.66</v>
      </c>
      <c r="L15" s="219">
        <v>15.83</v>
      </c>
      <c r="M15" s="219">
        <v>16.54</v>
      </c>
      <c r="N15" s="219">
        <v>16.78</v>
      </c>
    </row>
    <row r="16" spans="1:14">
      <c r="A16" t="s">
        <v>474</v>
      </c>
      <c r="B16" t="s">
        <v>289</v>
      </c>
      <c r="C16" s="219">
        <v>276.25</v>
      </c>
      <c r="D16" s="219">
        <v>258</v>
      </c>
      <c r="E16" s="219">
        <v>251.7</v>
      </c>
      <c r="F16" s="219">
        <v>249</v>
      </c>
      <c r="G16" s="219">
        <v>258.75</v>
      </c>
      <c r="H16" s="219">
        <v>276.25</v>
      </c>
      <c r="I16" s="219">
        <v>260</v>
      </c>
      <c r="J16" s="219">
        <v>247</v>
      </c>
      <c r="K16" s="219">
        <v>245.75</v>
      </c>
      <c r="L16" s="219">
        <v>206.25</v>
      </c>
      <c r="M16" s="219">
        <v>203.25</v>
      </c>
      <c r="N16" s="219">
        <v>205</v>
      </c>
    </row>
    <row r="17" spans="1:14">
      <c r="A17" t="s">
        <v>480</v>
      </c>
      <c r="B17" t="s">
        <v>295</v>
      </c>
      <c r="C17" s="219">
        <v>9.17</v>
      </c>
      <c r="D17" s="219">
        <v>9.02</v>
      </c>
      <c r="E17" s="219">
        <v>8.7200000000000006</v>
      </c>
      <c r="F17" s="219">
        <v>8.6999999999999993</v>
      </c>
      <c r="G17" s="219">
        <v>9.16</v>
      </c>
      <c r="H17" s="219">
        <v>9.69</v>
      </c>
      <c r="I17" s="219">
        <v>9.48</v>
      </c>
      <c r="J17" s="219">
        <v>9.11</v>
      </c>
      <c r="K17" s="219">
        <v>8.48</v>
      </c>
      <c r="L17" s="219">
        <v>8.34</v>
      </c>
      <c r="M17" s="219">
        <v>8.75</v>
      </c>
      <c r="N17" s="219">
        <v>9.2799999999999994</v>
      </c>
    </row>
    <row r="18" spans="1:14">
      <c r="A18" t="s">
        <v>472</v>
      </c>
      <c r="B18" t="s">
        <v>295</v>
      </c>
      <c r="C18" s="219">
        <v>8.6999999999999993</v>
      </c>
      <c r="D18" s="219">
        <v>8.69</v>
      </c>
      <c r="E18" s="219">
        <v>8.77</v>
      </c>
      <c r="F18" s="219">
        <v>9.3800000000000008</v>
      </c>
      <c r="G18" s="219">
        <v>10.27</v>
      </c>
      <c r="H18" s="219">
        <v>11.21</v>
      </c>
      <c r="I18" s="219">
        <v>10.45</v>
      </c>
      <c r="J18" s="219">
        <v>9.5299999999999994</v>
      </c>
      <c r="K18" s="219">
        <v>9.5299999999999994</v>
      </c>
      <c r="L18" s="219">
        <v>9.4499999999999993</v>
      </c>
      <c r="M18" s="219">
        <v>9.74</v>
      </c>
      <c r="N18" s="219">
        <v>9.98</v>
      </c>
    </row>
    <row r="19" spans="1:14">
      <c r="A19" t="s">
        <v>471</v>
      </c>
      <c r="B19" t="s">
        <v>295</v>
      </c>
      <c r="C19" s="219">
        <v>9.4499999999999993</v>
      </c>
      <c r="D19" s="219">
        <v>9.26</v>
      </c>
      <c r="E19" s="219">
        <v>9.34</v>
      </c>
      <c r="F19" s="219">
        <v>10</v>
      </c>
      <c r="G19" s="219">
        <v>10.84</v>
      </c>
      <c r="H19" s="219">
        <v>11.92</v>
      </c>
      <c r="I19" s="219">
        <v>11.43</v>
      </c>
      <c r="J19" s="219">
        <v>10.9</v>
      </c>
      <c r="K19" s="219">
        <v>10.5</v>
      </c>
      <c r="L19" s="219">
        <v>10.9</v>
      </c>
      <c r="M19" s="219">
        <v>10.29</v>
      </c>
      <c r="N19" s="219">
        <v>10.6</v>
      </c>
    </row>
    <row r="20" spans="1:14">
      <c r="A20" t="s">
        <v>476</v>
      </c>
      <c r="B20" t="s">
        <v>299</v>
      </c>
      <c r="C20" s="219">
        <v>16.440000000000001</v>
      </c>
      <c r="D20" s="219">
        <v>16.670000000000002</v>
      </c>
      <c r="E20" s="219">
        <v>16.55</v>
      </c>
      <c r="F20" s="219">
        <v>16.559999999999999</v>
      </c>
      <c r="G20" s="219">
        <v>16.75</v>
      </c>
      <c r="H20" s="219">
        <v>17.29</v>
      </c>
      <c r="I20" s="219">
        <v>17.02</v>
      </c>
      <c r="J20" s="219">
        <v>17.97</v>
      </c>
      <c r="K20" s="218">
        <v>17.57</v>
      </c>
      <c r="L20" s="218">
        <v>16.23</v>
      </c>
      <c r="M20" s="218">
        <v>14.6</v>
      </c>
      <c r="N20" s="218">
        <v>14.51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34.0625</v>
      </c>
      <c r="D23" s="219">
        <v>34.625</v>
      </c>
      <c r="E23" s="219">
        <v>35.549999999999997</v>
      </c>
      <c r="F23" s="219">
        <v>36.799999999999997</v>
      </c>
      <c r="G23" s="219">
        <v>35.0625</v>
      </c>
      <c r="H23" s="219">
        <v>35.1</v>
      </c>
      <c r="I23" s="219">
        <v>33.549999999999997</v>
      </c>
      <c r="J23" s="219">
        <v>36.9375</v>
      </c>
      <c r="K23" s="219">
        <v>37.25</v>
      </c>
      <c r="L23" s="219">
        <v>38.9375</v>
      </c>
      <c r="M23" s="219">
        <v>39.25</v>
      </c>
      <c r="N23" s="219">
        <v>40.200000000000003</v>
      </c>
    </row>
    <row r="24" spans="1:14">
      <c r="A24" t="s">
        <v>302</v>
      </c>
      <c r="B24" t="s">
        <v>303</v>
      </c>
      <c r="C24" s="219">
        <v>53.6875</v>
      </c>
      <c r="D24" s="219">
        <v>54.4375</v>
      </c>
      <c r="E24" s="219">
        <v>67.75</v>
      </c>
      <c r="F24" s="219">
        <v>76.900000000000006</v>
      </c>
      <c r="G24" s="219">
        <v>68.375</v>
      </c>
      <c r="H24" s="219">
        <v>69.349999999999994</v>
      </c>
      <c r="I24" s="219">
        <v>70.849999999999994</v>
      </c>
      <c r="J24" s="219">
        <v>72.0625</v>
      </c>
      <c r="K24" s="219">
        <v>74.3</v>
      </c>
      <c r="L24" s="219">
        <v>70</v>
      </c>
      <c r="M24" s="219">
        <v>73.5</v>
      </c>
      <c r="N24" s="219">
        <v>78.2</v>
      </c>
    </row>
    <row r="25" spans="1:14">
      <c r="A25" t="s">
        <v>543</v>
      </c>
      <c r="B25" t="s">
        <v>303</v>
      </c>
      <c r="C25" s="219">
        <v>39.93</v>
      </c>
      <c r="D25" s="219">
        <v>40.29</v>
      </c>
      <c r="E25" s="219">
        <v>41.05</v>
      </c>
      <c r="F25" s="219">
        <v>42.12</v>
      </c>
      <c r="G25" s="219">
        <v>40.33</v>
      </c>
      <c r="H25" s="219">
        <v>39.94</v>
      </c>
      <c r="I25" s="219">
        <v>38.86</v>
      </c>
      <c r="J25" s="219">
        <v>39.06</v>
      </c>
      <c r="K25" s="219">
        <v>38.11</v>
      </c>
      <c r="L25" s="219">
        <v>36.22</v>
      </c>
      <c r="M25" s="218">
        <v>36.83</v>
      </c>
      <c r="N25" s="218">
        <v>38.119999999999997</v>
      </c>
    </row>
    <row r="26" spans="1:14">
      <c r="A26" t="s">
        <v>537</v>
      </c>
      <c r="B26" t="s">
        <v>303</v>
      </c>
      <c r="C26" s="219">
        <v>23.75</v>
      </c>
      <c r="D26" s="219">
        <v>25.34</v>
      </c>
      <c r="E26" s="219">
        <v>27.71</v>
      </c>
      <c r="F26" s="219">
        <v>30.11</v>
      </c>
      <c r="G26" s="219">
        <v>31.04</v>
      </c>
      <c r="H26" s="219">
        <v>27.94</v>
      </c>
      <c r="I26" s="219">
        <v>26.28</v>
      </c>
      <c r="J26" s="219">
        <v>25.8</v>
      </c>
      <c r="K26" s="219">
        <v>27.93</v>
      </c>
      <c r="L26" s="219">
        <v>28.68</v>
      </c>
      <c r="M26" s="219">
        <v>27.91</v>
      </c>
      <c r="N26" s="219">
        <v>26.49</v>
      </c>
    </row>
    <row r="27" spans="1:14">
      <c r="A27" t="s">
        <v>305</v>
      </c>
      <c r="B27" t="s">
        <v>303</v>
      </c>
      <c r="C27" s="219">
        <v>47.3125</v>
      </c>
      <c r="D27" s="219">
        <v>46.0625</v>
      </c>
      <c r="E27" s="219">
        <v>46.2</v>
      </c>
      <c r="F27" s="219">
        <v>47.35</v>
      </c>
      <c r="G27" s="219">
        <v>46.0625</v>
      </c>
      <c r="H27" s="219">
        <v>45.55</v>
      </c>
      <c r="I27" s="219">
        <v>44.75</v>
      </c>
      <c r="J27" s="219">
        <v>45.25</v>
      </c>
      <c r="K27" s="219">
        <v>44.15</v>
      </c>
      <c r="L27" s="219">
        <v>44.875</v>
      </c>
      <c r="M27" s="219">
        <v>45.8125</v>
      </c>
      <c r="N27" s="219">
        <v>46.4</v>
      </c>
    </row>
    <row r="28" spans="1:14">
      <c r="A28" t="s">
        <v>417</v>
      </c>
      <c r="B28" t="s">
        <v>303</v>
      </c>
      <c r="C28" s="219">
        <v>24</v>
      </c>
      <c r="D28" s="224" t="s">
        <v>317</v>
      </c>
      <c r="E28" s="219">
        <v>29</v>
      </c>
      <c r="F28" s="219">
        <v>33</v>
      </c>
      <c r="G28" s="224" t="s">
        <v>317</v>
      </c>
      <c r="H28" s="224" t="s">
        <v>317</v>
      </c>
      <c r="I28" s="224" t="s">
        <v>317</v>
      </c>
      <c r="J28" s="219">
        <v>36.53</v>
      </c>
      <c r="K28" s="219">
        <v>36.75</v>
      </c>
      <c r="L28" s="219">
        <v>34</v>
      </c>
      <c r="M28" s="224" t="s">
        <v>317</v>
      </c>
      <c r="N28" s="219">
        <v>31</v>
      </c>
    </row>
    <row r="29" spans="1:14">
      <c r="A29" t="s">
        <v>306</v>
      </c>
      <c r="B29" t="s">
        <v>303</v>
      </c>
      <c r="C29" s="219">
        <v>30.0625</v>
      </c>
      <c r="D29" s="219">
        <v>31.4375</v>
      </c>
      <c r="E29" s="219">
        <v>32.799999999999997</v>
      </c>
      <c r="F29" s="219">
        <v>35.35</v>
      </c>
      <c r="G29" s="219">
        <v>34.9375</v>
      </c>
      <c r="H29" s="219">
        <v>33</v>
      </c>
      <c r="I29" s="219">
        <v>31.45</v>
      </c>
      <c r="J29" s="219">
        <v>35.25</v>
      </c>
      <c r="K29" s="219">
        <v>36.85</v>
      </c>
      <c r="L29" s="219">
        <v>36.4375</v>
      </c>
      <c r="M29" s="219">
        <v>37.125</v>
      </c>
      <c r="N29" s="219">
        <v>37.950000000000003</v>
      </c>
    </row>
    <row r="30" spans="1:14">
      <c r="A30" t="s">
        <v>491</v>
      </c>
      <c r="B30" t="s">
        <v>303</v>
      </c>
      <c r="C30" s="219">
        <v>34.9375</v>
      </c>
      <c r="D30" s="219">
        <v>35.8125</v>
      </c>
      <c r="E30" s="219">
        <v>36.65</v>
      </c>
      <c r="F30" s="219">
        <v>38.299999999999997</v>
      </c>
      <c r="G30" s="219">
        <v>37.4375</v>
      </c>
      <c r="H30" s="219">
        <v>36.049999999999997</v>
      </c>
      <c r="I30" s="219">
        <v>34.799999999999997</v>
      </c>
      <c r="J30" s="219">
        <v>37.3125</v>
      </c>
      <c r="K30" s="219">
        <v>39.25</v>
      </c>
      <c r="L30" s="219">
        <v>40.0625</v>
      </c>
      <c r="M30" s="219">
        <v>40.5</v>
      </c>
      <c r="N30" s="219">
        <v>41.3</v>
      </c>
    </row>
    <row r="31" spans="1:14">
      <c r="A31" t="s">
        <v>307</v>
      </c>
      <c r="B31" t="s">
        <v>303</v>
      </c>
      <c r="C31" s="219">
        <v>56.1875</v>
      </c>
      <c r="D31" s="219">
        <v>55</v>
      </c>
      <c r="E31" s="219">
        <v>55.55</v>
      </c>
      <c r="F31" s="219">
        <v>56.2</v>
      </c>
      <c r="G31" s="219">
        <v>61.375</v>
      </c>
      <c r="H31" s="219">
        <v>61.1</v>
      </c>
      <c r="I31" s="219">
        <v>62.1</v>
      </c>
      <c r="J31" s="219">
        <v>61</v>
      </c>
      <c r="K31" s="219">
        <v>61.6</v>
      </c>
      <c r="L31" s="219">
        <v>64.875</v>
      </c>
      <c r="M31" s="219">
        <v>66</v>
      </c>
      <c r="N31" s="219">
        <v>63.1</v>
      </c>
    </row>
    <row r="32" spans="1:14" s="218" customFormat="1">
      <c r="A32" t="s">
        <v>308</v>
      </c>
      <c r="B32" t="s">
        <v>303</v>
      </c>
      <c r="C32" s="219">
        <v>28.89</v>
      </c>
      <c r="D32" s="219">
        <v>29.79</v>
      </c>
      <c r="E32" s="219">
        <v>30.86</v>
      </c>
      <c r="F32" s="219">
        <v>32.450000000000003</v>
      </c>
      <c r="G32" s="219">
        <v>30.76</v>
      </c>
      <c r="H32" s="219">
        <v>30.35</v>
      </c>
      <c r="I32" s="219">
        <v>28.75</v>
      </c>
      <c r="J32" s="219">
        <v>31.21</v>
      </c>
      <c r="K32" s="219">
        <v>31.99</v>
      </c>
      <c r="L32" s="219">
        <v>33.86</v>
      </c>
      <c r="M32" s="218">
        <v>34.520000000000003</v>
      </c>
      <c r="N32" s="218">
        <v>35.57</v>
      </c>
    </row>
    <row r="33" spans="1:15">
      <c r="A33" t="s">
        <v>309</v>
      </c>
      <c r="B33" t="s">
        <v>303</v>
      </c>
      <c r="C33" s="219">
        <v>58</v>
      </c>
      <c r="D33" s="219">
        <v>54.25</v>
      </c>
      <c r="E33" s="219">
        <v>53.8</v>
      </c>
      <c r="F33" s="219">
        <v>53.8</v>
      </c>
      <c r="G33" s="219">
        <v>54</v>
      </c>
      <c r="H33" s="219">
        <v>54.2</v>
      </c>
      <c r="I33" s="219">
        <v>55.2</v>
      </c>
      <c r="J33" s="219">
        <v>56</v>
      </c>
      <c r="K33" s="219">
        <v>56</v>
      </c>
      <c r="L33" s="219">
        <v>56</v>
      </c>
      <c r="M33" s="219">
        <v>56</v>
      </c>
      <c r="N33" s="219">
        <v>56</v>
      </c>
    </row>
    <row r="34" spans="1:15">
      <c r="A34" t="s">
        <v>415</v>
      </c>
      <c r="B34" t="s">
        <v>303</v>
      </c>
      <c r="C34" s="219">
        <v>24.1</v>
      </c>
      <c r="D34" s="219">
        <v>29.41</v>
      </c>
      <c r="E34" s="219">
        <v>35</v>
      </c>
      <c r="F34" s="219">
        <v>39</v>
      </c>
      <c r="G34" s="219">
        <v>34.6</v>
      </c>
      <c r="H34" s="219">
        <v>33.54</v>
      </c>
      <c r="I34" s="219">
        <v>34</v>
      </c>
      <c r="J34" s="219">
        <v>33.25</v>
      </c>
      <c r="K34" s="219">
        <v>31.71</v>
      </c>
      <c r="L34" s="219">
        <v>32.25</v>
      </c>
      <c r="M34" s="219">
        <v>34.69</v>
      </c>
      <c r="N34" s="219">
        <v>34</v>
      </c>
    </row>
    <row r="35" spans="1:15">
      <c r="A35" s="117" t="s">
        <v>490</v>
      </c>
      <c r="B35" t="s">
        <v>303</v>
      </c>
      <c r="C35" s="219">
        <v>18.920000000000002</v>
      </c>
      <c r="D35" s="219">
        <v>20.47</v>
      </c>
      <c r="E35" s="219">
        <v>23.43</v>
      </c>
      <c r="F35" s="219">
        <v>26.72</v>
      </c>
      <c r="G35" s="219">
        <v>28.18</v>
      </c>
      <c r="H35" s="219">
        <v>26.97</v>
      </c>
      <c r="I35" s="219">
        <v>25.31</v>
      </c>
      <c r="J35" s="219">
        <v>24.25</v>
      </c>
      <c r="K35" s="219">
        <v>24.47</v>
      </c>
      <c r="L35" s="219">
        <v>24.13</v>
      </c>
      <c r="M35" s="219">
        <v>23.55</v>
      </c>
      <c r="N35" s="219">
        <v>23.67</v>
      </c>
      <c r="O35" s="63"/>
    </row>
    <row r="36" spans="1:15">
      <c r="A36" s="117" t="s">
        <v>485</v>
      </c>
      <c r="B36" s="117" t="s">
        <v>486</v>
      </c>
      <c r="C36" s="219">
        <v>2.7719999999999994</v>
      </c>
      <c r="D36" s="219">
        <v>2.8774999999999999</v>
      </c>
      <c r="E36" s="219">
        <v>3.07</v>
      </c>
      <c r="F36" s="219">
        <v>3.2039999999999997</v>
      </c>
      <c r="G36" s="219">
        <v>3.35</v>
      </c>
      <c r="H36" s="219">
        <v>3.355</v>
      </c>
      <c r="I36" s="219">
        <v>3.117</v>
      </c>
      <c r="J36" s="219">
        <v>3.3425000000000002</v>
      </c>
      <c r="K36" s="219">
        <v>3.3079999999999998</v>
      </c>
      <c r="L36" s="219">
        <v>3.2774999999999999</v>
      </c>
      <c r="M36" s="219">
        <v>3.4662500000000001</v>
      </c>
      <c r="N36" s="219">
        <v>3.5260000000000007</v>
      </c>
      <c r="O36" s="63"/>
    </row>
    <row r="37" spans="1:15">
      <c r="A37" s="218" t="s">
        <v>310</v>
      </c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</row>
    <row r="38" spans="1:15">
      <c r="A38" t="s">
        <v>414</v>
      </c>
      <c r="B38" t="s">
        <v>289</v>
      </c>
      <c r="C38" s="219">
        <v>231.76</v>
      </c>
      <c r="D38" s="219">
        <v>224.34</v>
      </c>
      <c r="E38" s="219">
        <v>228.87</v>
      </c>
      <c r="F38" s="219">
        <v>247.53</v>
      </c>
      <c r="G38" s="219">
        <v>329.01</v>
      </c>
      <c r="H38" s="219">
        <v>345.14</v>
      </c>
      <c r="I38" s="219">
        <v>306.02999999999997</v>
      </c>
      <c r="J38" s="219">
        <v>255.35</v>
      </c>
      <c r="K38" s="219">
        <v>231</v>
      </c>
      <c r="L38" s="219">
        <v>225.05</v>
      </c>
      <c r="M38" s="219">
        <v>234.78</v>
      </c>
      <c r="N38" s="219">
        <v>243.3</v>
      </c>
    </row>
    <row r="39" spans="1:15">
      <c r="A39" t="s">
        <v>311</v>
      </c>
      <c r="B39" t="s">
        <v>303</v>
      </c>
      <c r="C39" s="219">
        <v>248.75</v>
      </c>
      <c r="D39" s="219">
        <v>238.13</v>
      </c>
      <c r="E39" s="219">
        <v>216.5</v>
      </c>
      <c r="F39" s="219">
        <v>207.5</v>
      </c>
      <c r="G39" s="219">
        <v>242.5</v>
      </c>
      <c r="H39" s="219">
        <v>284</v>
      </c>
      <c r="I39" s="219">
        <v>280</v>
      </c>
      <c r="J39" s="219">
        <v>280</v>
      </c>
      <c r="K39" s="219">
        <v>285</v>
      </c>
      <c r="L39" s="219">
        <v>241.88</v>
      </c>
      <c r="M39" s="219">
        <v>221</v>
      </c>
      <c r="N39" s="219">
        <v>217.5</v>
      </c>
    </row>
    <row r="40" spans="1:15">
      <c r="A40" t="s">
        <v>393</v>
      </c>
      <c r="B40" t="s">
        <v>303</v>
      </c>
      <c r="C40" s="219">
        <v>195</v>
      </c>
      <c r="D40" s="219">
        <v>197.5</v>
      </c>
      <c r="E40" s="219">
        <v>195</v>
      </c>
      <c r="F40" s="219">
        <v>218.13</v>
      </c>
      <c r="G40" s="219">
        <v>301.5</v>
      </c>
      <c r="H40" s="219">
        <v>375.63</v>
      </c>
      <c r="I40" s="219">
        <v>364.38</v>
      </c>
      <c r="J40" s="219">
        <v>335</v>
      </c>
      <c r="K40" s="219">
        <v>316.25</v>
      </c>
      <c r="L40" s="219">
        <v>305.625</v>
      </c>
      <c r="M40" s="219">
        <v>296</v>
      </c>
      <c r="N40" s="219">
        <v>290</v>
      </c>
    </row>
    <row r="41" spans="1:15" s="218" customFormat="1">
      <c r="A41" t="s">
        <v>394</v>
      </c>
      <c r="B41" t="s">
        <v>303</v>
      </c>
      <c r="C41" s="218">
        <v>279.56</v>
      </c>
      <c r="D41" s="218">
        <v>273.61</v>
      </c>
      <c r="E41" s="218">
        <v>276.22000000000003</v>
      </c>
      <c r="F41" s="218">
        <v>303.81</v>
      </c>
      <c r="G41" s="218">
        <v>376.35</v>
      </c>
      <c r="H41" s="218">
        <v>408.57</v>
      </c>
      <c r="I41" s="218">
        <v>371.49</v>
      </c>
      <c r="J41" s="218">
        <v>340.8</v>
      </c>
      <c r="K41" s="218">
        <v>337.95</v>
      </c>
      <c r="L41" s="218">
        <v>323.27</v>
      </c>
      <c r="M41" s="218">
        <v>322.41000000000003</v>
      </c>
      <c r="N41" s="218">
        <v>321.02</v>
      </c>
    </row>
    <row r="42" spans="1:15">
      <c r="A42" t="s">
        <v>482</v>
      </c>
      <c r="B42" t="s">
        <v>303</v>
      </c>
      <c r="C42" s="219">
        <v>156.88</v>
      </c>
      <c r="D42" s="219">
        <v>131.88</v>
      </c>
      <c r="E42" s="219">
        <v>120</v>
      </c>
      <c r="F42" s="219">
        <v>109.38</v>
      </c>
      <c r="G42" s="219">
        <v>149.5</v>
      </c>
      <c r="H42" s="219">
        <v>165.63</v>
      </c>
      <c r="I42" s="219">
        <v>151.88</v>
      </c>
      <c r="J42" s="219">
        <v>141</v>
      </c>
      <c r="K42" s="219">
        <v>148.75</v>
      </c>
      <c r="L42" s="219">
        <v>148.75</v>
      </c>
      <c r="M42" s="219">
        <v>140.5</v>
      </c>
      <c r="N42" s="219">
        <v>145</v>
      </c>
    </row>
    <row r="43" spans="1:15">
      <c r="A43" s="218" t="s">
        <v>481</v>
      </c>
      <c r="B43" s="218" t="s">
        <v>312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</row>
    <row r="44" spans="1:15">
      <c r="A44" s="218" t="s">
        <v>313</v>
      </c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</row>
    <row r="45" spans="1:15">
      <c r="A45" t="s">
        <v>314</v>
      </c>
      <c r="B45" t="s">
        <v>303</v>
      </c>
      <c r="C45" s="224" t="s">
        <v>317</v>
      </c>
      <c r="D45" s="224" t="s">
        <v>317</v>
      </c>
      <c r="E45" s="224" t="s">
        <v>317</v>
      </c>
      <c r="F45" s="224" t="s">
        <v>317</v>
      </c>
      <c r="G45" s="224" t="s">
        <v>317</v>
      </c>
      <c r="H45" s="224" t="s">
        <v>317</v>
      </c>
      <c r="I45" s="224" t="s">
        <v>317</v>
      </c>
      <c r="J45" s="224" t="s">
        <v>317</v>
      </c>
      <c r="K45" s="224" t="s">
        <v>317</v>
      </c>
      <c r="L45" s="224" t="s">
        <v>317</v>
      </c>
      <c r="M45" s="224" t="s">
        <v>317</v>
      </c>
      <c r="N45" s="224" t="s">
        <v>317</v>
      </c>
    </row>
    <row r="46" spans="1:15">
      <c r="A46" s="218" t="s">
        <v>315</v>
      </c>
      <c r="B46" s="218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317</v>
      </c>
      <c r="D47" s="220">
        <v>319</v>
      </c>
      <c r="E47" s="220">
        <v>318.7</v>
      </c>
      <c r="F47" s="220">
        <v>320.10000000000002</v>
      </c>
      <c r="G47" s="220">
        <v>318</v>
      </c>
      <c r="H47" s="220">
        <v>323.2</v>
      </c>
      <c r="I47" s="220">
        <v>331.7</v>
      </c>
      <c r="J47" s="220">
        <v>335.5</v>
      </c>
      <c r="K47" s="220">
        <v>332.2</v>
      </c>
      <c r="L47" s="220">
        <v>332.7</v>
      </c>
      <c r="M47" s="220">
        <v>323.8</v>
      </c>
      <c r="N47" s="220">
        <v>317.60000000000002</v>
      </c>
    </row>
    <row r="48" spans="1:15">
      <c r="A48" t="s">
        <v>518</v>
      </c>
      <c r="B48" t="s">
        <v>303</v>
      </c>
      <c r="C48" s="220">
        <v>234.8</v>
      </c>
      <c r="D48" s="220">
        <v>237.6</v>
      </c>
      <c r="E48" s="220">
        <v>237.4</v>
      </c>
      <c r="F48" s="220">
        <v>239.6</v>
      </c>
      <c r="G48" s="220">
        <v>239.8</v>
      </c>
      <c r="H48" s="220">
        <v>244.4</v>
      </c>
      <c r="I48" s="220">
        <v>243.7</v>
      </c>
      <c r="J48" s="220">
        <v>244.7</v>
      </c>
      <c r="K48" s="220">
        <v>244</v>
      </c>
      <c r="L48" s="220">
        <v>246.4</v>
      </c>
      <c r="M48" s="220">
        <v>246.2</v>
      </c>
      <c r="N48" s="220">
        <v>249</v>
      </c>
    </row>
    <row r="49" spans="1:14">
      <c r="A49" t="s">
        <v>451</v>
      </c>
      <c r="B49" t="s">
        <v>303</v>
      </c>
      <c r="C49" s="220">
        <v>183.1</v>
      </c>
      <c r="D49" s="220">
        <v>195.8</v>
      </c>
      <c r="E49" s="220">
        <v>205.5</v>
      </c>
      <c r="F49" s="220">
        <v>212.6</v>
      </c>
      <c r="G49" s="220">
        <v>212.6</v>
      </c>
      <c r="H49" s="220">
        <v>212.6</v>
      </c>
      <c r="I49" s="220">
        <v>204.8</v>
      </c>
      <c r="J49" s="220">
        <v>204.7</v>
      </c>
      <c r="K49" s="220">
        <v>206.4</v>
      </c>
      <c r="L49" s="220">
        <v>214.3</v>
      </c>
      <c r="M49" s="220">
        <v>222.1</v>
      </c>
      <c r="N49" s="220">
        <v>234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135.80000000000001</v>
      </c>
      <c r="E50" s="225">
        <v>135.80000000000001</v>
      </c>
      <c r="F50" s="225">
        <v>135.80000000000001</v>
      </c>
      <c r="G50" s="225">
        <v>135.80000000000001</v>
      </c>
      <c r="H50" s="225">
        <v>135.80000000000001</v>
      </c>
      <c r="I50" s="225">
        <v>135.80000000000001</v>
      </c>
      <c r="J50" s="225">
        <v>135.80000000000001</v>
      </c>
      <c r="K50" s="225">
        <v>135.80000000000001</v>
      </c>
      <c r="L50" s="225">
        <v>135.80000000000001</v>
      </c>
      <c r="M50" s="225">
        <v>135.80000000000001</v>
      </c>
      <c r="N50" s="225">
        <v>135.80000000000001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O53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153"/>
      <c r="D2" s="314"/>
      <c r="E2" s="314"/>
      <c r="F2" s="314"/>
      <c r="G2" s="314"/>
      <c r="H2" s="333">
        <v>2017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17.3</v>
      </c>
      <c r="D6" s="219">
        <v>17.399999999999999</v>
      </c>
      <c r="E6" s="219">
        <v>17.600000000000001</v>
      </c>
      <c r="F6" s="219">
        <v>18</v>
      </c>
      <c r="G6" s="224">
        <v>16.8</v>
      </c>
      <c r="H6" s="219">
        <v>17.399999999999999</v>
      </c>
      <c r="I6" s="219">
        <v>17.8</v>
      </c>
      <c r="J6" s="219">
        <v>17.7</v>
      </c>
      <c r="K6" s="219">
        <v>17.3</v>
      </c>
      <c r="L6" s="219">
        <v>16.7</v>
      </c>
      <c r="M6" s="219">
        <v>17.2</v>
      </c>
      <c r="N6" s="219">
        <v>16.7</v>
      </c>
    </row>
    <row r="7" spans="1:14">
      <c r="A7" t="s">
        <v>293</v>
      </c>
      <c r="B7" t="s">
        <v>289</v>
      </c>
      <c r="C7" s="219">
        <v>199</v>
      </c>
      <c r="D7" s="219">
        <v>203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127</v>
      </c>
      <c r="K7" s="219">
        <v>124</v>
      </c>
      <c r="L7" s="219">
        <v>138</v>
      </c>
      <c r="M7" s="219">
        <v>144</v>
      </c>
      <c r="N7" s="219">
        <v>143</v>
      </c>
    </row>
    <row r="8" spans="1:14">
      <c r="A8" t="s">
        <v>294</v>
      </c>
      <c r="B8" t="s">
        <v>295</v>
      </c>
      <c r="C8" s="219">
        <v>8.26</v>
      </c>
      <c r="D8" s="219">
        <v>7.86</v>
      </c>
      <c r="E8" s="219">
        <v>8.34</v>
      </c>
      <c r="F8" s="219">
        <v>8.0299999999999994</v>
      </c>
      <c r="G8" s="219">
        <v>8.9600000000000009</v>
      </c>
      <c r="H8" s="219">
        <v>8.52</v>
      </c>
      <c r="I8" s="219">
        <v>8.4</v>
      </c>
      <c r="J8" s="219">
        <v>9.3000000000000007</v>
      </c>
      <c r="K8" s="219">
        <v>9.5500000000000007</v>
      </c>
      <c r="L8" s="219">
        <v>9.23</v>
      </c>
      <c r="M8" s="219">
        <v>9.2100000000000009</v>
      </c>
      <c r="N8" s="219">
        <v>9.34</v>
      </c>
    </row>
    <row r="9" spans="1:14">
      <c r="A9" t="s">
        <v>296</v>
      </c>
      <c r="B9" t="s">
        <v>297</v>
      </c>
      <c r="C9" s="219">
        <v>19.8</v>
      </c>
      <c r="D9" s="219">
        <v>20.100000000000001</v>
      </c>
      <c r="E9" s="219">
        <v>20.599999999999998</v>
      </c>
      <c r="F9" s="219">
        <v>19.8</v>
      </c>
      <c r="G9" s="219">
        <v>19.400000000000002</v>
      </c>
      <c r="H9" s="219">
        <v>19.7</v>
      </c>
      <c r="I9" s="219">
        <v>20.5</v>
      </c>
      <c r="J9" s="219">
        <v>19.8</v>
      </c>
      <c r="K9" s="219">
        <v>23</v>
      </c>
      <c r="L9" s="219">
        <v>23.7</v>
      </c>
      <c r="M9" s="219">
        <v>23.200000000000003</v>
      </c>
      <c r="N9" s="219">
        <v>24.099999999999998</v>
      </c>
    </row>
    <row r="10" spans="1:14">
      <c r="A10" t="s">
        <v>298</v>
      </c>
      <c r="B10" t="s">
        <v>295</v>
      </c>
      <c r="C10" s="219">
        <v>9.7100000000000009</v>
      </c>
      <c r="D10" s="219">
        <v>9.86</v>
      </c>
      <c r="E10" s="219">
        <v>9.69</v>
      </c>
      <c r="F10" s="219">
        <v>9.33</v>
      </c>
      <c r="G10" s="219">
        <v>9.2899999999999991</v>
      </c>
      <c r="H10" s="219">
        <v>9.1</v>
      </c>
      <c r="I10" s="219">
        <v>9.42</v>
      </c>
      <c r="J10" s="219">
        <v>9.24</v>
      </c>
      <c r="K10" s="219">
        <v>9.35</v>
      </c>
      <c r="L10" s="219">
        <v>9.18</v>
      </c>
      <c r="M10" s="219">
        <v>9.2200000000000006</v>
      </c>
      <c r="N10" s="219">
        <v>9.3000000000000007</v>
      </c>
    </row>
    <row r="11" spans="1:14">
      <c r="A11" t="s">
        <v>588</v>
      </c>
      <c r="B11" t="s">
        <v>299</v>
      </c>
      <c r="C11" s="219">
        <v>17.2</v>
      </c>
      <c r="D11" s="219">
        <v>17.600000000000001</v>
      </c>
      <c r="E11" s="219">
        <v>17.399999999999999</v>
      </c>
      <c r="F11" s="219">
        <v>17.899999999999999</v>
      </c>
      <c r="G11" s="219">
        <v>17.3</v>
      </c>
      <c r="H11" s="219">
        <v>17.600000000000001</v>
      </c>
      <c r="I11" s="219">
        <v>17.899999999999999</v>
      </c>
      <c r="J11" s="219">
        <v>19.100000000000001</v>
      </c>
      <c r="K11" s="219">
        <v>17.399999999999999</v>
      </c>
      <c r="L11" s="219">
        <v>16.8</v>
      </c>
      <c r="M11" s="219">
        <v>16.600000000000001</v>
      </c>
      <c r="N11" s="219">
        <v>17</v>
      </c>
    </row>
    <row r="12" spans="1:14">
      <c r="A12" t="s">
        <v>589</v>
      </c>
      <c r="B12" t="s">
        <v>299</v>
      </c>
      <c r="C12" s="219">
        <v>17.100000000000001</v>
      </c>
      <c r="D12" s="219">
        <v>17.3</v>
      </c>
      <c r="E12" s="219">
        <v>16.8</v>
      </c>
      <c r="F12" s="219">
        <v>17.3</v>
      </c>
      <c r="G12" s="219">
        <v>16.100000000000001</v>
      </c>
      <c r="H12" s="219">
        <v>17.100000000000001</v>
      </c>
      <c r="I12" s="219">
        <v>17.7</v>
      </c>
      <c r="J12" s="219">
        <v>18.5</v>
      </c>
      <c r="K12" s="224" t="s">
        <v>317</v>
      </c>
      <c r="L12" s="224" t="s">
        <v>317</v>
      </c>
      <c r="M12" s="224" t="s">
        <v>317</v>
      </c>
      <c r="N12" s="224" t="s">
        <v>317</v>
      </c>
    </row>
    <row r="13" spans="1:14">
      <c r="A13" t="s">
        <v>590</v>
      </c>
      <c r="B13" t="s">
        <v>299</v>
      </c>
      <c r="C13" s="219">
        <v>18.899999999999999</v>
      </c>
      <c r="D13" s="219">
        <v>20.6</v>
      </c>
      <c r="E13" s="219">
        <v>21.4</v>
      </c>
      <c r="F13" s="219">
        <v>22.6</v>
      </c>
      <c r="G13" s="219">
        <v>23.3</v>
      </c>
      <c r="H13" s="219">
        <v>20.9</v>
      </c>
      <c r="I13" s="219">
        <v>19.8</v>
      </c>
      <c r="J13" s="219">
        <v>23.1</v>
      </c>
      <c r="K13" s="224" t="s">
        <v>317</v>
      </c>
      <c r="L13" s="224" t="s">
        <v>317</v>
      </c>
      <c r="M13" s="224" t="s">
        <v>317</v>
      </c>
      <c r="N13" s="224" t="s">
        <v>317</v>
      </c>
    </row>
    <row r="14" spans="1:14" s="218" customFormat="1">
      <c r="A14" s="218" t="s">
        <v>475</v>
      </c>
    </row>
    <row r="15" spans="1:14">
      <c r="A15" t="s">
        <v>473</v>
      </c>
      <c r="B15" t="s">
        <v>299</v>
      </c>
      <c r="C15" s="219">
        <v>17.14</v>
      </c>
      <c r="D15" s="219">
        <v>17.34</v>
      </c>
      <c r="E15" s="219">
        <v>16.559999999999999</v>
      </c>
      <c r="F15" s="219">
        <v>17</v>
      </c>
      <c r="G15" s="219">
        <v>17.47</v>
      </c>
      <c r="H15" s="219">
        <v>17.690000000000001</v>
      </c>
      <c r="I15" s="219">
        <v>18.54</v>
      </c>
      <c r="J15" s="219">
        <v>17.559999999999999</v>
      </c>
      <c r="K15" s="219">
        <v>17.41</v>
      </c>
      <c r="L15" s="219">
        <v>17.48</v>
      </c>
      <c r="M15" s="219">
        <v>17.71</v>
      </c>
      <c r="N15" s="219">
        <v>17.27</v>
      </c>
    </row>
    <row r="16" spans="1:14">
      <c r="A16" t="s">
        <v>474</v>
      </c>
      <c r="B16" t="s">
        <v>289</v>
      </c>
      <c r="C16" s="219">
        <v>199.2</v>
      </c>
      <c r="D16" s="219">
        <v>194.5</v>
      </c>
      <c r="E16" s="219">
        <v>180.75</v>
      </c>
      <c r="F16" s="219">
        <v>178</v>
      </c>
      <c r="G16" s="219">
        <v>178.8</v>
      </c>
      <c r="H16" s="219">
        <v>194.75</v>
      </c>
      <c r="I16" s="219">
        <v>201.67</v>
      </c>
      <c r="J16" s="219">
        <v>198</v>
      </c>
      <c r="K16" s="219">
        <v>221.25</v>
      </c>
      <c r="L16" s="219">
        <v>154</v>
      </c>
      <c r="M16" s="219">
        <v>136.25</v>
      </c>
      <c r="N16" s="219">
        <v>144.33000000000001</v>
      </c>
    </row>
    <row r="17" spans="1:14">
      <c r="A17" t="s">
        <v>480</v>
      </c>
      <c r="B17" t="s">
        <v>295</v>
      </c>
      <c r="C17" s="219">
        <v>9.5</v>
      </c>
      <c r="D17" s="219">
        <v>9.5</v>
      </c>
      <c r="E17" s="219">
        <v>9.66</v>
      </c>
      <c r="F17" s="219">
        <v>9.25</v>
      </c>
      <c r="G17" s="219">
        <v>9.2799999999999994</v>
      </c>
      <c r="H17" s="219">
        <v>9.25</v>
      </c>
      <c r="I17" s="219">
        <v>9.31</v>
      </c>
      <c r="J17" s="219">
        <v>9.99</v>
      </c>
      <c r="K17" s="219">
        <v>10.52</v>
      </c>
      <c r="L17" s="219">
        <v>10.55</v>
      </c>
      <c r="M17" s="219">
        <v>10.3</v>
      </c>
      <c r="N17" s="219">
        <v>10.3</v>
      </c>
    </row>
    <row r="18" spans="1:14">
      <c r="A18" t="s">
        <v>472</v>
      </c>
      <c r="B18" t="s">
        <v>295</v>
      </c>
      <c r="C18" s="219">
        <v>10.09</v>
      </c>
      <c r="D18" s="219">
        <v>10.06</v>
      </c>
      <c r="E18" s="219">
        <v>9.6300000000000008</v>
      </c>
      <c r="F18" s="219">
        <v>9.1300000000000008</v>
      </c>
      <c r="G18" s="219">
        <v>9.24</v>
      </c>
      <c r="H18" s="219">
        <v>8.99</v>
      </c>
      <c r="I18" s="219">
        <v>9.66</v>
      </c>
      <c r="J18" s="219">
        <v>9.18</v>
      </c>
      <c r="K18" s="219">
        <v>9.34</v>
      </c>
      <c r="L18" s="219">
        <v>9.32</v>
      </c>
      <c r="M18" s="219">
        <v>9.42</v>
      </c>
      <c r="N18" s="219">
        <v>9.3800000000000008</v>
      </c>
    </row>
    <row r="19" spans="1:14">
      <c r="A19" t="s">
        <v>471</v>
      </c>
      <c r="B19" t="s">
        <v>295</v>
      </c>
      <c r="C19" s="219">
        <v>10.74</v>
      </c>
      <c r="D19" s="219">
        <v>10.7</v>
      </c>
      <c r="E19" s="219">
        <v>10.29</v>
      </c>
      <c r="F19" s="219">
        <v>9.73</v>
      </c>
      <c r="G19" s="219">
        <v>9.94</v>
      </c>
      <c r="H19" s="219">
        <v>9.58</v>
      </c>
      <c r="I19" s="219">
        <v>10.32</v>
      </c>
      <c r="J19" s="219">
        <v>9.9499999999999993</v>
      </c>
      <c r="K19" s="219">
        <v>10.09</v>
      </c>
      <c r="L19" s="219">
        <v>10.050000000000001</v>
      </c>
      <c r="M19" s="219">
        <v>10.06</v>
      </c>
      <c r="N19" s="219">
        <v>9.9600000000000009</v>
      </c>
    </row>
    <row r="20" spans="1:14">
      <c r="A20" t="s">
        <v>476</v>
      </c>
      <c r="B20" t="s">
        <v>299</v>
      </c>
      <c r="C20" s="219">
        <v>15.09</v>
      </c>
      <c r="D20" s="219">
        <v>15.16</v>
      </c>
      <c r="E20" s="219">
        <v>14.9</v>
      </c>
      <c r="F20" s="219">
        <v>14.9</v>
      </c>
      <c r="G20" s="219">
        <v>15.26</v>
      </c>
      <c r="H20" s="219">
        <v>15.6</v>
      </c>
      <c r="I20" s="219">
        <v>17.16</v>
      </c>
      <c r="J20" s="219">
        <v>17.510000000000002</v>
      </c>
      <c r="K20" s="218">
        <v>16.98</v>
      </c>
      <c r="L20" s="218">
        <v>16.82</v>
      </c>
      <c r="M20" s="218">
        <v>17.37</v>
      </c>
      <c r="N20" s="218">
        <v>17.43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38.6875</v>
      </c>
      <c r="D23" s="219">
        <v>37.25</v>
      </c>
      <c r="E23" s="219">
        <v>37.299999999999997</v>
      </c>
      <c r="F23" s="219">
        <v>36.125</v>
      </c>
      <c r="G23" s="219">
        <v>37.0625</v>
      </c>
      <c r="H23" s="219">
        <v>37.85</v>
      </c>
      <c r="I23" s="219">
        <v>39.75</v>
      </c>
      <c r="J23" s="219">
        <v>41.1875</v>
      </c>
      <c r="K23" s="219">
        <v>41.15</v>
      </c>
      <c r="L23" s="219">
        <v>39.0625</v>
      </c>
      <c r="M23" s="219">
        <v>39.6875</v>
      </c>
      <c r="N23" s="219">
        <v>38.65</v>
      </c>
    </row>
    <row r="24" spans="1:14">
      <c r="A24" t="s">
        <v>302</v>
      </c>
      <c r="B24" t="s">
        <v>303</v>
      </c>
      <c r="C24" s="219">
        <v>83.625</v>
      </c>
      <c r="D24" s="219">
        <v>90</v>
      </c>
      <c r="E24" s="219">
        <v>73.900000000000006</v>
      </c>
      <c r="F24" s="219">
        <v>82.8125</v>
      </c>
      <c r="G24" s="219">
        <v>84</v>
      </c>
      <c r="H24" s="219">
        <v>83.6</v>
      </c>
      <c r="I24" s="219">
        <v>81</v>
      </c>
      <c r="J24" s="219">
        <v>85.875</v>
      </c>
      <c r="K24" s="219">
        <v>86.625</v>
      </c>
      <c r="L24" s="219">
        <v>68.5</v>
      </c>
      <c r="M24" s="219">
        <v>72.25</v>
      </c>
      <c r="N24" s="219">
        <v>72.099999999999994</v>
      </c>
    </row>
    <row r="25" spans="1:14">
      <c r="A25" t="s">
        <v>543</v>
      </c>
      <c r="B25" t="s">
        <v>303</v>
      </c>
      <c r="C25" s="219">
        <v>37.89</v>
      </c>
      <c r="D25" s="219">
        <v>38.11</v>
      </c>
      <c r="E25" s="219">
        <v>37.9</v>
      </c>
      <c r="F25" s="219">
        <v>37.630000000000003</v>
      </c>
      <c r="G25" s="219">
        <v>37.71</v>
      </c>
      <c r="H25" s="219">
        <v>38</v>
      </c>
      <c r="I25" s="219">
        <v>37.53</v>
      </c>
      <c r="J25" s="219">
        <v>36.75</v>
      </c>
      <c r="K25" s="219">
        <v>36.479999999999997</v>
      </c>
      <c r="L25" s="219">
        <v>34.96</v>
      </c>
      <c r="M25" s="218">
        <v>34.46</v>
      </c>
      <c r="N25" s="218">
        <v>33.96</v>
      </c>
    </row>
    <row r="26" spans="1:14">
      <c r="A26" t="s">
        <v>537</v>
      </c>
      <c r="B26" t="s">
        <v>303</v>
      </c>
      <c r="C26" s="219">
        <v>26.5625</v>
      </c>
      <c r="D26" s="219">
        <v>27.236842105263158</v>
      </c>
      <c r="E26" s="219">
        <v>28.01</v>
      </c>
      <c r="F26" s="219">
        <v>27.29</v>
      </c>
      <c r="G26" s="219">
        <v>29.26</v>
      </c>
      <c r="H26" s="219">
        <v>29.97</v>
      </c>
      <c r="I26" s="219">
        <v>28.71</v>
      </c>
      <c r="J26" s="219">
        <v>28.43</v>
      </c>
      <c r="K26" s="219">
        <v>29.05</v>
      </c>
      <c r="L26" s="219">
        <v>27.07</v>
      </c>
      <c r="M26" s="219">
        <v>26.06</v>
      </c>
      <c r="N26" s="219">
        <v>24.2</v>
      </c>
    </row>
    <row r="27" spans="1:14">
      <c r="A27" t="s">
        <v>305</v>
      </c>
      <c r="B27" t="s">
        <v>303</v>
      </c>
      <c r="C27" s="219">
        <v>44.5625</v>
      </c>
      <c r="D27" s="219">
        <v>41.5</v>
      </c>
      <c r="E27" s="219">
        <v>39.450000000000003</v>
      </c>
      <c r="F27" s="219">
        <v>37.5625</v>
      </c>
      <c r="G27" s="219">
        <v>38.625</v>
      </c>
      <c r="H27" s="219">
        <v>38.6</v>
      </c>
      <c r="I27" s="219">
        <v>38.875</v>
      </c>
      <c r="J27" s="219">
        <v>36.375</v>
      </c>
      <c r="K27" s="219">
        <v>38.450000000000003</v>
      </c>
      <c r="L27" s="219">
        <v>37.0625</v>
      </c>
      <c r="M27" s="219">
        <v>37</v>
      </c>
      <c r="N27" s="219">
        <v>34.25</v>
      </c>
    </row>
    <row r="28" spans="1:14">
      <c r="A28" t="s">
        <v>417</v>
      </c>
      <c r="B28" t="s">
        <v>303</v>
      </c>
      <c r="C28" s="219">
        <v>30.1</v>
      </c>
      <c r="D28" s="224" t="s">
        <v>317</v>
      </c>
      <c r="E28" s="224" t="s">
        <v>317</v>
      </c>
      <c r="F28" s="224" t="s">
        <v>317</v>
      </c>
      <c r="G28" s="224" t="s">
        <v>317</v>
      </c>
      <c r="H28" s="224">
        <v>34.5</v>
      </c>
      <c r="I28" s="224" t="s">
        <v>317</v>
      </c>
      <c r="J28" s="224" t="s">
        <v>317</v>
      </c>
      <c r="K28" s="219">
        <v>35.75</v>
      </c>
      <c r="L28" s="219">
        <v>36</v>
      </c>
      <c r="M28" s="219">
        <v>38.17</v>
      </c>
      <c r="N28" s="219">
        <v>37</v>
      </c>
    </row>
    <row r="29" spans="1:14">
      <c r="A29" t="s">
        <v>306</v>
      </c>
      <c r="B29" t="s">
        <v>303</v>
      </c>
      <c r="C29" s="219">
        <v>37.75</v>
      </c>
      <c r="D29" s="219">
        <v>37.375</v>
      </c>
      <c r="E29" s="219">
        <v>35.9</v>
      </c>
      <c r="F29" s="219">
        <v>34.0625</v>
      </c>
      <c r="G29" s="219">
        <v>36.3125</v>
      </c>
      <c r="H29" s="219">
        <v>35.049999999999997</v>
      </c>
      <c r="I29" s="219">
        <v>35.1875</v>
      </c>
      <c r="J29" s="219">
        <v>35.0625</v>
      </c>
      <c r="K29" s="219">
        <v>36.4375</v>
      </c>
      <c r="L29" s="219">
        <v>36.1875</v>
      </c>
      <c r="M29" s="219">
        <v>35.4375</v>
      </c>
      <c r="N29" s="219">
        <v>33.25</v>
      </c>
    </row>
    <row r="30" spans="1:14">
      <c r="A30" t="s">
        <v>491</v>
      </c>
      <c r="B30" t="s">
        <v>303</v>
      </c>
      <c r="C30" s="219">
        <v>40.375</v>
      </c>
      <c r="D30" s="219">
        <v>39.5625</v>
      </c>
      <c r="E30" s="219">
        <v>38.5</v>
      </c>
      <c r="F30" s="219">
        <v>37.375</v>
      </c>
      <c r="G30" s="219">
        <v>39.0625</v>
      </c>
      <c r="H30" s="219">
        <v>38.299999999999997</v>
      </c>
      <c r="I30" s="219">
        <v>39</v>
      </c>
      <c r="J30" s="219">
        <v>39.625</v>
      </c>
      <c r="K30" s="219">
        <v>39.6875</v>
      </c>
      <c r="L30" s="219">
        <v>38.9375</v>
      </c>
      <c r="M30" s="219">
        <v>36.875</v>
      </c>
      <c r="N30" s="219">
        <v>45.75</v>
      </c>
    </row>
    <row r="31" spans="1:14">
      <c r="A31" t="s">
        <v>307</v>
      </c>
      <c r="B31" t="s">
        <v>303</v>
      </c>
      <c r="C31" s="219">
        <v>62.875</v>
      </c>
      <c r="D31" s="219">
        <v>63.125</v>
      </c>
      <c r="E31" s="219">
        <v>65.8</v>
      </c>
      <c r="F31" s="219">
        <v>69.6875</v>
      </c>
      <c r="G31" s="219">
        <v>70.75</v>
      </c>
      <c r="H31" s="219">
        <v>76.2</v>
      </c>
      <c r="I31" s="219">
        <v>75.75</v>
      </c>
      <c r="J31" s="219">
        <v>69.625</v>
      </c>
      <c r="K31" s="219">
        <v>66.599999999999994</v>
      </c>
      <c r="L31" s="219">
        <v>65.4375</v>
      </c>
      <c r="M31" s="219">
        <v>65</v>
      </c>
      <c r="N31" s="219">
        <v>65.2</v>
      </c>
    </row>
    <row r="32" spans="1:14">
      <c r="A32" t="s">
        <v>308</v>
      </c>
      <c r="B32" t="s">
        <v>303</v>
      </c>
      <c r="C32" s="219">
        <v>33.58</v>
      </c>
      <c r="D32" s="219">
        <v>32</v>
      </c>
      <c r="E32" s="219">
        <v>30.86</v>
      </c>
      <c r="F32" s="219">
        <v>29.57</v>
      </c>
      <c r="G32" s="219">
        <v>30.6</v>
      </c>
      <c r="H32" s="219">
        <v>30.74</v>
      </c>
      <c r="I32" s="219">
        <v>32.82</v>
      </c>
      <c r="J32" s="219">
        <v>33.17</v>
      </c>
      <c r="K32" s="219">
        <v>33.28</v>
      </c>
      <c r="L32" s="219">
        <v>32.35</v>
      </c>
      <c r="M32" s="218">
        <v>33.43</v>
      </c>
      <c r="N32" s="218">
        <v>32.270000000000003</v>
      </c>
    </row>
    <row r="33" spans="1:15">
      <c r="A33" t="s">
        <v>309</v>
      </c>
      <c r="B33" t="s">
        <v>303</v>
      </c>
      <c r="C33" s="219">
        <v>56</v>
      </c>
      <c r="D33" s="219">
        <v>55</v>
      </c>
      <c r="E33" s="219">
        <v>52</v>
      </c>
      <c r="F33" s="219">
        <v>51</v>
      </c>
      <c r="G33" s="219">
        <v>50.5</v>
      </c>
      <c r="H33" s="219">
        <v>50.8</v>
      </c>
      <c r="I33" s="219">
        <v>51.25</v>
      </c>
      <c r="J33" s="219">
        <v>52.75</v>
      </c>
      <c r="K33" s="219">
        <v>55.2</v>
      </c>
      <c r="L33" s="219">
        <v>56</v>
      </c>
      <c r="M33" s="219">
        <v>55.5</v>
      </c>
      <c r="N33" s="219">
        <v>54.8</v>
      </c>
    </row>
    <row r="34" spans="1:15">
      <c r="A34" t="s">
        <v>415</v>
      </c>
      <c r="B34" t="s">
        <v>303</v>
      </c>
      <c r="C34" s="219">
        <v>34</v>
      </c>
      <c r="D34" s="219">
        <v>34.5</v>
      </c>
      <c r="E34" s="219">
        <v>33.799999999999997</v>
      </c>
      <c r="F34" s="219">
        <v>33.5</v>
      </c>
      <c r="G34" s="219">
        <v>35.909999999999997</v>
      </c>
      <c r="H34" s="219">
        <v>36.6</v>
      </c>
      <c r="I34" s="219">
        <v>36.89</v>
      </c>
      <c r="J34" s="219">
        <v>35.78</v>
      </c>
      <c r="K34" s="219">
        <v>35.08</v>
      </c>
      <c r="L34" s="219">
        <v>32.06</v>
      </c>
      <c r="M34" s="219">
        <v>33.44</v>
      </c>
      <c r="N34" s="219">
        <v>31.63</v>
      </c>
    </row>
    <row r="35" spans="1:15">
      <c r="A35" s="117" t="s">
        <v>490</v>
      </c>
      <c r="B35" t="s">
        <v>303</v>
      </c>
      <c r="C35" s="219">
        <v>23.28</v>
      </c>
      <c r="D35" s="219">
        <v>23.53</v>
      </c>
      <c r="E35" s="219">
        <v>24</v>
      </c>
      <c r="F35" s="219">
        <v>24.69</v>
      </c>
      <c r="G35" s="219">
        <v>25.93</v>
      </c>
      <c r="H35" s="219">
        <v>27.72</v>
      </c>
      <c r="I35" s="219">
        <v>27.78</v>
      </c>
      <c r="J35" s="219">
        <v>28.05</v>
      </c>
      <c r="K35" s="219">
        <v>28.16</v>
      </c>
      <c r="L35" s="219">
        <v>25</v>
      </c>
      <c r="M35" s="219">
        <v>23.63</v>
      </c>
      <c r="N35" s="219">
        <v>19.170000000000002</v>
      </c>
      <c r="O35" s="63"/>
    </row>
    <row r="36" spans="1:15">
      <c r="A36" s="117" t="s">
        <v>485</v>
      </c>
      <c r="B36" s="117" t="s">
        <v>486</v>
      </c>
      <c r="C36" s="219">
        <v>3.1524999999999999</v>
      </c>
      <c r="D36" s="219">
        <v>3.0574999999999997</v>
      </c>
      <c r="E36" s="219">
        <v>3.0819999999999999</v>
      </c>
      <c r="F36" s="219">
        <v>3.0662499999999997</v>
      </c>
      <c r="G36" s="219">
        <v>3.2050000000000001</v>
      </c>
      <c r="H36" s="219">
        <v>3.1399999999999997</v>
      </c>
      <c r="I36" s="219">
        <v>3.23875</v>
      </c>
      <c r="J36" s="219">
        <v>3.2499999999999996</v>
      </c>
      <c r="K36" s="219">
        <v>3.2570000000000001</v>
      </c>
      <c r="L36" s="219">
        <v>3.18</v>
      </c>
      <c r="M36" s="219">
        <v>3.2287499999999998</v>
      </c>
      <c r="N36" s="219">
        <v>3.0960000000000001</v>
      </c>
      <c r="O36" s="63"/>
    </row>
    <row r="37" spans="1:15" s="218" customFormat="1">
      <c r="A37" s="218" t="s">
        <v>310</v>
      </c>
    </row>
    <row r="38" spans="1:15">
      <c r="A38" t="s">
        <v>414</v>
      </c>
      <c r="B38" t="s">
        <v>289</v>
      </c>
      <c r="C38" s="219">
        <v>267.41000000000003</v>
      </c>
      <c r="D38" s="219">
        <v>276.89999999999998</v>
      </c>
      <c r="E38" s="219">
        <v>276.33</v>
      </c>
      <c r="F38" s="219">
        <v>270.66000000000003</v>
      </c>
      <c r="G38" s="219">
        <v>279.64</v>
      </c>
      <c r="H38" s="219">
        <v>281.66000000000003</v>
      </c>
      <c r="I38" s="219">
        <v>307.73</v>
      </c>
      <c r="J38" s="219">
        <v>289.45</v>
      </c>
      <c r="K38" s="219">
        <v>262.33</v>
      </c>
      <c r="L38" s="219">
        <v>257.73</v>
      </c>
      <c r="M38" s="219">
        <v>255.74</v>
      </c>
      <c r="N38" s="219">
        <v>266.52999999999997</v>
      </c>
    </row>
    <row r="39" spans="1:15">
      <c r="A39" t="s">
        <v>311</v>
      </c>
      <c r="B39" t="s">
        <v>303</v>
      </c>
      <c r="C39" s="219">
        <v>223.5</v>
      </c>
      <c r="D39" s="219">
        <v>221.88</v>
      </c>
      <c r="E39" s="219">
        <v>210.63</v>
      </c>
      <c r="F39" s="219">
        <v>195</v>
      </c>
      <c r="G39" s="219">
        <v>179.5</v>
      </c>
      <c r="H39" s="219">
        <v>179.38</v>
      </c>
      <c r="I39" s="219">
        <v>200.83</v>
      </c>
      <c r="J39" s="219">
        <v>198.5</v>
      </c>
      <c r="K39" s="219">
        <v>213.75</v>
      </c>
      <c r="L39" s="219">
        <v>229</v>
      </c>
      <c r="M39" s="219">
        <v>228.75</v>
      </c>
      <c r="N39" s="219">
        <v>232.5</v>
      </c>
    </row>
    <row r="40" spans="1:15">
      <c r="A40" t="s">
        <v>393</v>
      </c>
      <c r="B40" t="s">
        <v>303</v>
      </c>
      <c r="C40" s="219">
        <v>297</v>
      </c>
      <c r="D40" s="219">
        <v>299.38</v>
      </c>
      <c r="E40" s="219">
        <v>297.5</v>
      </c>
      <c r="F40" s="219">
        <v>291.25</v>
      </c>
      <c r="G40" s="219">
        <v>290</v>
      </c>
      <c r="H40" s="219">
        <v>282.63</v>
      </c>
      <c r="I40" s="219">
        <v>250.63</v>
      </c>
      <c r="J40" s="219">
        <v>253</v>
      </c>
      <c r="K40" s="219">
        <v>236.88</v>
      </c>
      <c r="L40" s="219">
        <v>214</v>
      </c>
      <c r="M40" s="219">
        <v>205</v>
      </c>
      <c r="N40" s="219">
        <v>209.17</v>
      </c>
    </row>
    <row r="41" spans="1:15">
      <c r="A41" t="s">
        <v>394</v>
      </c>
      <c r="B41" t="s">
        <v>303</v>
      </c>
      <c r="C41" s="218">
        <v>332.34</v>
      </c>
      <c r="D41" s="218">
        <v>334.42</v>
      </c>
      <c r="E41" s="218">
        <v>320.33999999999997</v>
      </c>
      <c r="F41" s="218">
        <v>305.67</v>
      </c>
      <c r="G41" s="218">
        <v>307.63</v>
      </c>
      <c r="H41" s="218">
        <v>300.72000000000003</v>
      </c>
      <c r="I41" s="218">
        <v>326.04000000000002</v>
      </c>
      <c r="J41" s="218">
        <v>301.05</v>
      </c>
      <c r="K41" s="219">
        <v>307.7</v>
      </c>
      <c r="L41" s="218">
        <v>315.23</v>
      </c>
      <c r="M41" s="218">
        <v>313.52</v>
      </c>
      <c r="N41" s="218">
        <v>319.22000000000003</v>
      </c>
    </row>
    <row r="42" spans="1:15">
      <c r="A42" t="s">
        <v>482</v>
      </c>
      <c r="B42" t="s">
        <v>303</v>
      </c>
      <c r="C42" s="219">
        <v>159</v>
      </c>
      <c r="D42" s="219">
        <v>161.88</v>
      </c>
      <c r="E42" s="219">
        <v>155</v>
      </c>
      <c r="F42" s="219">
        <v>147.5</v>
      </c>
      <c r="G42" s="219">
        <v>144</v>
      </c>
      <c r="H42" s="219">
        <v>140</v>
      </c>
      <c r="I42" s="219">
        <v>130.63</v>
      </c>
      <c r="J42" s="219">
        <v>134.5</v>
      </c>
      <c r="K42" s="219">
        <v>134.38</v>
      </c>
      <c r="L42" s="219">
        <v>153</v>
      </c>
      <c r="M42" s="219">
        <v>165</v>
      </c>
      <c r="N42" s="219">
        <v>185</v>
      </c>
    </row>
    <row r="43" spans="1:15" s="218" customFormat="1">
      <c r="A43" s="218" t="s">
        <v>481</v>
      </c>
      <c r="B43" s="218" t="s">
        <v>312</v>
      </c>
    </row>
    <row r="44" spans="1:15" s="218" customFormat="1">
      <c r="A44" s="218" t="s">
        <v>313</v>
      </c>
    </row>
    <row r="45" spans="1:15">
      <c r="A45" t="s">
        <v>314</v>
      </c>
      <c r="B45" t="s">
        <v>303</v>
      </c>
      <c r="C45" s="224" t="s">
        <v>317</v>
      </c>
      <c r="D45" s="224" t="s">
        <v>317</v>
      </c>
      <c r="E45" s="224" t="s">
        <v>317</v>
      </c>
      <c r="F45" s="224" t="s">
        <v>317</v>
      </c>
      <c r="G45" s="224" t="s">
        <v>317</v>
      </c>
      <c r="H45" s="224" t="s">
        <v>317</v>
      </c>
      <c r="I45" s="224" t="s">
        <v>317</v>
      </c>
      <c r="J45" s="224" t="s">
        <v>317</v>
      </c>
      <c r="K45" s="224" t="s">
        <v>317</v>
      </c>
      <c r="L45" s="224" t="s">
        <v>317</v>
      </c>
      <c r="M45" s="224" t="s">
        <v>317</v>
      </c>
      <c r="N45" s="224" t="s">
        <v>317</v>
      </c>
    </row>
    <row r="46" spans="1:15" s="218" customFormat="1">
      <c r="A46" s="218" t="s">
        <v>315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318</v>
      </c>
      <c r="D47" s="220">
        <v>318.10000000000002</v>
      </c>
      <c r="E47" s="220">
        <v>318.2</v>
      </c>
      <c r="F47" s="220">
        <v>318.5</v>
      </c>
      <c r="G47" s="220">
        <v>316.2</v>
      </c>
      <c r="H47" s="220">
        <v>322.8</v>
      </c>
      <c r="I47" s="220">
        <v>318.10000000000002</v>
      </c>
      <c r="J47" s="220">
        <v>317.3</v>
      </c>
      <c r="K47" s="220">
        <v>320.8</v>
      </c>
      <c r="L47" s="220">
        <v>311.60000000000002</v>
      </c>
      <c r="M47" s="220">
        <v>320.10000000000002</v>
      </c>
      <c r="N47" s="220">
        <v>317.2</v>
      </c>
    </row>
    <row r="48" spans="1:15">
      <c r="A48" t="s">
        <v>518</v>
      </c>
      <c r="B48" t="s">
        <v>303</v>
      </c>
      <c r="C48" s="220">
        <v>255.2</v>
      </c>
      <c r="D48" s="220">
        <v>252.9</v>
      </c>
      <c r="E48" s="220">
        <v>258.8</v>
      </c>
      <c r="F48" s="220">
        <v>257.7</v>
      </c>
      <c r="G48" s="220">
        <v>256.2</v>
      </c>
      <c r="H48" s="220">
        <v>257.2</v>
      </c>
      <c r="I48" s="220">
        <v>259.3</v>
      </c>
      <c r="J48" s="220">
        <v>254.9</v>
      </c>
      <c r="K48" s="220">
        <v>257.3</v>
      </c>
      <c r="L48" s="220">
        <v>259.3</v>
      </c>
      <c r="M48" s="220">
        <v>258.3</v>
      </c>
      <c r="N48" s="220">
        <v>257.10000000000002</v>
      </c>
    </row>
    <row r="49" spans="1:14">
      <c r="A49" t="s">
        <v>451</v>
      </c>
      <c r="B49" t="s">
        <v>303</v>
      </c>
      <c r="C49" s="220">
        <v>231.5</v>
      </c>
      <c r="D49" s="220">
        <v>225.8</v>
      </c>
      <c r="E49" s="220">
        <v>218.9</v>
      </c>
      <c r="F49" s="220">
        <v>215.2</v>
      </c>
      <c r="G49" s="220">
        <v>223.4</v>
      </c>
      <c r="H49" s="220">
        <v>222.7</v>
      </c>
      <c r="I49" s="220">
        <v>228.9</v>
      </c>
      <c r="J49" s="220">
        <v>228</v>
      </c>
      <c r="K49" s="220">
        <v>230.5</v>
      </c>
      <c r="L49" s="220">
        <v>225.9</v>
      </c>
      <c r="M49" s="220">
        <v>224.6</v>
      </c>
      <c r="N49" s="220">
        <v>222.3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136.4</v>
      </c>
      <c r="E50" s="225">
        <v>135</v>
      </c>
      <c r="F50" s="225">
        <v>136.6</v>
      </c>
      <c r="G50" s="225">
        <v>136.6</v>
      </c>
      <c r="H50" s="225">
        <v>139.9</v>
      </c>
      <c r="I50" s="225">
        <v>139.9</v>
      </c>
      <c r="J50" s="225">
        <v>140.4</v>
      </c>
      <c r="K50" s="225">
        <v>140.1</v>
      </c>
      <c r="L50" s="225">
        <v>141.19999999999999</v>
      </c>
      <c r="M50" s="225">
        <v>140.4</v>
      </c>
      <c r="N50" s="225">
        <v>141.69999999999999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9"/>
  <sheetViews>
    <sheetView zoomScaleNormal="100" zoomScaleSheetLayoutView="100" workbookViewId="0">
      <pane ySplit="5" topLeftCell="A15" activePane="bottomLeft" state="frozen"/>
      <selection pane="bottomLeft"/>
    </sheetView>
  </sheetViews>
  <sheetFormatPr baseColWidth="10" defaultColWidth="8.75" defaultRowHeight="11"/>
  <cols>
    <col min="1" max="1" width="10.75" customWidth="1"/>
    <col min="2" max="5" width="11.75" customWidth="1"/>
    <col min="6" max="6" width="2.75" customWidth="1"/>
    <col min="7" max="11" width="11.75" customWidth="1"/>
    <col min="12" max="12" width="12.75" customWidth="1"/>
  </cols>
  <sheetData>
    <row r="1" spans="1:13">
      <c r="A1" s="150" t="s">
        <v>688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t="s">
        <v>107</v>
      </c>
      <c r="B2" s="314"/>
      <c r="C2" s="335" t="s">
        <v>119</v>
      </c>
      <c r="D2" s="314"/>
      <c r="E2" s="314"/>
      <c r="G2" s="314"/>
      <c r="H2" s="333" t="s">
        <v>117</v>
      </c>
      <c r="I2" s="314"/>
      <c r="J2" s="314"/>
      <c r="L2" s="9" t="s">
        <v>118</v>
      </c>
    </row>
    <row r="3" spans="1:13">
      <c r="A3" t="s">
        <v>100</v>
      </c>
      <c r="B3" s="7" t="s">
        <v>141</v>
      </c>
      <c r="I3" s="7" t="s">
        <v>175</v>
      </c>
      <c r="K3" s="7" t="s">
        <v>143</v>
      </c>
      <c r="L3" s="7" t="s">
        <v>647</v>
      </c>
    </row>
    <row r="4" spans="1:13">
      <c r="A4" t="s">
        <v>176</v>
      </c>
      <c r="B4" s="38" t="s">
        <v>110</v>
      </c>
      <c r="C4" s="38" t="s">
        <v>66</v>
      </c>
      <c r="D4" s="38" t="s">
        <v>88</v>
      </c>
      <c r="E4" s="38" t="s">
        <v>177</v>
      </c>
      <c r="G4" s="7" t="s">
        <v>111</v>
      </c>
      <c r="H4" s="7" t="s">
        <v>90</v>
      </c>
      <c r="I4" s="7" t="s">
        <v>113</v>
      </c>
      <c r="J4" s="7" t="s">
        <v>3</v>
      </c>
      <c r="K4" s="7" t="s">
        <v>110</v>
      </c>
      <c r="L4" s="7" t="s">
        <v>114</v>
      </c>
    </row>
    <row r="5" spans="1:13">
      <c r="A5" s="1"/>
      <c r="B5" s="1"/>
      <c r="C5" s="1"/>
      <c r="D5" s="1"/>
      <c r="E5" s="1"/>
      <c r="F5" s="1"/>
      <c r="G5" s="9"/>
      <c r="H5" s="9"/>
      <c r="I5" s="9" t="s">
        <v>178</v>
      </c>
      <c r="J5" s="9"/>
      <c r="K5" s="1"/>
      <c r="L5" s="9" t="s">
        <v>169</v>
      </c>
    </row>
    <row r="6" spans="1:13">
      <c r="C6" s="307"/>
      <c r="D6" s="307"/>
      <c r="E6" s="307"/>
      <c r="F6" s="307"/>
      <c r="G6" s="307" t="s">
        <v>519</v>
      </c>
      <c r="H6" s="307"/>
      <c r="I6" s="307"/>
      <c r="J6" s="307"/>
      <c r="K6" s="307"/>
      <c r="L6" s="7" t="s">
        <v>520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7"/>
    </row>
    <row r="8" spans="1:13">
      <c r="A8" s="10">
        <v>1980</v>
      </c>
      <c r="B8" s="39">
        <v>358</v>
      </c>
      <c r="C8" s="39">
        <f>+'tab02'!E26/1000</f>
        <v>1797.5429999999999</v>
      </c>
      <c r="D8" s="39">
        <v>0</v>
      </c>
      <c r="E8" s="84">
        <f t="shared" ref="E8:E44" si="0">+B8+C8+D8</f>
        <v>2155.5429999999997</v>
      </c>
      <c r="F8" s="39"/>
      <c r="G8" s="39">
        <v>1020</v>
      </c>
      <c r="H8" s="39">
        <v>724</v>
      </c>
      <c r="I8" s="39">
        <f t="shared" ref="I8:I29" si="1">+J8-G8-H8</f>
        <v>98.535999999999603</v>
      </c>
      <c r="J8" s="39">
        <f t="shared" ref="J8:J29" si="2">+E8-K8</f>
        <v>1842.5359999999996</v>
      </c>
      <c r="K8" s="39">
        <v>313.00700000000001</v>
      </c>
      <c r="L8" s="33">
        <v>7.57</v>
      </c>
    </row>
    <row r="9" spans="1:13">
      <c r="A9" s="10">
        <v>1981</v>
      </c>
      <c r="B9" s="39">
        <f t="shared" ref="B9:B29" si="3">+K8</f>
        <v>313.00700000000001</v>
      </c>
      <c r="C9" s="39">
        <f>+'tab02'!E27/1000</f>
        <v>1989.11</v>
      </c>
      <c r="D9" s="39">
        <v>0</v>
      </c>
      <c r="E9" s="84">
        <f t="shared" si="0"/>
        <v>2302.1169999999997</v>
      </c>
      <c r="F9" s="39"/>
      <c r="G9" s="39">
        <v>1030</v>
      </c>
      <c r="H9" s="39">
        <v>929</v>
      </c>
      <c r="I9" s="39">
        <f t="shared" si="1"/>
        <v>88.605999999999767</v>
      </c>
      <c r="J9" s="39">
        <f t="shared" si="2"/>
        <v>2047.6059999999998</v>
      </c>
      <c r="K9" s="39">
        <v>254.511</v>
      </c>
      <c r="L9" s="33">
        <v>6.07</v>
      </c>
      <c r="M9" s="39"/>
    </row>
    <row r="10" spans="1:13">
      <c r="A10" s="10">
        <v>1982</v>
      </c>
      <c r="B10" s="39">
        <f t="shared" si="3"/>
        <v>254.511</v>
      </c>
      <c r="C10" s="39">
        <f>+'tab02'!E28/1000</f>
        <v>2190.297</v>
      </c>
      <c r="D10" s="39">
        <v>0</v>
      </c>
      <c r="E10" s="84">
        <f t="shared" si="0"/>
        <v>2444.808</v>
      </c>
      <c r="F10" s="39"/>
      <c r="G10" s="39">
        <v>1108</v>
      </c>
      <c r="H10" s="39">
        <v>905</v>
      </c>
      <c r="I10" s="39">
        <f t="shared" si="1"/>
        <v>87.173999999999978</v>
      </c>
      <c r="J10" s="39">
        <f t="shared" si="2"/>
        <v>2100.174</v>
      </c>
      <c r="K10" s="39">
        <v>344.63400000000001</v>
      </c>
      <c r="L10" s="33">
        <v>5.71</v>
      </c>
      <c r="M10" s="39"/>
    </row>
    <row r="11" spans="1:13">
      <c r="A11" s="10">
        <v>1983</v>
      </c>
      <c r="B11" s="39">
        <f t="shared" si="3"/>
        <v>344.63400000000001</v>
      </c>
      <c r="C11" s="39">
        <f>+'tab02'!E29/1000</f>
        <v>1635.7719999999999</v>
      </c>
      <c r="D11" s="39">
        <v>0</v>
      </c>
      <c r="E11" s="84">
        <f t="shared" si="0"/>
        <v>1980.4059999999999</v>
      </c>
      <c r="F11" s="39"/>
      <c r="G11" s="39">
        <v>983</v>
      </c>
      <c r="H11" s="39">
        <v>743</v>
      </c>
      <c r="I11" s="39">
        <f t="shared" si="1"/>
        <v>78.710000000000036</v>
      </c>
      <c r="J11" s="39">
        <f t="shared" si="2"/>
        <v>1804.71</v>
      </c>
      <c r="K11" s="39">
        <v>175.696</v>
      </c>
      <c r="L11" s="33">
        <v>7.83</v>
      </c>
      <c r="M11" s="39"/>
    </row>
    <row r="12" spans="1:13">
      <c r="A12" s="10">
        <v>1984</v>
      </c>
      <c r="B12" s="39">
        <f t="shared" si="3"/>
        <v>175.696</v>
      </c>
      <c r="C12" s="39">
        <f>+'tab02'!E30/1000</f>
        <v>1860.8630000000001</v>
      </c>
      <c r="D12" s="39">
        <v>0</v>
      </c>
      <c r="E12" s="84">
        <f t="shared" si="0"/>
        <v>2036.559</v>
      </c>
      <c r="F12" s="39"/>
      <c r="G12" s="39">
        <v>1030</v>
      </c>
      <c r="H12" s="39">
        <v>598</v>
      </c>
      <c r="I12" s="39">
        <f t="shared" si="1"/>
        <v>92.501999999999953</v>
      </c>
      <c r="J12" s="39">
        <f t="shared" si="2"/>
        <v>1720.502</v>
      </c>
      <c r="K12" s="39">
        <v>316.05700000000002</v>
      </c>
      <c r="L12" s="33">
        <v>5.84</v>
      </c>
      <c r="M12" s="39"/>
    </row>
    <row r="13" spans="1:13">
      <c r="A13" s="10">
        <v>1985</v>
      </c>
      <c r="B13" s="39">
        <f t="shared" si="3"/>
        <v>316.05700000000002</v>
      </c>
      <c r="C13" s="39">
        <f>+'tab02'!E31/1000</f>
        <v>2099.056</v>
      </c>
      <c r="D13" s="39">
        <v>1</v>
      </c>
      <c r="E13" s="84">
        <f t="shared" si="0"/>
        <v>2416.1130000000003</v>
      </c>
      <c r="F13" s="39"/>
      <c r="G13" s="39">
        <v>1053</v>
      </c>
      <c r="H13" s="39">
        <v>741</v>
      </c>
      <c r="I13" s="39">
        <f t="shared" si="1"/>
        <v>85.748000000000275</v>
      </c>
      <c r="J13" s="39">
        <f t="shared" si="2"/>
        <v>1879.7480000000003</v>
      </c>
      <c r="K13" s="39">
        <v>536.36500000000001</v>
      </c>
      <c r="L13" s="33">
        <v>5.05</v>
      </c>
      <c r="M13" s="39"/>
    </row>
    <row r="14" spans="1:13">
      <c r="A14" s="10">
        <v>1986</v>
      </c>
      <c r="B14" s="39">
        <f t="shared" si="3"/>
        <v>536.36500000000001</v>
      </c>
      <c r="C14" s="39">
        <f>+'tab02'!E32/1000</f>
        <v>1942.558</v>
      </c>
      <c r="D14" s="39">
        <v>0</v>
      </c>
      <c r="E14" s="84">
        <f t="shared" si="0"/>
        <v>2478.9229999999998</v>
      </c>
      <c r="F14" s="39"/>
      <c r="G14" s="39">
        <v>1179</v>
      </c>
      <c r="H14" s="39">
        <v>757</v>
      </c>
      <c r="I14" s="39">
        <f t="shared" si="1"/>
        <v>106.47599999999966</v>
      </c>
      <c r="J14" s="39">
        <f t="shared" si="2"/>
        <v>2042.4759999999997</v>
      </c>
      <c r="K14" s="39">
        <v>436.447</v>
      </c>
      <c r="L14" s="33">
        <v>4.78</v>
      </c>
      <c r="M14" s="39"/>
    </row>
    <row r="15" spans="1:13">
      <c r="A15" s="10">
        <v>1987</v>
      </c>
      <c r="B15" s="39">
        <f t="shared" si="3"/>
        <v>436.447</v>
      </c>
      <c r="C15" s="39">
        <f>+'tab02'!E33/1000</f>
        <v>1937.722</v>
      </c>
      <c r="D15" s="39">
        <v>1</v>
      </c>
      <c r="E15" s="84">
        <f t="shared" si="0"/>
        <v>2375.1689999999999</v>
      </c>
      <c r="F15" s="39"/>
      <c r="G15" s="39">
        <v>1174</v>
      </c>
      <c r="H15" s="39">
        <v>804</v>
      </c>
      <c r="I15" s="39">
        <f t="shared" si="1"/>
        <v>94.692999999999756</v>
      </c>
      <c r="J15" s="39">
        <f t="shared" si="2"/>
        <v>2072.6929999999998</v>
      </c>
      <c r="K15" s="39">
        <v>302.476</v>
      </c>
      <c r="L15" s="33">
        <v>5.88</v>
      </c>
      <c r="M15" s="39"/>
    </row>
    <row r="16" spans="1:13">
      <c r="A16" s="10">
        <v>1988</v>
      </c>
      <c r="B16" s="39">
        <f t="shared" si="3"/>
        <v>302.476</v>
      </c>
      <c r="C16" s="39">
        <f>+'tab02'!E34/1000</f>
        <v>1548.8409999999999</v>
      </c>
      <c r="D16" s="39">
        <v>4</v>
      </c>
      <c r="E16" s="84">
        <f t="shared" si="0"/>
        <v>1855.317</v>
      </c>
      <c r="F16" s="39"/>
      <c r="G16" s="39">
        <v>1058</v>
      </c>
      <c r="H16" s="39">
        <v>527</v>
      </c>
      <c r="I16" s="39">
        <f t="shared" si="1"/>
        <v>88.288000000000011</v>
      </c>
      <c r="J16" s="39">
        <f t="shared" si="2"/>
        <v>1673.288</v>
      </c>
      <c r="K16" s="39">
        <v>182.029</v>
      </c>
      <c r="L16" s="33">
        <v>7.42</v>
      </c>
      <c r="M16" s="39"/>
    </row>
    <row r="17" spans="1:13">
      <c r="A17" s="10">
        <v>1989</v>
      </c>
      <c r="B17" s="39">
        <f t="shared" si="3"/>
        <v>182.029</v>
      </c>
      <c r="C17" s="39">
        <f>+'tab02'!E35/1000</f>
        <v>1923.6659999999999</v>
      </c>
      <c r="D17" s="39">
        <v>1</v>
      </c>
      <c r="E17" s="84">
        <f t="shared" si="0"/>
        <v>2106.6949999999997</v>
      </c>
      <c r="F17" s="39"/>
      <c r="G17" s="39">
        <v>1146</v>
      </c>
      <c r="H17" s="39">
        <v>622</v>
      </c>
      <c r="I17" s="39">
        <f t="shared" si="1"/>
        <v>99.555999999999585</v>
      </c>
      <c r="J17" s="39">
        <f t="shared" si="2"/>
        <v>1867.5559999999996</v>
      </c>
      <c r="K17" s="39">
        <v>239.13900000000001</v>
      </c>
      <c r="L17" s="33">
        <v>5.69</v>
      </c>
      <c r="M17" s="39"/>
    </row>
    <row r="18" spans="1:13">
      <c r="A18" s="10">
        <v>1990</v>
      </c>
      <c r="B18" s="39">
        <f t="shared" si="3"/>
        <v>239.13900000000001</v>
      </c>
      <c r="C18" s="39">
        <f>+'tab02'!E36/1000</f>
        <v>1925.9469999999999</v>
      </c>
      <c r="D18" s="39">
        <v>3</v>
      </c>
      <c r="E18" s="84">
        <f t="shared" si="0"/>
        <v>2168.0859999999998</v>
      </c>
      <c r="F18" s="39"/>
      <c r="G18" s="39">
        <v>1187</v>
      </c>
      <c r="H18" s="39">
        <v>557</v>
      </c>
      <c r="I18" s="39">
        <f t="shared" si="1"/>
        <v>95.043999999999869</v>
      </c>
      <c r="J18" s="39">
        <f t="shared" si="2"/>
        <v>1839.0439999999999</v>
      </c>
      <c r="K18" s="39">
        <v>329.04199999999997</v>
      </c>
      <c r="L18" s="33">
        <v>5.74</v>
      </c>
      <c r="M18" s="39"/>
    </row>
    <row r="19" spans="1:13">
      <c r="A19" s="10">
        <v>1991</v>
      </c>
      <c r="B19" s="39">
        <f t="shared" si="3"/>
        <v>329.04199999999997</v>
      </c>
      <c r="C19" s="39">
        <f>+'tab02'!E37/1000</f>
        <v>1986.539</v>
      </c>
      <c r="D19" s="39">
        <v>3</v>
      </c>
      <c r="E19" s="84">
        <f t="shared" si="0"/>
        <v>2318.5810000000001</v>
      </c>
      <c r="F19" s="39"/>
      <c r="G19" s="39">
        <v>1254</v>
      </c>
      <c r="H19" s="39">
        <v>684</v>
      </c>
      <c r="I19" s="39">
        <f t="shared" si="1"/>
        <v>102.14400000000023</v>
      </c>
      <c r="J19" s="39">
        <f t="shared" si="2"/>
        <v>2040.1440000000002</v>
      </c>
      <c r="K19" s="39">
        <v>278.43700000000001</v>
      </c>
      <c r="L19" s="33">
        <v>5.58</v>
      </c>
      <c r="M19" s="39"/>
    </row>
    <row r="20" spans="1:13">
      <c r="A20" s="10">
        <v>1992</v>
      </c>
      <c r="B20" s="39">
        <f t="shared" si="3"/>
        <v>278.43700000000001</v>
      </c>
      <c r="C20" s="39">
        <f>+'tab02'!E38/1000</f>
        <v>2190.3539999999998</v>
      </c>
      <c r="D20" s="39">
        <v>2.0567152327931999</v>
      </c>
      <c r="E20" s="84">
        <f t="shared" si="0"/>
        <v>2470.8477152327928</v>
      </c>
      <c r="F20" s="39"/>
      <c r="G20" s="39">
        <v>1279</v>
      </c>
      <c r="H20" s="39">
        <v>771</v>
      </c>
      <c r="I20" s="39">
        <f t="shared" si="1"/>
        <v>128.56371523279267</v>
      </c>
      <c r="J20" s="39">
        <f t="shared" si="2"/>
        <v>2178.5637152327927</v>
      </c>
      <c r="K20" s="39">
        <v>292.28399999999999</v>
      </c>
      <c r="L20" s="33">
        <v>5.56</v>
      </c>
      <c r="M20" s="39"/>
    </row>
    <row r="21" spans="1:13">
      <c r="A21" s="10">
        <v>1993</v>
      </c>
      <c r="B21" s="39">
        <f t="shared" si="3"/>
        <v>292.28399999999999</v>
      </c>
      <c r="C21" s="39">
        <f>+'tab02'!E39/1000</f>
        <v>1869.7180000000001</v>
      </c>
      <c r="D21" s="39">
        <v>6.4164705762675007</v>
      </c>
      <c r="E21" s="84">
        <f t="shared" si="0"/>
        <v>2168.4184705762673</v>
      </c>
      <c r="F21" s="39"/>
      <c r="G21" s="39">
        <v>1276</v>
      </c>
      <c r="H21" s="39">
        <v>588</v>
      </c>
      <c r="I21" s="39">
        <f t="shared" si="1"/>
        <v>95.30147057626732</v>
      </c>
      <c r="J21" s="39">
        <f t="shared" si="2"/>
        <v>1959.3014705762673</v>
      </c>
      <c r="K21" s="39">
        <v>209.11699999999999</v>
      </c>
      <c r="L21" s="33">
        <v>6.4</v>
      </c>
      <c r="M21" s="39"/>
    </row>
    <row r="22" spans="1:13">
      <c r="A22" s="10">
        <v>1994</v>
      </c>
      <c r="B22" s="39">
        <f t="shared" si="3"/>
        <v>209.11699999999999</v>
      </c>
      <c r="C22" s="39">
        <f>+'tab02'!E40/1000</f>
        <v>2514.8690000000001</v>
      </c>
      <c r="D22" s="39">
        <v>5.4799449460455003</v>
      </c>
      <c r="E22" s="84">
        <f t="shared" si="0"/>
        <v>2729.465944946046</v>
      </c>
      <c r="F22" s="39"/>
      <c r="G22" s="39">
        <v>1405</v>
      </c>
      <c r="H22" s="39">
        <v>840</v>
      </c>
      <c r="I22" s="39">
        <f t="shared" si="1"/>
        <v>149.65194494604611</v>
      </c>
      <c r="J22" s="39">
        <f t="shared" si="2"/>
        <v>2394.6519449460461</v>
      </c>
      <c r="K22" s="39">
        <v>334.81400000000002</v>
      </c>
      <c r="L22" s="33">
        <v>5.48</v>
      </c>
      <c r="M22" s="39"/>
    </row>
    <row r="23" spans="1:13">
      <c r="A23" s="10">
        <v>1995</v>
      </c>
      <c r="B23" s="39">
        <f t="shared" si="3"/>
        <v>334.81400000000002</v>
      </c>
      <c r="C23" s="39">
        <f>+'tab02'!E41/1000</f>
        <v>2174.2539999999999</v>
      </c>
      <c r="D23" s="39">
        <v>4.4558110914512996</v>
      </c>
      <c r="E23" s="84">
        <f t="shared" si="0"/>
        <v>2513.5238110914511</v>
      </c>
      <c r="F23" s="39"/>
      <c r="G23" s="39">
        <v>1370</v>
      </c>
      <c r="H23" s="39">
        <v>849</v>
      </c>
      <c r="I23" s="39">
        <f t="shared" si="1"/>
        <v>111.065811091451</v>
      </c>
      <c r="J23" s="39">
        <f t="shared" si="2"/>
        <v>2330.065811091451</v>
      </c>
      <c r="K23" s="39">
        <v>183.458</v>
      </c>
      <c r="L23" s="33">
        <v>6.72</v>
      </c>
      <c r="M23" s="39"/>
    </row>
    <row r="24" spans="1:13">
      <c r="A24" s="10">
        <v>1996</v>
      </c>
      <c r="B24" s="39">
        <f t="shared" si="3"/>
        <v>183.458</v>
      </c>
      <c r="C24" s="39">
        <f>+'tab02'!E42/1000</f>
        <v>2380.2739999999999</v>
      </c>
      <c r="D24" s="39">
        <v>8.9039324246229015</v>
      </c>
      <c r="E24" s="84">
        <f t="shared" si="0"/>
        <v>2572.6359324246228</v>
      </c>
      <c r="F24" s="39"/>
      <c r="G24" s="39">
        <v>1436</v>
      </c>
      <c r="H24" s="39">
        <v>886</v>
      </c>
      <c r="I24" s="39">
        <f t="shared" si="1"/>
        <v>118.80293242462267</v>
      </c>
      <c r="J24" s="39">
        <f t="shared" si="2"/>
        <v>2440.8029324246227</v>
      </c>
      <c r="K24" s="39">
        <v>131.833</v>
      </c>
      <c r="L24" s="33">
        <v>7.35</v>
      </c>
      <c r="M24" s="39"/>
    </row>
    <row r="25" spans="1:13">
      <c r="A25" s="10">
        <v>1997</v>
      </c>
      <c r="B25" s="39">
        <f t="shared" si="3"/>
        <v>131.833</v>
      </c>
      <c r="C25" s="39">
        <f>+'tab02'!E43/1000</f>
        <v>2688.75</v>
      </c>
      <c r="D25" s="39">
        <v>5.0059507383774005</v>
      </c>
      <c r="E25" s="84">
        <f t="shared" si="0"/>
        <v>2825.5889507383777</v>
      </c>
      <c r="F25" s="39"/>
      <c r="G25" s="39">
        <v>1597</v>
      </c>
      <c r="H25" s="39">
        <v>874</v>
      </c>
      <c r="I25" s="39">
        <f t="shared" si="1"/>
        <v>154.78995073837768</v>
      </c>
      <c r="J25" s="39">
        <f t="shared" si="2"/>
        <v>2625.7899507383777</v>
      </c>
      <c r="K25" s="39">
        <v>199.79900000000001</v>
      </c>
      <c r="L25" s="33">
        <v>6.47</v>
      </c>
      <c r="M25" s="39"/>
    </row>
    <row r="26" spans="1:13">
      <c r="A26" s="10">
        <v>1998</v>
      </c>
      <c r="B26" s="39">
        <f t="shared" si="3"/>
        <v>199.79900000000001</v>
      </c>
      <c r="C26" s="39">
        <f>+'tab02'!E44/1000</f>
        <v>2741.0140000000001</v>
      </c>
      <c r="D26" s="39">
        <v>3.5211952517805001</v>
      </c>
      <c r="E26" s="84">
        <f t="shared" si="0"/>
        <v>2944.3341952517808</v>
      </c>
      <c r="F26" s="39"/>
      <c r="G26" s="39">
        <v>1590</v>
      </c>
      <c r="H26" s="39">
        <v>805</v>
      </c>
      <c r="I26" s="39">
        <f t="shared" si="1"/>
        <v>200.85219525178081</v>
      </c>
      <c r="J26" s="39">
        <f t="shared" si="2"/>
        <v>2595.8521952517808</v>
      </c>
      <c r="K26" s="39">
        <v>348.48200000000003</v>
      </c>
      <c r="L26" s="33">
        <v>4.93</v>
      </c>
      <c r="M26" s="39"/>
    </row>
    <row r="27" spans="1:13">
      <c r="A27" s="10">
        <v>1999</v>
      </c>
      <c r="B27" s="39">
        <f t="shared" si="3"/>
        <v>348.48200000000003</v>
      </c>
      <c r="C27" s="39">
        <f>+'tab02'!E45/1000</f>
        <v>2653.7579999999998</v>
      </c>
      <c r="D27" s="39">
        <v>4.1711473593153006</v>
      </c>
      <c r="E27" s="84">
        <f t="shared" si="0"/>
        <v>3006.4111473593152</v>
      </c>
      <c r="F27" s="39"/>
      <c r="G27" s="39">
        <v>1578</v>
      </c>
      <c r="H27" s="39">
        <v>973</v>
      </c>
      <c r="I27" s="39">
        <f t="shared" si="1"/>
        <v>165.24914735931543</v>
      </c>
      <c r="J27" s="39">
        <f t="shared" si="2"/>
        <v>2716.2491473593154</v>
      </c>
      <c r="K27" s="39">
        <f>+'tab01'!D8/1000</f>
        <v>290.16199999999998</v>
      </c>
      <c r="L27" s="33">
        <v>4.63</v>
      </c>
      <c r="M27" s="39"/>
    </row>
    <row r="28" spans="1:13">
      <c r="A28" s="10">
        <v>2000</v>
      </c>
      <c r="B28" s="39">
        <f t="shared" si="3"/>
        <v>290.16199999999998</v>
      </c>
      <c r="C28" s="39">
        <f>+'tab02'!E46/1000</f>
        <v>2757.81</v>
      </c>
      <c r="D28" s="39">
        <v>3.5678253219336002</v>
      </c>
      <c r="E28" s="84">
        <f t="shared" si="0"/>
        <v>3051.5398253219332</v>
      </c>
      <c r="F28" s="84"/>
      <c r="G28" s="84">
        <f>'tab6'!F12/1000</f>
        <v>1639.67</v>
      </c>
      <c r="H28" s="84">
        <f>'tab6'!G12/1000</f>
        <v>995.87118845340001</v>
      </c>
      <c r="I28" s="39">
        <f t="shared" si="1"/>
        <v>168.2516368685333</v>
      </c>
      <c r="J28" s="39">
        <f t="shared" si="2"/>
        <v>2803.7928253219334</v>
      </c>
      <c r="K28" s="84">
        <f>+'tab01'!D13/1000</f>
        <v>247.74700000000001</v>
      </c>
      <c r="L28" s="33">
        <v>4.54</v>
      </c>
      <c r="M28" s="39"/>
    </row>
    <row r="29" spans="1:13">
      <c r="A29" s="71">
        <v>2001</v>
      </c>
      <c r="B29" s="39">
        <f t="shared" si="3"/>
        <v>247.74700000000001</v>
      </c>
      <c r="C29" s="39">
        <f>+'tab02'!E47/1000</f>
        <v>2890.6819999999998</v>
      </c>
      <c r="D29" s="39">
        <v>2.3197743674594999</v>
      </c>
      <c r="E29" s="84">
        <f t="shared" si="0"/>
        <v>3140.7487743674592</v>
      </c>
      <c r="F29" s="39"/>
      <c r="G29" s="39">
        <f>'tab6'!F19/1000</f>
        <v>1699.7408</v>
      </c>
      <c r="H29" s="39">
        <f>'tab6'!G19/1000</f>
        <v>1063.6514467383001</v>
      </c>
      <c r="I29" s="39">
        <f t="shared" si="1"/>
        <v>169.29552762915887</v>
      </c>
      <c r="J29" s="39">
        <f t="shared" si="2"/>
        <v>2932.687774367459</v>
      </c>
      <c r="K29" s="39">
        <f>+'tab01'!D18/1000</f>
        <v>208.06100000000001</v>
      </c>
      <c r="L29" s="33">
        <v>4.38</v>
      </c>
      <c r="M29" s="39"/>
    </row>
    <row r="30" spans="1:13">
      <c r="A30" s="71">
        <v>2002</v>
      </c>
      <c r="B30" s="39">
        <f t="shared" ref="B30:B35" si="4">+K29</f>
        <v>208.06100000000001</v>
      </c>
      <c r="C30" s="39">
        <f>+'tab02'!E48/1000</f>
        <v>2756.1469999999999</v>
      </c>
      <c r="D30" s="39">
        <v>4.6609782486581999</v>
      </c>
      <c r="E30" s="84">
        <f t="shared" si="0"/>
        <v>2968.8689782486581</v>
      </c>
      <c r="F30" s="39"/>
      <c r="G30" s="39">
        <f>'tab6'!F26/1000</f>
        <v>1614.7874333333334</v>
      </c>
      <c r="H30" s="39">
        <f>'tab6'!G26/1000</f>
        <v>1044.3721008357002</v>
      </c>
      <c r="I30" s="39">
        <f t="shared" ref="I30:I35" si="5">+J30-G30-H30</f>
        <v>131.38044407962434</v>
      </c>
      <c r="J30" s="39">
        <f t="shared" ref="J30:J35" si="6">+E30-K30</f>
        <v>2790.5399782486579</v>
      </c>
      <c r="K30" s="39">
        <f>+'tab01'!D23/1000</f>
        <v>178.32900000000001</v>
      </c>
      <c r="L30" s="33">
        <v>5.53</v>
      </c>
      <c r="M30" s="39"/>
    </row>
    <row r="31" spans="1:13">
      <c r="A31" s="71">
        <v>2003</v>
      </c>
      <c r="B31" s="39">
        <f t="shared" si="4"/>
        <v>178.32900000000001</v>
      </c>
      <c r="C31" s="39">
        <f>+'tab02'!E49/1000</f>
        <v>2453.8449999999998</v>
      </c>
      <c r="D31" s="39">
        <v>5.5615535121069</v>
      </c>
      <c r="E31" s="84">
        <f t="shared" si="0"/>
        <v>2637.7355535121069</v>
      </c>
      <c r="F31" s="39"/>
      <c r="G31" s="39">
        <f>'tab6'!F33/1000</f>
        <v>1529.6987333333334</v>
      </c>
      <c r="H31" s="39">
        <f>'tab6'!G33/1000</f>
        <v>886.55056059570006</v>
      </c>
      <c r="I31" s="39">
        <f t="shared" si="5"/>
        <v>109.07225958307322</v>
      </c>
      <c r="J31" s="39">
        <f t="shared" si="6"/>
        <v>2525.3215535121067</v>
      </c>
      <c r="K31" s="39">
        <f>+'tab01'!D28/1000</f>
        <v>112.414</v>
      </c>
      <c r="L31" s="33">
        <v>7.34</v>
      </c>
      <c r="M31" s="39"/>
    </row>
    <row r="32" spans="1:13">
      <c r="A32" s="71">
        <v>2004</v>
      </c>
      <c r="B32" s="39">
        <f t="shared" si="4"/>
        <v>112.414</v>
      </c>
      <c r="C32" s="39">
        <f>+'tab02'!E50/1000</f>
        <v>3123.79</v>
      </c>
      <c r="D32" s="39">
        <v>5.5775644691508006</v>
      </c>
      <c r="E32" s="84">
        <f t="shared" si="0"/>
        <v>3241.7815644691509</v>
      </c>
      <c r="F32" s="39"/>
      <c r="G32" s="39">
        <f>'tab6'!F40/1000</f>
        <v>1696.0812333333333</v>
      </c>
      <c r="H32" s="39">
        <f>'tab6'!G40/1000</f>
        <v>1097.1562998144</v>
      </c>
      <c r="I32" s="39">
        <f t="shared" si="5"/>
        <v>192.80603132141778</v>
      </c>
      <c r="J32" s="39">
        <f t="shared" si="6"/>
        <v>2986.0435644691511</v>
      </c>
      <c r="K32" s="39">
        <f>'tab01'!D33/1000</f>
        <v>255.738</v>
      </c>
      <c r="L32" s="33">
        <v>5.74</v>
      </c>
      <c r="M32" s="39"/>
    </row>
    <row r="33" spans="1:13">
      <c r="A33" s="71">
        <v>2005</v>
      </c>
      <c r="B33" s="39">
        <f t="shared" si="4"/>
        <v>255.738</v>
      </c>
      <c r="C33" s="39">
        <f>+'tab02'!E51/1000</f>
        <v>3068.3420000000001</v>
      </c>
      <c r="D33" s="39">
        <v>3.3720085912715998</v>
      </c>
      <c r="E33" s="84">
        <f t="shared" si="0"/>
        <v>3327.4520085912714</v>
      </c>
      <c r="F33" s="39"/>
      <c r="G33" s="39">
        <f>'tab6'!F47/1000</f>
        <v>1738.8517333333334</v>
      </c>
      <c r="H33" s="39">
        <f>'tab6'!G47/1000</f>
        <v>939.87875005290005</v>
      </c>
      <c r="I33" s="39">
        <f t="shared" si="5"/>
        <v>199.39552520503787</v>
      </c>
      <c r="J33" s="39">
        <f t="shared" si="6"/>
        <v>2878.1260085912713</v>
      </c>
      <c r="K33" s="39">
        <f>'tab01'!D38/1000</f>
        <v>449.32600000000002</v>
      </c>
      <c r="L33" s="33">
        <v>5.66</v>
      </c>
      <c r="M33" s="39"/>
    </row>
    <row r="34" spans="1:13">
      <c r="A34" s="71">
        <v>2006</v>
      </c>
      <c r="B34" s="39">
        <f t="shared" si="4"/>
        <v>449.32600000000002</v>
      </c>
      <c r="C34" s="39">
        <f>+'tab02'!E52/1000</f>
        <v>3196.7260000000001</v>
      </c>
      <c r="D34" s="39">
        <v>9.0337511501685004</v>
      </c>
      <c r="E34" s="84">
        <f t="shared" si="0"/>
        <v>3655.0857511501686</v>
      </c>
      <c r="F34" s="39"/>
      <c r="G34" s="39">
        <f>'tab6'!F54/1000</f>
        <v>1807.7056423333333</v>
      </c>
      <c r="H34" s="39">
        <f>'tab6'!G54/1000</f>
        <v>1116.4958686412999</v>
      </c>
      <c r="I34" s="39">
        <f t="shared" si="5"/>
        <v>157.07424017553535</v>
      </c>
      <c r="J34" s="39">
        <f t="shared" si="6"/>
        <v>3081.2757511501686</v>
      </c>
      <c r="K34" s="39">
        <f>'tab01'!D43/1000</f>
        <v>573.80999999999995</v>
      </c>
      <c r="L34" s="33">
        <v>6.43</v>
      </c>
      <c r="M34" s="39"/>
    </row>
    <row r="35" spans="1:13">
      <c r="A35" s="71">
        <v>2007</v>
      </c>
      <c r="B35" s="39">
        <f t="shared" si="4"/>
        <v>573.80999999999995</v>
      </c>
      <c r="C35" s="39">
        <f>+'tab02'!E53/1000</f>
        <v>2677.1170000000002</v>
      </c>
      <c r="D35" s="39">
        <v>9.8708029129773003</v>
      </c>
      <c r="E35" s="84">
        <f t="shared" si="0"/>
        <v>3260.7978029129777</v>
      </c>
      <c r="F35" s="39"/>
      <c r="G35" s="39">
        <f>'tab6'!F61/1000</f>
        <v>1803.4073376666665</v>
      </c>
      <c r="H35" s="39">
        <f>'tab6'!G61/1000</f>
        <v>1158.8290570290001</v>
      </c>
      <c r="I35" s="39">
        <f t="shared" si="5"/>
        <v>93.527408217310949</v>
      </c>
      <c r="J35" s="39">
        <f t="shared" si="6"/>
        <v>3055.7638029129776</v>
      </c>
      <c r="K35" s="39">
        <f>'tab01'!D48/1000</f>
        <v>205.03399999999999</v>
      </c>
      <c r="L35" s="33">
        <v>10.1</v>
      </c>
      <c r="M35" s="39"/>
    </row>
    <row r="36" spans="1:13">
      <c r="A36" s="71">
        <v>2008</v>
      </c>
      <c r="B36" s="39">
        <f t="shared" ref="B36:B41" si="7">+K35</f>
        <v>205.03399999999999</v>
      </c>
      <c r="C36" s="39">
        <f>+'tab02'!E54/1000</f>
        <v>2967.0070000000001</v>
      </c>
      <c r="D36" s="39">
        <v>13.2631296312942</v>
      </c>
      <c r="E36" s="84">
        <f t="shared" si="0"/>
        <v>3185.3041296312945</v>
      </c>
      <c r="F36" s="39"/>
      <c r="G36" s="39">
        <f>'tab6'!F68/1000</f>
        <v>1661.9220666666665</v>
      </c>
      <c r="H36" s="39">
        <f>'tab6'!G68/1000</f>
        <v>1279.2935714286</v>
      </c>
      <c r="I36" s="39">
        <f t="shared" ref="I36:I41" si="8">+J36-G36-H36</f>
        <v>105.89049153602809</v>
      </c>
      <c r="J36" s="39">
        <f t="shared" ref="J36:J41" si="9">+E36-K36</f>
        <v>3047.1061296312946</v>
      </c>
      <c r="K36" s="39">
        <f>'tab01'!D53/1000</f>
        <v>138.19800000000001</v>
      </c>
      <c r="L36" s="33">
        <v>9.9700000000000006</v>
      </c>
      <c r="M36" s="39"/>
    </row>
    <row r="37" spans="1:13">
      <c r="A37" s="71">
        <v>2009</v>
      </c>
      <c r="B37" s="39">
        <f t="shared" si="7"/>
        <v>138.19800000000001</v>
      </c>
      <c r="C37" s="39">
        <f>+'tab02'!E55/1000</f>
        <v>3360.931</v>
      </c>
      <c r="D37" s="39">
        <v>14.5881068286513</v>
      </c>
      <c r="E37" s="84">
        <f t="shared" si="0"/>
        <v>3513.7171068286511</v>
      </c>
      <c r="F37" s="39"/>
      <c r="G37" s="39">
        <f>'tab6'!F75/1000</f>
        <v>1751.6862683333336</v>
      </c>
      <c r="H37" s="39">
        <f>'tab6'!G75/1000</f>
        <v>1499.0481245103001</v>
      </c>
      <c r="I37" s="39">
        <f t="shared" si="8"/>
        <v>112.09771398501766</v>
      </c>
      <c r="J37" s="39">
        <f t="shared" si="9"/>
        <v>3362.8321068286514</v>
      </c>
      <c r="K37" s="39">
        <f>'tab01'!D58/1000</f>
        <v>150.88499999999999</v>
      </c>
      <c r="L37" s="33">
        <v>9.59</v>
      </c>
      <c r="M37" s="39"/>
    </row>
    <row r="38" spans="1:13">
      <c r="A38" s="71">
        <v>2010</v>
      </c>
      <c r="B38" s="39">
        <f t="shared" si="7"/>
        <v>150.88499999999999</v>
      </c>
      <c r="C38" s="39">
        <f>+'tab02'!E56/1000</f>
        <v>3331.306</v>
      </c>
      <c r="D38" s="39">
        <v>14.4490964828322</v>
      </c>
      <c r="E38" s="84">
        <f t="shared" si="0"/>
        <v>3496.6400964828322</v>
      </c>
      <c r="F38" s="39"/>
      <c r="G38" s="39">
        <f>'tab6'!F82/1000</f>
        <v>1648.0425946666669</v>
      </c>
      <c r="H38" s="39">
        <f>'tab6'!G82/1000</f>
        <v>1504.9776390978</v>
      </c>
      <c r="I38" s="39">
        <f t="shared" si="8"/>
        <v>128.60686271836539</v>
      </c>
      <c r="J38" s="39">
        <f t="shared" si="9"/>
        <v>3281.6270964828323</v>
      </c>
      <c r="K38" s="39">
        <f>'tab01'!D63/1000</f>
        <v>215.01300000000001</v>
      </c>
      <c r="L38" s="33">
        <v>11.3</v>
      </c>
      <c r="M38" s="39"/>
    </row>
    <row r="39" spans="1:13">
      <c r="A39" s="71">
        <v>2011</v>
      </c>
      <c r="B39" s="39">
        <f t="shared" si="7"/>
        <v>215.01300000000001</v>
      </c>
      <c r="C39" s="39">
        <f>+'tab02'!E57/1000</f>
        <v>3097.1790000000001</v>
      </c>
      <c r="D39" s="39">
        <v>16.132001704578901</v>
      </c>
      <c r="E39" s="84">
        <f t="shared" si="0"/>
        <v>3328.3240017045791</v>
      </c>
      <c r="F39" s="39"/>
      <c r="G39" s="39">
        <f>'tab6'!F89/1000</f>
        <v>1703.019</v>
      </c>
      <c r="H39" s="39">
        <f>'tab6'!G89/1000</f>
        <v>1365.2509814978098</v>
      </c>
      <c r="I39" s="39">
        <f t="shared" si="8"/>
        <v>90.684020206769446</v>
      </c>
      <c r="J39" s="39">
        <f t="shared" si="9"/>
        <v>3158.9540017045792</v>
      </c>
      <c r="K39" s="39">
        <f>'tab01'!D68/1000</f>
        <v>169.37</v>
      </c>
      <c r="L39" s="33">
        <v>12.5</v>
      </c>
      <c r="M39" s="39"/>
    </row>
    <row r="40" spans="1:13">
      <c r="A40" s="71">
        <v>2012</v>
      </c>
      <c r="B40" s="39">
        <f t="shared" si="7"/>
        <v>169.37</v>
      </c>
      <c r="C40" s="39">
        <f>+'tab02'!E58/1000</f>
        <v>3042.0439999999999</v>
      </c>
      <c r="D40" s="39">
        <v>40.516441188976195</v>
      </c>
      <c r="E40" s="84">
        <f t="shared" si="0"/>
        <v>3251.9304411889761</v>
      </c>
      <c r="F40" s="39"/>
      <c r="G40" s="39">
        <f>'tab6'!F96/1000</f>
        <v>1688.903</v>
      </c>
      <c r="H40" s="39">
        <f>'tab6'!G96/1000</f>
        <v>1327.5260000000001</v>
      </c>
      <c r="I40" s="39">
        <f t="shared" si="8"/>
        <v>94.94444118897627</v>
      </c>
      <c r="J40" s="39">
        <f t="shared" si="9"/>
        <v>3111.3734411889764</v>
      </c>
      <c r="K40" s="39">
        <f>'tab01'!D73/1000</f>
        <v>140.55699999999999</v>
      </c>
      <c r="L40" s="33">
        <v>14.4</v>
      </c>
      <c r="M40" s="39"/>
    </row>
    <row r="41" spans="1:13">
      <c r="A41" s="71">
        <v>2013</v>
      </c>
      <c r="B41" s="39">
        <f t="shared" si="7"/>
        <v>140.55699999999999</v>
      </c>
      <c r="C41" s="39">
        <f>+'tab02'!E59/1000</f>
        <v>3357.9839999999999</v>
      </c>
      <c r="D41" s="39">
        <v>71.777046168786015</v>
      </c>
      <c r="E41" s="84">
        <f t="shared" si="0"/>
        <v>3570.3180461687857</v>
      </c>
      <c r="F41" s="39"/>
      <c r="G41" s="39">
        <f>'tab6'!F103/1000</f>
        <v>1733.8879999999999</v>
      </c>
      <c r="H41" s="39">
        <f>'tab6'!G103/1000</f>
        <v>1638.5589397691786</v>
      </c>
      <c r="I41" s="39">
        <f t="shared" si="8"/>
        <v>105.88010639960726</v>
      </c>
      <c r="J41" s="39">
        <f t="shared" si="9"/>
        <v>3478.3270461687857</v>
      </c>
      <c r="K41" s="39">
        <f>'tab01'!D78/1000</f>
        <v>91.991</v>
      </c>
      <c r="L41" s="33">
        <v>13</v>
      </c>
      <c r="M41" s="39"/>
    </row>
    <row r="42" spans="1:13">
      <c r="A42" s="71">
        <v>2014</v>
      </c>
      <c r="B42" s="39">
        <f>+K41</f>
        <v>91.991</v>
      </c>
      <c r="C42" s="39">
        <f>+'tab02'!E60/1000</f>
        <v>3927.09</v>
      </c>
      <c r="D42" s="39">
        <v>33.224673398137199</v>
      </c>
      <c r="E42" s="84">
        <f t="shared" si="0"/>
        <v>4052.3056733981375</v>
      </c>
      <c r="F42" s="39"/>
      <c r="G42" s="39">
        <f>'tab6'!F110/1000</f>
        <v>1873.4937851587886</v>
      </c>
      <c r="H42" s="39">
        <f>'tab6'!G110/1000</f>
        <v>1842.4226925928908</v>
      </c>
      <c r="I42" s="39">
        <f>+J42-G42-H42</f>
        <v>145.77919564645799</v>
      </c>
      <c r="J42" s="39">
        <f>+E42-K42</f>
        <v>3861.6956733981374</v>
      </c>
      <c r="K42" s="39">
        <f>'tab01'!D83/1000</f>
        <v>190.61</v>
      </c>
      <c r="L42" s="33">
        <v>10.1</v>
      </c>
      <c r="M42" s="39"/>
    </row>
    <row r="43" spans="1:13">
      <c r="A43" s="71">
        <v>2015</v>
      </c>
      <c r="B43" s="39">
        <f>+K42</f>
        <v>190.61</v>
      </c>
      <c r="C43" s="39">
        <f>+'tab02'!E61/1000</f>
        <v>3926.3389999999999</v>
      </c>
      <c r="D43" s="39">
        <v>23.540639630852397</v>
      </c>
      <c r="E43" s="84">
        <f t="shared" si="0"/>
        <v>4140.4896396308523</v>
      </c>
      <c r="F43" s="39"/>
      <c r="G43" s="39">
        <f>'tab6'!F129/1000</f>
        <v>1886.2368000000001</v>
      </c>
      <c r="H43" s="39">
        <f>'tab6'!G129/1000</f>
        <v>1942.256289243398</v>
      </c>
      <c r="I43" s="39">
        <v>115</v>
      </c>
      <c r="J43" s="39">
        <f>+E43-K43</f>
        <v>3943.7606396308524</v>
      </c>
      <c r="K43" s="39">
        <f>'tab01'!D88/1000</f>
        <v>196.72900000000001</v>
      </c>
      <c r="L43" s="33">
        <v>8.9499999999999993</v>
      </c>
      <c r="M43" s="39"/>
    </row>
    <row r="44" spans="1:13">
      <c r="A44" s="71">
        <v>2016</v>
      </c>
      <c r="B44" s="39">
        <f>+K43</f>
        <v>196.72900000000001</v>
      </c>
      <c r="C44" s="228">
        <f>+'tab02'!E62/1000</f>
        <v>4296.0860000000002</v>
      </c>
      <c r="D44" s="228">
        <v>22.241776548522299</v>
      </c>
      <c r="E44" s="84">
        <f t="shared" si="0"/>
        <v>4515.056776548523</v>
      </c>
      <c r="F44" s="39"/>
      <c r="G44" s="228">
        <f>'tab6'!F148/1000</f>
        <v>1901.1980666666666</v>
      </c>
      <c r="H44" s="228">
        <f>'tab6'!G148/1000</f>
        <v>2173.6525417372668</v>
      </c>
      <c r="I44" s="39">
        <v>141</v>
      </c>
      <c r="J44" s="39">
        <f>+E44-K44</f>
        <v>4213.056776548523</v>
      </c>
      <c r="K44" s="39">
        <v>302</v>
      </c>
      <c r="L44" s="233">
        <v>9.4700000000000006</v>
      </c>
      <c r="M44" s="39"/>
    </row>
    <row r="45" spans="1:13">
      <c r="A45" s="130" t="s">
        <v>660</v>
      </c>
      <c r="B45" s="40">
        <f>+K44</f>
        <v>302</v>
      </c>
      <c r="C45" s="40">
        <f>+'tab02'!E63/1000</f>
        <v>4391.5529999999999</v>
      </c>
      <c r="D45" s="226">
        <v>25</v>
      </c>
      <c r="E45" s="40">
        <f>+B45+C45+D45</f>
        <v>4718.5529999999999</v>
      </c>
      <c r="F45" s="40"/>
      <c r="G45" s="226">
        <v>1960</v>
      </c>
      <c r="H45" s="226">
        <v>2065</v>
      </c>
      <c r="I45" s="40">
        <f>+J45-G45-H45</f>
        <v>138.55299999999988</v>
      </c>
      <c r="J45" s="40">
        <f>+E45-K45</f>
        <v>4163.5529999999999</v>
      </c>
      <c r="K45" s="226">
        <v>555</v>
      </c>
      <c r="L45" s="353" t="s">
        <v>732</v>
      </c>
      <c r="M45" s="39"/>
    </row>
    <row r="46" spans="1:13" ht="13.25" customHeight="1">
      <c r="A46" s="117" t="s">
        <v>423</v>
      </c>
      <c r="E46" s="39"/>
      <c r="G46" s="39"/>
      <c r="I46" s="227"/>
      <c r="J46" s="227"/>
    </row>
    <row r="47" spans="1:13" ht="13.25" customHeight="1">
      <c r="A47" s="158" t="s">
        <v>594</v>
      </c>
    </row>
    <row r="48" spans="1:13" ht="13.25" customHeight="1">
      <c r="A48" s="10" t="s">
        <v>595</v>
      </c>
    </row>
    <row r="49" spans="11:12" ht="10.25" customHeight="1">
      <c r="K49" s="313"/>
      <c r="L49" s="313" t="s">
        <v>679</v>
      </c>
    </row>
  </sheetData>
  <phoneticPr fontId="0" type="noConversion"/>
  <pageMargins left="0.7" right="0.7" top="0.75" bottom="0.75" header="0.3" footer="0.3"/>
  <pageSetup scale="86" firstPageNumber="3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M79"/>
  <sheetViews>
    <sheetView zoomScaleNormal="100" zoomScaleSheetLayoutView="100" workbookViewId="0"/>
  </sheetViews>
  <sheetFormatPr baseColWidth="10" defaultColWidth="8.75" defaultRowHeight="11"/>
  <cols>
    <col min="1" max="1" width="9" customWidth="1"/>
    <col min="2" max="3" width="12.75" customWidth="1"/>
    <col min="4" max="4" width="2.75" customWidth="1"/>
    <col min="5" max="6" width="12.75" customWidth="1"/>
    <col min="7" max="7" width="2.75" customWidth="1"/>
    <col min="8" max="9" width="12.75" customWidth="1"/>
    <col min="10" max="10" width="2.75" customWidth="1"/>
    <col min="11" max="12" width="12.75" customWidth="1"/>
  </cols>
  <sheetData>
    <row r="1" spans="1:12">
      <c r="A1" s="1" t="s">
        <v>527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B2" s="331" t="s">
        <v>322</v>
      </c>
      <c r="C2" s="312"/>
      <c r="E2" s="343" t="s">
        <v>331</v>
      </c>
      <c r="F2" s="312"/>
      <c r="H2" s="331" t="s">
        <v>332</v>
      </c>
      <c r="I2" s="312"/>
      <c r="K2" s="331" t="s">
        <v>333</v>
      </c>
      <c r="L2" s="312"/>
    </row>
    <row r="3" spans="1:12">
      <c r="A3" t="s">
        <v>318</v>
      </c>
      <c r="B3" s="344" t="s">
        <v>323</v>
      </c>
      <c r="C3" s="318"/>
      <c r="E3" s="344" t="s">
        <v>403</v>
      </c>
      <c r="F3" s="318"/>
      <c r="H3" s="341" t="s">
        <v>403</v>
      </c>
      <c r="I3" s="318"/>
      <c r="K3" s="344" t="s">
        <v>323</v>
      </c>
      <c r="L3" s="318"/>
    </row>
    <row r="4" spans="1:12">
      <c r="A4" t="s">
        <v>319</v>
      </c>
      <c r="B4" s="7" t="s">
        <v>3</v>
      </c>
      <c r="C4" s="7" t="s">
        <v>320</v>
      </c>
      <c r="E4" s="7" t="s">
        <v>3</v>
      </c>
      <c r="F4" s="7" t="s">
        <v>320</v>
      </c>
      <c r="H4" s="7" t="s">
        <v>3</v>
      </c>
      <c r="I4" s="7" t="s">
        <v>320</v>
      </c>
      <c r="K4" s="7" t="s">
        <v>3</v>
      </c>
      <c r="L4" s="7" t="s">
        <v>320</v>
      </c>
    </row>
    <row r="5" spans="1:12">
      <c r="A5" s="1"/>
      <c r="B5" s="9"/>
      <c r="C5" s="9" t="s">
        <v>321</v>
      </c>
      <c r="D5" s="1"/>
      <c r="E5" s="9"/>
      <c r="F5" s="9" t="s">
        <v>321</v>
      </c>
      <c r="G5" s="1"/>
      <c r="H5" s="9"/>
      <c r="I5" s="9" t="s">
        <v>321</v>
      </c>
      <c r="J5" s="1"/>
      <c r="K5" s="9"/>
      <c r="L5" s="9" t="s">
        <v>321</v>
      </c>
    </row>
    <row r="6" spans="1:12" ht="12" customHeight="1">
      <c r="B6" s="7" t="s">
        <v>91</v>
      </c>
      <c r="C6" s="7" t="s">
        <v>95</v>
      </c>
      <c r="E6" s="7" t="s">
        <v>91</v>
      </c>
      <c r="F6" s="7" t="s">
        <v>95</v>
      </c>
      <c r="H6" s="7" t="s">
        <v>91</v>
      </c>
      <c r="I6" s="7" t="s">
        <v>95</v>
      </c>
      <c r="K6" s="7" t="s">
        <v>91</v>
      </c>
      <c r="L6" s="7" t="s">
        <v>95</v>
      </c>
    </row>
    <row r="7" spans="1:12" ht="12" customHeight="1">
      <c r="B7" s="7"/>
      <c r="C7" s="7"/>
      <c r="E7" s="7"/>
      <c r="F7" s="7"/>
      <c r="H7" s="7"/>
      <c r="I7" s="7"/>
      <c r="K7" s="7"/>
      <c r="L7" s="7"/>
    </row>
    <row r="8" spans="1:12">
      <c r="A8" s="10">
        <v>1980</v>
      </c>
      <c r="B8" s="39">
        <f>+'tab43'!G7</f>
        <v>1017.5</v>
      </c>
      <c r="C8" s="65">
        <f>+'tab43'!J7</f>
        <v>4.4680888436103032</v>
      </c>
      <c r="E8" s="39">
        <f>+'tab42'!J8</f>
        <v>588.08199999999999</v>
      </c>
      <c r="F8" s="65">
        <f>+'tab42'!K8</f>
        <v>2.5824104406172328</v>
      </c>
      <c r="H8" s="39">
        <f>+'tab44'!J8</f>
        <v>241</v>
      </c>
      <c r="I8" s="65">
        <f>+'tab44'!K8</f>
        <v>1.0582893477248976</v>
      </c>
      <c r="K8" s="39">
        <f>+'tab40'!G7</f>
        <v>2591.0600000000004</v>
      </c>
      <c r="L8" s="65">
        <f>+'tab40'!J7</f>
        <v>11.377971773095739</v>
      </c>
    </row>
    <row r="9" spans="1:12">
      <c r="A9" s="10">
        <v>1981</v>
      </c>
      <c r="B9" s="39">
        <f>+'tab43'!G8</f>
        <v>974.78099999999995</v>
      </c>
      <c r="C9" s="65">
        <f>+'tab43'!J8</f>
        <v>4.2396745605872175</v>
      </c>
      <c r="E9" s="39">
        <f>+'tab42'!J9</f>
        <v>573.43599999999992</v>
      </c>
      <c r="F9" s="65">
        <f>+'tab42'!K9</f>
        <v>2.4935686144908376</v>
      </c>
      <c r="H9" s="39">
        <f>+'tab44'!J9</f>
        <v>223</v>
      </c>
      <c r="I9" s="65">
        <f>+'tab44'!K9</f>
        <v>0.96970856561404728</v>
      </c>
      <c r="K9" s="39">
        <f>+'tab40'!G8</f>
        <v>2573.0439999999999</v>
      </c>
      <c r="L9" s="65">
        <f>+'tab40'!J8</f>
        <v>11.188801822878164</v>
      </c>
    </row>
    <row r="10" spans="1:12">
      <c r="A10" s="10">
        <v>1982</v>
      </c>
      <c r="B10" s="39">
        <f>+'tab43'!G9</f>
        <v>1010.607</v>
      </c>
      <c r="C10" s="65">
        <f>+'tab43'!J9</f>
        <v>4.3525375988423169</v>
      </c>
      <c r="E10" s="39">
        <f>+'tab42'!J10</f>
        <v>585.48</v>
      </c>
      <c r="F10" s="65">
        <f>+'tab42'!K10</f>
        <v>2.5215773424983206</v>
      </c>
      <c r="H10" s="39">
        <f>+'tab44'!J10</f>
        <v>303.892</v>
      </c>
      <c r="I10" s="65">
        <f>+'tab44'!K10</f>
        <v>1.3088187158681759</v>
      </c>
      <c r="K10" s="39">
        <f>+'tab40'!G9</f>
        <v>2581.6570000000002</v>
      </c>
      <c r="L10" s="65">
        <f>+'tab40'!J9</f>
        <v>11.118821816803626</v>
      </c>
    </row>
    <row r="11" spans="1:12">
      <c r="A11" s="10">
        <v>1983</v>
      </c>
      <c r="B11" s="39">
        <f>+'tab43'!G10</f>
        <v>1149.675</v>
      </c>
      <c r="C11" s="65">
        <f>+'tab43'!J10</f>
        <v>4.9075571792562744</v>
      </c>
      <c r="E11" s="39">
        <f>+'tab42'!J11</f>
        <v>487.38100000000003</v>
      </c>
      <c r="F11" s="65">
        <f>+'tab42'!K11</f>
        <v>2.080095771786588</v>
      </c>
      <c r="H11" s="39">
        <f>+'tab44'!J11</f>
        <v>495.51679999999999</v>
      </c>
      <c r="I11" s="65">
        <f>+'tab44'!K11</f>
        <v>2.1148185927010292</v>
      </c>
      <c r="K11" s="39">
        <f>+'tab40'!G10</f>
        <v>2446.4959999999996</v>
      </c>
      <c r="L11" s="65">
        <f>+'tab40'!J10</f>
        <v>10.441412335098823</v>
      </c>
    </row>
    <row r="12" spans="1:12">
      <c r="A12" s="10">
        <v>1984</v>
      </c>
      <c r="B12" s="39">
        <f>+'tab43'!G11</f>
        <v>1176.0880000000002</v>
      </c>
      <c r="C12" s="65">
        <f>+'tab43'!J11</f>
        <v>4.9773554250511962</v>
      </c>
      <c r="E12" s="39">
        <f>+'tab42'!J12</f>
        <v>492.91200000000015</v>
      </c>
      <c r="F12" s="65">
        <f>+'tab42'!K12</f>
        <v>2.0855348892311341</v>
      </c>
      <c r="H12" s="39">
        <f>+'tab44'!J12</f>
        <v>410.29100000000011</v>
      </c>
      <c r="I12" s="65">
        <f>+'tab44'!K12</f>
        <v>1.7359613789835331</v>
      </c>
      <c r="K12" s="39">
        <f>+'tab40'!G11</f>
        <v>2472.04</v>
      </c>
      <c r="L12" s="65">
        <f>+'tab40'!J11</f>
        <v>10.459322693655118</v>
      </c>
    </row>
    <row r="13" spans="1:12">
      <c r="A13" s="10">
        <v>1985</v>
      </c>
      <c r="B13" s="39">
        <f>+'tab43'!G12</f>
        <v>1275.6279999999997</v>
      </c>
      <c r="C13" s="65">
        <f>+'tab43'!J12</f>
        <v>5.3484687902451498</v>
      </c>
      <c r="E13" s="39">
        <f>+'tab42'!J13</f>
        <v>427.42499999999995</v>
      </c>
      <c r="F13" s="65">
        <f>+'tab42'!K13</f>
        <v>1.7923938842434559</v>
      </c>
      <c r="H13" s="39">
        <f>+'tab44'!J13</f>
        <v>471.11299999999994</v>
      </c>
      <c r="I13" s="65">
        <f>+'tab44'!K13</f>
        <v>1.9755981984853184</v>
      </c>
      <c r="K13" s="39">
        <f>+'tab40'!G12</f>
        <v>2588.0760000000005</v>
      </c>
      <c r="L13" s="65">
        <f>+'tab40'!J12</f>
        <v>10.85301887900162</v>
      </c>
    </row>
    <row r="14" spans="1:12">
      <c r="A14" s="10">
        <v>1986</v>
      </c>
      <c r="B14" s="39">
        <f>+'tab43'!G13</f>
        <v>1202.9790000000003</v>
      </c>
      <c r="C14" s="65">
        <f>+'tab43'!J13</f>
        <v>5.000513213616399</v>
      </c>
      <c r="E14" s="39">
        <f>+'tab42'!J14</f>
        <v>417.65100000000007</v>
      </c>
      <c r="F14" s="65">
        <f>+'tab42'!K14</f>
        <v>1.7355049428425398</v>
      </c>
      <c r="H14" s="39">
        <f>+'tab44'!J14</f>
        <v>437.50499999999994</v>
      </c>
      <c r="I14" s="65">
        <f>+'tab44'!K14</f>
        <v>1.8180061582956228</v>
      </c>
      <c r="K14" s="39">
        <f>+'tab40'!G13</f>
        <v>2761.2979999999998</v>
      </c>
      <c r="L14" s="65">
        <f>+'tab40'!J13</f>
        <v>11.474284337069031</v>
      </c>
    </row>
    <row r="15" spans="1:12">
      <c r="A15" s="10">
        <v>1987</v>
      </c>
      <c r="B15" s="39">
        <f>+'tab43'!G14</f>
        <v>1141.0429999999999</v>
      </c>
      <c r="C15" s="65">
        <f>+'tab43'!J14</f>
        <v>4.6999952849705933</v>
      </c>
      <c r="E15" s="39">
        <f>+'tab42'!J15</f>
        <v>441.58699999999999</v>
      </c>
      <c r="F15" s="65">
        <f>+'tab42'!K15</f>
        <v>1.8186973855455428</v>
      </c>
      <c r="H15" s="39">
        <f>+'tab44'!J15</f>
        <v>226.04100000000005</v>
      </c>
      <c r="I15" s="65">
        <f>+'tab44'!K15</f>
        <v>0.93096077494604723</v>
      </c>
      <c r="K15" s="39">
        <f>+'tab40'!G14</f>
        <v>2565.2449999999994</v>
      </c>
      <c r="L15" s="65">
        <f>+'tab40'!J14</f>
        <v>10.565085418691616</v>
      </c>
    </row>
    <row r="16" spans="1:12">
      <c r="A16" s="10">
        <v>1988</v>
      </c>
      <c r="B16" s="39">
        <f>+'tab43'!G15</f>
        <v>1124.701</v>
      </c>
      <c r="C16" s="65">
        <f>+'tab43'!J15</f>
        <v>4.5924257590655495</v>
      </c>
      <c r="E16" s="39">
        <f>+'tab42'!J16</f>
        <v>434.29899999999992</v>
      </c>
      <c r="F16" s="65">
        <f>+'tab42'!K16</f>
        <v>1.7724970512731559</v>
      </c>
      <c r="H16" s="39">
        <f>+'tab44'!J16</f>
        <v>205.30899999999997</v>
      </c>
      <c r="I16" s="65">
        <f>+'tab44'!K16</f>
        <v>0.83792409630194953</v>
      </c>
      <c r="K16" s="39">
        <f>+'tab40'!G15</f>
        <v>2543.1759999999999</v>
      </c>
      <c r="L16" s="65">
        <f>+'tab40'!J15</f>
        <v>10.379420539463965</v>
      </c>
    </row>
    <row r="17" spans="1:12">
      <c r="A17" s="10">
        <v>1989</v>
      </c>
      <c r="B17" s="39">
        <f>+'tab43'!G16</f>
        <v>1167.9749999999999</v>
      </c>
      <c r="C17" s="65">
        <f>+'tab43'!J16</f>
        <v>4.7330062823119405</v>
      </c>
      <c r="E17" s="39">
        <f>+'tab42'!J17</f>
        <v>422.67238547192005</v>
      </c>
      <c r="F17" s="65">
        <f>+'tab42'!K17</f>
        <v>1.7088581214347747</v>
      </c>
      <c r="H17" s="39">
        <f>+'tab44'!J17</f>
        <v>63.101890012387862</v>
      </c>
      <c r="I17" s="65">
        <f>+'tab44'!K17</f>
        <v>0.25511999584537953</v>
      </c>
      <c r="K17" s="39">
        <f>+'tab40'!G16</f>
        <v>2525.5552305247561</v>
      </c>
      <c r="L17" s="65">
        <f>+'tab40'!J16</f>
        <v>10.21078195585366</v>
      </c>
    </row>
    <row r="18" spans="1:12">
      <c r="A18" s="10">
        <v>1990</v>
      </c>
      <c r="B18" s="39">
        <f>+'tab43'!G17</f>
        <v>988.27600000000007</v>
      </c>
      <c r="C18" s="65">
        <f>+'tab43'!J17</f>
        <v>3.9580022409855591</v>
      </c>
      <c r="E18" s="39">
        <f>+'tab42'!J18</f>
        <v>291.11750500000011</v>
      </c>
      <c r="F18" s="65">
        <f>+'tab42'!K18</f>
        <v>1.1638555042937333</v>
      </c>
      <c r="H18" s="39">
        <f>+'tab44'!J18</f>
        <v>154.24861133128394</v>
      </c>
      <c r="I18" s="65">
        <f>+'tab44'!K18</f>
        <v>0.61666884417541112</v>
      </c>
      <c r="K18" s="39">
        <f>+'tab40'!G17</f>
        <v>2731.3302552323362</v>
      </c>
      <c r="L18" s="65">
        <f>+'tab40'!J17</f>
        <v>10.919555495627653</v>
      </c>
    </row>
    <row r="19" spans="1:12">
      <c r="A19" s="10">
        <v>1991</v>
      </c>
      <c r="B19" s="39">
        <f>+'tab43'!G18</f>
        <v>1145.213</v>
      </c>
      <c r="C19" s="65">
        <f>+'tab43'!J18</f>
        <v>4.51966956240764</v>
      </c>
      <c r="E19" s="39">
        <f>+'tab42'!J19</f>
        <v>253.93119500000009</v>
      </c>
      <c r="F19" s="65">
        <f>+'tab42'!K19</f>
        <v>1.0017286276149642</v>
      </c>
      <c r="H19" s="39">
        <f>+'tab44'!J19</f>
        <v>363.86847739085215</v>
      </c>
      <c r="I19" s="65">
        <f>+'tab44'!K19</f>
        <v>1.435418245832635</v>
      </c>
      <c r="K19" s="39">
        <f>+'tab40'!G18</f>
        <v>2690.5114216107763</v>
      </c>
      <c r="L19" s="65">
        <f>+'tab40'!J18</f>
        <v>10.613750366324815</v>
      </c>
    </row>
    <row r="20" spans="1:12">
      <c r="A20" s="10">
        <v>1992</v>
      </c>
      <c r="B20" s="39">
        <f>+'tab43'!G19</f>
        <v>1245.0909999999999</v>
      </c>
      <c r="C20" s="65">
        <f>+'tab43'!J19</f>
        <v>4.691897240306897</v>
      </c>
      <c r="E20" s="39">
        <f>+'tab42'!J20</f>
        <v>239.48515900000015</v>
      </c>
      <c r="F20" s="65">
        <f>+'tab42'!K20</f>
        <v>0.93223336862674933</v>
      </c>
      <c r="H20" s="39">
        <f>+'tab44'!J20</f>
        <v>609.84729300000004</v>
      </c>
      <c r="I20" s="65">
        <f>+'tab44'!K20</f>
        <v>2.3739257942964804</v>
      </c>
      <c r="K20" s="39">
        <f>+'tab40'!G19</f>
        <v>2821.4417100573037</v>
      </c>
      <c r="L20" s="65">
        <f>+'tab40'!J19</f>
        <v>10.982902325695827</v>
      </c>
    </row>
    <row r="21" spans="1:12">
      <c r="A21" s="10">
        <v>1993</v>
      </c>
      <c r="B21" s="39">
        <f>+'tab43'!G20</f>
        <v>1242.848</v>
      </c>
      <c r="C21" s="65">
        <f>+'tab43'!J20</f>
        <v>4.7786195416556847</v>
      </c>
      <c r="E21" s="39">
        <f>+'tab42'!J21</f>
        <v>200.63820100000007</v>
      </c>
      <c r="F21" s="65">
        <f>+'tab42'!K21</f>
        <v>0.7709292847399668</v>
      </c>
      <c r="H21" s="39">
        <f>+'tab44'!J21</f>
        <v>564.96998399999995</v>
      </c>
      <c r="I21" s="65">
        <f>+'tab44'!K21</f>
        <v>2.1708323913085241</v>
      </c>
      <c r="K21" s="39">
        <f>+'tab40'!G20</f>
        <v>2886.940847546286</v>
      </c>
      <c r="L21" s="65">
        <f>+'tab40'!J20</f>
        <v>11.092739227089917</v>
      </c>
    </row>
    <row r="22" spans="1:12">
      <c r="A22" s="10">
        <v>1994</v>
      </c>
      <c r="B22" s="39">
        <f>+'tab43'!G21</f>
        <v>1278.0539999999999</v>
      </c>
      <c r="C22" s="65">
        <f>+'tab43'!J21</f>
        <v>4.8583911676885467</v>
      </c>
      <c r="E22" s="39">
        <f>+'tab42'!J22</f>
        <v>154.60077201482204</v>
      </c>
      <c r="F22" s="65">
        <f>+'tab42'!K22</f>
        <v>0.58686273711573989</v>
      </c>
      <c r="H22" s="39">
        <f>+'tab44'!J22</f>
        <v>639.17606899999976</v>
      </c>
      <c r="I22" s="65">
        <f>+'tab44'!K22</f>
        <v>2.4263049431360932</v>
      </c>
      <c r="K22" s="39">
        <f>+'tab40'!G21</f>
        <v>2610.2587530159662</v>
      </c>
      <c r="L22" s="65">
        <f>+'tab40'!J21</f>
        <v>9.9085119460361017</v>
      </c>
    </row>
    <row r="23" spans="1:12">
      <c r="A23" s="10">
        <v>1995</v>
      </c>
      <c r="B23" s="39">
        <f>+'tab43'!G22</f>
        <v>1240.1600000000003</v>
      </c>
      <c r="C23" s="65">
        <f>+'tab43'!J22</f>
        <v>4.6526901222949082</v>
      </c>
      <c r="E23" s="39">
        <f>+'tab42'!J23</f>
        <v>106.17222921558604</v>
      </c>
      <c r="F23" s="65">
        <f>+'tab42'!K23</f>
        <v>0.39830966440793542</v>
      </c>
      <c r="H23" s="39">
        <f>+'tab44'!J23</f>
        <v>710.52456499999994</v>
      </c>
      <c r="I23" s="65">
        <f>+'tab44'!K23</f>
        <v>2.6655633316701488</v>
      </c>
      <c r="K23" s="39">
        <f>+'tab40'!G22</f>
        <v>2462.9542571806542</v>
      </c>
      <c r="L23" s="65">
        <f>+'tab40'!J22</f>
        <v>9.2398783644048148</v>
      </c>
    </row>
    <row r="24" spans="1:12">
      <c r="A24" s="10">
        <v>1996</v>
      </c>
      <c r="B24" s="39">
        <f>+'tab43'!G23</f>
        <v>1141.7069999999999</v>
      </c>
      <c r="C24" s="65">
        <f>+'tab43'!J23</f>
        <v>4.2001290946018015</v>
      </c>
      <c r="E24" s="39">
        <f>+'tab42'!J24</f>
        <v>151.80156941324805</v>
      </c>
      <c r="F24" s="65">
        <f>+'tab42'!K24</f>
        <v>0.56292230570758772</v>
      </c>
      <c r="H24" s="39">
        <f>+'tab44'!J24</f>
        <v>784.40548499999989</v>
      </c>
      <c r="I24" s="65">
        <f>+'tab44'!K24</f>
        <v>2.9087930113807028</v>
      </c>
      <c r="K24" s="39">
        <f>+'tab40'!G23</f>
        <v>2471.2136453800476</v>
      </c>
      <c r="L24" s="65">
        <f>+'tab40'!J23</f>
        <v>9.1639453302778904</v>
      </c>
    </row>
    <row r="25" spans="1:12">
      <c r="A25" s="10">
        <v>1997</v>
      </c>
      <c r="B25" s="39">
        <f>+'tab43'!G24</f>
        <v>1130.489</v>
      </c>
      <c r="C25" s="65">
        <f>+'tab43'!J24</f>
        <v>4.047968091847145</v>
      </c>
      <c r="E25" s="39">
        <f>+'tab42'!J25</f>
        <v>209.04795259490606</v>
      </c>
      <c r="F25" s="65">
        <f>+'tab42'!K25</f>
        <v>0.76599032873199446</v>
      </c>
      <c r="H25" s="39">
        <f>+'tab44'!J25</f>
        <v>580.32344293081997</v>
      </c>
      <c r="I25" s="65">
        <f>+'tab44'!K25</f>
        <v>2.1264123341253591</v>
      </c>
      <c r="K25" s="39">
        <f>+'tab40'!G24</f>
        <v>2344.0703617974959</v>
      </c>
      <c r="L25" s="65">
        <f>+'tab40'!J24</f>
        <v>8.5891069714688104</v>
      </c>
    </row>
    <row r="26" spans="1:12">
      <c r="A26" s="10">
        <v>1998</v>
      </c>
      <c r="B26" s="39">
        <f>+'tab43'!G25</f>
        <v>1210.105</v>
      </c>
      <c r="C26" s="65">
        <f>+'tab43'!J25</f>
        <v>4.354610682941745</v>
      </c>
      <c r="E26" s="39">
        <f>+'tab42'!J26</f>
        <v>195.58539822002606</v>
      </c>
      <c r="F26" s="65">
        <f>+'tab42'!K26</f>
        <v>0.70834760233969929</v>
      </c>
      <c r="H26" s="39">
        <f>+'tab44'!J26</f>
        <v>868.33866277039419</v>
      </c>
      <c r="I26" s="65">
        <f>+'tab44'!K26</f>
        <v>3.1448442234952618</v>
      </c>
      <c r="K26" s="39">
        <f>+'tab40'!G25</f>
        <v>2297.2554178130563</v>
      </c>
      <c r="L26" s="65">
        <f>+'tab40'!J25</f>
        <v>8.3199225605746019</v>
      </c>
    </row>
    <row r="27" spans="1:12">
      <c r="A27" s="10">
        <v>1999</v>
      </c>
      <c r="B27" s="39">
        <f>+'tab43'!G26</f>
        <v>1306.7470000000001</v>
      </c>
      <c r="C27" s="65">
        <f>+'tab43'!J26</f>
        <v>4.6523278513773176</v>
      </c>
      <c r="E27" s="39">
        <f>+'tab42'!J27</f>
        <v>202.47850537986605</v>
      </c>
      <c r="F27" s="65">
        <f>+'tab42'!K27</f>
        <v>0.72496287215978106</v>
      </c>
      <c r="H27" s="39">
        <f>+'tab44'!J27</f>
        <v>996.31295444537</v>
      </c>
      <c r="I27" s="65">
        <f>+'tab44'!K27</f>
        <v>3.5672423582426105</v>
      </c>
      <c r="K27" s="39">
        <f>+'tab40'!G26</f>
        <v>2241.4640276491032</v>
      </c>
      <c r="L27" s="65">
        <f>+'tab40'!J26</f>
        <v>8.0254355704509681</v>
      </c>
    </row>
    <row r="28" spans="1:12">
      <c r="A28" s="10">
        <v>2000</v>
      </c>
      <c r="B28" s="39">
        <f>+'tab43'!G27</f>
        <v>1265.9880000000003</v>
      </c>
      <c r="C28" s="65">
        <f>+'tab43'!J27</f>
        <v>4.4806088365842243</v>
      </c>
      <c r="E28" s="39">
        <f>+'tab42'!J28</f>
        <v>221.02555144090203</v>
      </c>
      <c r="F28" s="65">
        <f>+'tab42'!K28</f>
        <v>0.78270995782673314</v>
      </c>
      <c r="H28" s="39">
        <f>+'tab44'!J28</f>
        <v>1125.094381164522</v>
      </c>
      <c r="I28" s="65">
        <f>+'tab44'!K28</f>
        <v>3.9842568874569189</v>
      </c>
      <c r="K28" s="39">
        <f>+'tab40'!G27</f>
        <v>2353.1849999999999</v>
      </c>
      <c r="L28" s="65">
        <f>+'tab40'!J27</f>
        <v>8.3332507038263373</v>
      </c>
    </row>
    <row r="29" spans="1:12">
      <c r="A29" s="10">
        <v>2001</v>
      </c>
      <c r="B29" s="39">
        <f>+'tab43'!G28</f>
        <v>1264.5549999999998</v>
      </c>
      <c r="C29" s="65">
        <f>+'tab43'!J28</f>
        <v>4.4163617009916676</v>
      </c>
      <c r="D29" s="41"/>
      <c r="E29" s="39">
        <f>+'tab42'!J29</f>
        <v>325.47404273246201</v>
      </c>
      <c r="F29" s="65">
        <f>+'tab42'!K29</f>
        <v>1.140777342223561</v>
      </c>
      <c r="G29" s="41"/>
      <c r="H29" s="39">
        <f>+'tab44'!J29</f>
        <v>868.68999389176588</v>
      </c>
      <c r="I29" s="65">
        <f>+'tab44'!K29</f>
        <v>3.0447339337061425</v>
      </c>
      <c r="J29" s="41"/>
      <c r="K29" s="39">
        <f>+'tab40'!G28</f>
        <v>2011.7079999999999</v>
      </c>
      <c r="L29" s="65">
        <f>+'tab40'!J28</f>
        <v>7.0509798148673886</v>
      </c>
    </row>
    <row r="30" spans="1:12">
      <c r="A30" s="10">
        <v>2002</v>
      </c>
      <c r="B30" s="39">
        <f>+'tab43'!G29</f>
        <v>1271.7280000000001</v>
      </c>
      <c r="C30" s="65">
        <f>+'tab43'!J29</f>
        <v>4.3984659569551079</v>
      </c>
      <c r="D30" s="41"/>
      <c r="E30" s="39">
        <f>+'tab42'!J30</f>
        <v>370.31737082460597</v>
      </c>
      <c r="F30" s="65">
        <f>+'tab42'!K30</f>
        <v>1.2853555850283958</v>
      </c>
      <c r="G30" s="41"/>
      <c r="H30" s="39">
        <f>+'tab44'!J30</f>
        <v>973.59023542239993</v>
      </c>
      <c r="I30" s="65">
        <f>+'tab44'!K30</f>
        <v>3.3792896180989564</v>
      </c>
      <c r="J30" s="41"/>
      <c r="K30" s="39">
        <f>+'tab40'!G29</f>
        <v>1889.2470000000001</v>
      </c>
      <c r="L30" s="65">
        <f>+'tab40'!J29</f>
        <v>6.5574946634039675</v>
      </c>
    </row>
    <row r="31" spans="1:12">
      <c r="A31" s="10">
        <v>2003</v>
      </c>
      <c r="B31" s="39">
        <f>+'tab43'!G30</f>
        <v>1302.1229999999998</v>
      </c>
      <c r="C31" s="65">
        <f>+'tab43'!J30</f>
        <v>4.4476833837655274</v>
      </c>
      <c r="D31" s="41"/>
      <c r="E31" s="39">
        <f>+'tab42'!J31</f>
        <v>368.51761525047999</v>
      </c>
      <c r="F31" s="65">
        <f>+'tab42'!K31</f>
        <v>1.2671673724313322</v>
      </c>
      <c r="G31" s="41"/>
      <c r="H31" s="39">
        <f>+'tab44'!J31</f>
        <v>1107.6326775052321</v>
      </c>
      <c r="I31" s="65">
        <f>+'tab44'!K31</f>
        <v>3.808653729128781</v>
      </c>
      <c r="J31" s="41"/>
      <c r="K31" s="39">
        <f>+'tab40'!G30</f>
        <v>1549.46</v>
      </c>
      <c r="L31" s="65">
        <f>+'tab40'!J30</f>
        <v>5.3279004195034734</v>
      </c>
    </row>
    <row r="32" spans="1:12">
      <c r="A32" s="10">
        <v>2004</v>
      </c>
      <c r="B32" s="39">
        <f>+'tab43'!G31</f>
        <v>1323.7280000000003</v>
      </c>
      <c r="C32" s="65">
        <f>+'tab43'!J31</f>
        <v>4.4938976224052709</v>
      </c>
      <c r="D32" s="41"/>
      <c r="E32" s="39">
        <f>+'tab42'!J32</f>
        <v>220.18941512037597</v>
      </c>
      <c r="F32" s="65">
        <f>+'tab42'!K32</f>
        <v>0.75031406044501681</v>
      </c>
      <c r="G32" s="41"/>
      <c r="H32" s="39">
        <f>+'tab44'!J32</f>
        <v>1163.2779549963097</v>
      </c>
      <c r="I32" s="65">
        <f>+'tab44'!K32</f>
        <v>3.9639680470666137</v>
      </c>
      <c r="J32" s="41"/>
      <c r="K32" s="39">
        <f>+'tab40'!G31</f>
        <v>1553.6789999999999</v>
      </c>
      <c r="L32" s="65">
        <f>+'tab40'!J31</f>
        <v>5.2942926365504333</v>
      </c>
    </row>
    <row r="33" spans="1:12">
      <c r="A33" s="10">
        <v>2005</v>
      </c>
      <c r="B33" s="39">
        <f>+'tab43'!G32</f>
        <v>1350.9960000000001</v>
      </c>
      <c r="C33" s="65">
        <f>+'tab43'!J32</f>
        <v>4.5368426189220656</v>
      </c>
      <c r="D33" s="41"/>
      <c r="E33" s="39">
        <f>+'tab42'!J33</f>
        <v>459.74267150942802</v>
      </c>
      <c r="F33" s="65">
        <f>+'tab42'!K33</f>
        <v>1.5522093262660221</v>
      </c>
      <c r="G33" s="41"/>
      <c r="H33" s="39">
        <f>+'tab44'!J33</f>
        <v>1115.7740791812</v>
      </c>
      <c r="I33" s="65">
        <f>+'tab44'!K33</f>
        <v>3.7671398350401439</v>
      </c>
      <c r="J33" s="41"/>
      <c r="K33" s="39">
        <f>+'tab40'!G32</f>
        <v>1207.1380000000001</v>
      </c>
      <c r="L33" s="65">
        <f>+'tab40'!J32</f>
        <v>4.075607895038929</v>
      </c>
    </row>
    <row r="34" spans="1:12">
      <c r="A34" s="10">
        <v>2006</v>
      </c>
      <c r="B34" s="39">
        <f>+'tab43'!G33</f>
        <v>1407.5409999999999</v>
      </c>
      <c r="C34" s="65">
        <f>+'tab43'!J33</f>
        <v>4.7225587671445277</v>
      </c>
      <c r="D34" s="41"/>
      <c r="E34" s="39">
        <f>+'tab42'!J34</f>
        <v>498.62325803742209</v>
      </c>
      <c r="F34" s="65">
        <f>+'tab42'!K34</f>
        <v>1.6676586243208007</v>
      </c>
      <c r="G34" s="41"/>
      <c r="H34" s="39">
        <f>+'tab44'!J34</f>
        <v>1160.452071375574</v>
      </c>
      <c r="I34" s="65">
        <f>+'tab44'!K34</f>
        <v>3.881162528514007</v>
      </c>
      <c r="J34" s="41"/>
      <c r="K34" s="39">
        <f>+'tab40'!G33</f>
        <v>1389.4289999999999</v>
      </c>
      <c r="L34" s="65">
        <f>+'tab40'!J33</f>
        <v>4.6469818994234036</v>
      </c>
    </row>
    <row r="35" spans="1:12">
      <c r="A35" s="10">
        <v>2007</v>
      </c>
      <c r="B35" s="39">
        <f>+'tab43'!G34</f>
        <v>1431.9950000000001</v>
      </c>
      <c r="C35" s="65">
        <f>+'tab43'!J34</f>
        <v>4.7342591360003388</v>
      </c>
      <c r="D35" s="41"/>
      <c r="E35" s="39">
        <f>+'tab42'!J35</f>
        <v>486.71278672630802</v>
      </c>
      <c r="F35" s="65">
        <f>+'tab42'!K35</f>
        <v>1.6116103982937577</v>
      </c>
      <c r="G35" s="41"/>
      <c r="H35" s="39">
        <f>+'tab44'!J35</f>
        <v>889.44699510426767</v>
      </c>
      <c r="I35" s="65">
        <f>+'tab44'!K35</f>
        <v>2.945149716905298</v>
      </c>
      <c r="J35" s="41"/>
      <c r="K35" s="39">
        <f>+'tab40'!G34</f>
        <v>1387.394</v>
      </c>
      <c r="L35" s="65">
        <f>+'tab40'!J34</f>
        <v>4.5939590204103258</v>
      </c>
    </row>
    <row r="36" spans="1:12">
      <c r="A36" s="10">
        <v>2008</v>
      </c>
      <c r="B36" s="39">
        <f>+'tab43'!G35</f>
        <v>1512.9400742755081</v>
      </c>
      <c r="C36" s="65">
        <f>+'tab43'!J35</f>
        <v>4.9688819220629989</v>
      </c>
      <c r="D36" s="41"/>
      <c r="E36" s="39">
        <f>+'tab42'!J36</f>
        <v>317.43394857445196</v>
      </c>
      <c r="F36" s="65">
        <f>+'tab42'!K36</f>
        <v>1.041456796220618</v>
      </c>
      <c r="G36" s="41"/>
      <c r="H36" s="39">
        <f>+'tab44'!J36</f>
        <v>896.26082059583189</v>
      </c>
      <c r="I36" s="65">
        <f>+'tab44'!K36</f>
        <v>2.9405075512169763</v>
      </c>
      <c r="J36" s="41"/>
      <c r="K36" s="39">
        <f>+'tab40'!G35</f>
        <v>1302.011</v>
      </c>
      <c r="L36" s="65">
        <f>+'tab40'!J35</f>
        <v>4.271717662189384</v>
      </c>
    </row>
    <row r="37" spans="1:12">
      <c r="A37" s="10">
        <v>2009</v>
      </c>
      <c r="B37" s="39">
        <f>+'tab43'!G36</f>
        <v>1528.3419051741898</v>
      </c>
      <c r="C37" s="65">
        <f>+'tab43'!J36</f>
        <v>4.9712037352911951</v>
      </c>
      <c r="D37" s="41"/>
      <c r="E37" s="39">
        <f>+'tab42'!J37</f>
        <v>447.67323087645798</v>
      </c>
      <c r="F37" s="65">
        <f>+'tab42'!K37</f>
        <v>1.4561367649402253</v>
      </c>
      <c r="G37" s="41"/>
      <c r="H37" s="39">
        <f>+'tab44'!J37</f>
        <v>211.57369332818405</v>
      </c>
      <c r="I37" s="65">
        <f>+'tab44'!K37</f>
        <v>0.68818104836466432</v>
      </c>
      <c r="J37" s="41"/>
      <c r="K37" s="39">
        <f>+'tab40'!G36</f>
        <v>1152.2820000000002</v>
      </c>
      <c r="L37" s="65">
        <f>+'tab40'!J36</f>
        <v>3.7480020426816378</v>
      </c>
    </row>
    <row r="38" spans="1:12">
      <c r="A38" s="11" t="s">
        <v>489</v>
      </c>
      <c r="B38" s="40">
        <f>+'tab43'!G37</f>
        <v>1509.8917848965159</v>
      </c>
      <c r="C38" s="66">
        <f>+'tab43'!J37</f>
        <v>4.8808812175493008</v>
      </c>
      <c r="D38" s="1"/>
      <c r="E38" s="40">
        <f>+'tab42'!J38</f>
        <v>479.76326316725607</v>
      </c>
      <c r="F38" s="66">
        <f>+'tab42'!K38</f>
        <v>1.5473139667784381</v>
      </c>
      <c r="G38" s="1"/>
      <c r="H38" s="40">
        <f>+'tab44'!J38</f>
        <v>1050.0342197296</v>
      </c>
      <c r="I38" s="66">
        <f>+'tab44'!K38</f>
        <v>3.3943441193128288</v>
      </c>
      <c r="J38" s="1"/>
      <c r="K38" s="40">
        <f>+'tab40'!G37</f>
        <v>1124.0310000000002</v>
      </c>
      <c r="L38" s="66">
        <f>+'tab40'!J37</f>
        <v>3.6251814153298376</v>
      </c>
    </row>
    <row r="39" spans="1:12">
      <c r="A39" s="10"/>
    </row>
    <row r="40" spans="1:12">
      <c r="A40" s="10"/>
      <c r="C40" s="365" t="s">
        <v>330</v>
      </c>
      <c r="E40" s="366" t="s">
        <v>327</v>
      </c>
      <c r="H40" s="340" t="s">
        <v>325</v>
      </c>
      <c r="I40" s="317"/>
    </row>
    <row r="41" spans="1:12">
      <c r="A41" s="10"/>
      <c r="B41" s="345" t="s">
        <v>329</v>
      </c>
      <c r="C41" s="318"/>
      <c r="E41" s="345" t="s">
        <v>328</v>
      </c>
      <c r="F41" s="318"/>
      <c r="H41" s="346" t="s">
        <v>326</v>
      </c>
      <c r="I41" s="318"/>
      <c r="K41" s="341" t="s">
        <v>324</v>
      </c>
      <c r="L41" s="318"/>
    </row>
    <row r="42" spans="1:12">
      <c r="A42" s="10"/>
      <c r="B42" s="7" t="s">
        <v>3</v>
      </c>
      <c r="C42" s="7" t="s">
        <v>320</v>
      </c>
      <c r="E42" s="7" t="s">
        <v>3</v>
      </c>
      <c r="F42" s="7" t="s">
        <v>320</v>
      </c>
      <c r="H42" s="7" t="s">
        <v>3</v>
      </c>
      <c r="I42" s="7" t="s">
        <v>320</v>
      </c>
      <c r="K42" s="7" t="s">
        <v>3</v>
      </c>
      <c r="L42" s="7" t="s">
        <v>320</v>
      </c>
    </row>
    <row r="43" spans="1:12">
      <c r="A43" s="11"/>
      <c r="B43" s="9"/>
      <c r="C43" s="9" t="s">
        <v>321</v>
      </c>
      <c r="D43" s="1"/>
      <c r="E43" s="9"/>
      <c r="F43" s="9" t="s">
        <v>321</v>
      </c>
      <c r="G43" s="1"/>
      <c r="H43" s="9"/>
      <c r="I43" s="9" t="s">
        <v>321</v>
      </c>
      <c r="J43" s="1"/>
      <c r="K43" s="9"/>
      <c r="L43" s="9" t="s">
        <v>321</v>
      </c>
    </row>
    <row r="44" spans="1:12" ht="12" customHeight="1">
      <c r="A44" s="10"/>
      <c r="B44" s="7" t="s">
        <v>91</v>
      </c>
      <c r="C44" s="7" t="s">
        <v>95</v>
      </c>
      <c r="E44" s="7" t="s">
        <v>91</v>
      </c>
      <c r="F44" s="7" t="s">
        <v>95</v>
      </c>
      <c r="H44" s="7" t="s">
        <v>91</v>
      </c>
      <c r="I44" s="7" t="s">
        <v>95</v>
      </c>
      <c r="K44" s="7" t="s">
        <v>91</v>
      </c>
      <c r="L44" s="7" t="s">
        <v>95</v>
      </c>
    </row>
    <row r="45" spans="1:12" ht="12" customHeight="1">
      <c r="A45" s="10"/>
      <c r="B45" s="7"/>
      <c r="C45" s="7"/>
      <c r="E45" s="7"/>
      <c r="F45" s="7"/>
      <c r="H45" s="7"/>
      <c r="I45" s="7"/>
      <c r="K45" s="7"/>
      <c r="L45" s="7"/>
    </row>
    <row r="46" spans="1:12">
      <c r="A46" s="10">
        <v>1980</v>
      </c>
      <c r="B46" s="39">
        <f>+'tab38'!H8</f>
        <v>4150.0869909999992</v>
      </c>
      <c r="C46" s="65">
        <f>+'tab38'!K8</f>
        <v>18.224036741522703</v>
      </c>
      <c r="E46" s="39">
        <f>+'tab36'!G6</f>
        <v>4836.0119999999997</v>
      </c>
      <c r="F46" s="65">
        <f>+'tab36'!J6</f>
        <v>21.236099523111108</v>
      </c>
      <c r="H46" s="39">
        <v>342.8</v>
      </c>
      <c r="I46" s="99">
        <f>+H46/227.726</f>
        <v>1.505317794191265</v>
      </c>
      <c r="K46" s="39">
        <f t="shared" ref="K46:K75" si="0">+B8*0.8+E8+H8+K8*0.8+B46+E46+H46</f>
        <v>13044.828990999998</v>
      </c>
      <c r="L46" s="99">
        <f>+K46/227.726</f>
        <v>57.283002340532036</v>
      </c>
    </row>
    <row r="47" spans="1:12">
      <c r="A47" s="10">
        <v>1981</v>
      </c>
      <c r="B47" s="39">
        <f>+'tab38'!H9</f>
        <v>4199.3719999999994</v>
      </c>
      <c r="C47" s="65">
        <f>+'tab38'!K9</f>
        <v>18.260838558743462</v>
      </c>
      <c r="E47" s="39">
        <f>+'tab36'!G7</f>
        <v>4986.3009999999995</v>
      </c>
      <c r="F47" s="65">
        <f>+'tab36'!J7</f>
        <v>21.682774844977082</v>
      </c>
      <c r="H47" s="39">
        <v>383.49999999999994</v>
      </c>
      <c r="I47" s="99">
        <f>+H47/229.966</f>
        <v>1.667637824721915</v>
      </c>
      <c r="K47" s="39">
        <f t="shared" si="0"/>
        <v>13203.868999999999</v>
      </c>
      <c r="L47" s="99">
        <f>+K47/229.966</f>
        <v>57.416613760294993</v>
      </c>
    </row>
    <row r="48" spans="1:12">
      <c r="A48" s="10">
        <v>1982</v>
      </c>
      <c r="B48" s="39">
        <f>+'tab38'!H10</f>
        <v>4195.1250000000009</v>
      </c>
      <c r="C48" s="65">
        <f>+'tab38'!K10</f>
        <v>18.067794201250717</v>
      </c>
      <c r="E48" s="39">
        <f>+'tab36'!G8</f>
        <v>4979.9639999999999</v>
      </c>
      <c r="F48" s="65">
        <f>+'tab36'!J8</f>
        <v>21.447981807845366</v>
      </c>
      <c r="H48" s="39">
        <v>373.9</v>
      </c>
      <c r="I48" s="99">
        <f>+H48/232.188</f>
        <v>1.6103330060123693</v>
      </c>
      <c r="K48" s="39">
        <f t="shared" si="0"/>
        <v>13312.172200000001</v>
      </c>
      <c r="L48" s="99">
        <f>+K48/232.188</f>
        <v>57.333592605991704</v>
      </c>
    </row>
    <row r="49" spans="1:12">
      <c r="A49" s="10">
        <v>1983</v>
      </c>
      <c r="B49" s="39">
        <f>+'tab38'!H11</f>
        <v>4268.6099999999997</v>
      </c>
      <c r="C49" s="65">
        <f>+'tab38'!K11</f>
        <v>18.218021655349606</v>
      </c>
      <c r="E49" s="39">
        <f>+'tab36'!G9</f>
        <v>5526.442</v>
      </c>
      <c r="F49" s="65">
        <f>+'tab36'!J9</f>
        <v>23.58632904693415</v>
      </c>
      <c r="H49" s="39">
        <v>365.1</v>
      </c>
      <c r="I49" s="99">
        <f>+H49/234.307</f>
        <v>1.5582120892674995</v>
      </c>
      <c r="K49" s="39">
        <f t="shared" si="0"/>
        <v>14019.986599999998</v>
      </c>
      <c r="L49" s="99">
        <f>+K49/234.307</f>
        <v>59.83596990273444</v>
      </c>
    </row>
    <row r="50" spans="1:12">
      <c r="A50" s="10">
        <v>1984</v>
      </c>
      <c r="B50" s="39">
        <f>+'tab38'!H12</f>
        <v>5039.2250000000004</v>
      </c>
      <c r="C50" s="65">
        <f>+'tab38'!K12</f>
        <v>21.321208556873763</v>
      </c>
      <c r="E50" s="39">
        <f>+'tab36'!G10</f>
        <v>5324.7129999999997</v>
      </c>
      <c r="F50" s="65">
        <f>+'tab36'!J10</f>
        <v>22.529122311168276</v>
      </c>
      <c r="H50" s="39">
        <v>403.49999999999994</v>
      </c>
      <c r="I50" s="99">
        <f>+H50/236.348</f>
        <v>1.7072283243353019</v>
      </c>
      <c r="K50" s="39">
        <f t="shared" si="0"/>
        <v>14589.143400000001</v>
      </c>
      <c r="L50" s="99">
        <f>+K50/236.348</f>
        <v>61.727382503765632</v>
      </c>
    </row>
    <row r="51" spans="1:12">
      <c r="A51" s="10">
        <v>1985</v>
      </c>
      <c r="B51" s="39">
        <f>+'tab38'!H13</f>
        <v>5477.8680000000004</v>
      </c>
      <c r="C51" s="65">
        <f>+'tab38'!K13</f>
        <v>22.971274730988906</v>
      </c>
      <c r="E51" s="39">
        <f>+'tab36'!G11</f>
        <v>5702</v>
      </c>
      <c r="F51" s="65">
        <f>+'tab36'!J11</f>
        <v>23.911165533031962</v>
      </c>
      <c r="H51" s="39">
        <v>375</v>
      </c>
      <c r="I51" s="99">
        <f>+H51/238.466</f>
        <v>1.5725512232351782</v>
      </c>
      <c r="K51" s="39">
        <f t="shared" si="0"/>
        <v>15544.369200000001</v>
      </c>
      <c r="L51" s="99">
        <f>+K51/238.466</f>
        <v>65.184844799677947</v>
      </c>
    </row>
    <row r="52" spans="1:12">
      <c r="A52" s="10">
        <v>1986</v>
      </c>
      <c r="B52" s="39">
        <f>+'tab38'!H14</f>
        <v>5328.030999999999</v>
      </c>
      <c r="C52" s="65">
        <f>+'tab38'!K14</f>
        <v>22.140074215357505</v>
      </c>
      <c r="E52" s="39">
        <f>+'tab36'!G12</f>
        <v>6016.3</v>
      </c>
      <c r="F52" s="65">
        <f>+'tab36'!J12</f>
        <v>25.000103884878932</v>
      </c>
      <c r="H52" s="39">
        <v>403.5</v>
      </c>
      <c r="I52" s="99">
        <f>+H52/240.651</f>
        <v>1.6767019459715522</v>
      </c>
      <c r="K52" s="39">
        <f t="shared" si="0"/>
        <v>15774.408599999999</v>
      </c>
      <c r="L52" s="99">
        <f>+K52/240.651</f>
        <v>65.548901105750645</v>
      </c>
    </row>
    <row r="53" spans="1:12">
      <c r="A53" s="10">
        <v>1987</v>
      </c>
      <c r="B53" s="39">
        <f>+'tab38'!H15</f>
        <v>5205.1490000000003</v>
      </c>
      <c r="C53" s="65">
        <f>+'tab38'!K15</f>
        <v>21.437657534472251</v>
      </c>
      <c r="E53" s="39">
        <f>+'tab36'!G13</f>
        <v>6428.6</v>
      </c>
      <c r="F53" s="65">
        <f>+'tab36'!J13</f>
        <v>26.476499563433883</v>
      </c>
      <c r="H53" s="39">
        <v>315.60000000000002</v>
      </c>
      <c r="I53" s="99">
        <f>+H53/242.804</f>
        <v>1.2998138416171068</v>
      </c>
      <c r="K53" s="39">
        <f t="shared" si="0"/>
        <v>15582.0074</v>
      </c>
      <c r="L53" s="99">
        <f>+K53/242.804</f>
        <v>64.175249995881458</v>
      </c>
    </row>
    <row r="54" spans="1:12">
      <c r="A54" s="10">
        <v>1988</v>
      </c>
      <c r="B54" s="39">
        <f>+'tab38'!H16</f>
        <v>5282.1959999999999</v>
      </c>
      <c r="C54" s="65">
        <f>+'tab38'!K16</f>
        <v>21.558135833255111</v>
      </c>
      <c r="E54" s="39">
        <f>+'tab36'!G14</f>
        <v>6754.1</v>
      </c>
      <c r="F54" s="65">
        <f>+'tab36'!J14</f>
        <v>27.56539235412475</v>
      </c>
      <c r="H54" s="39">
        <v>318</v>
      </c>
      <c r="I54" s="99">
        <f>+H54/245.021</f>
        <v>1.2978479395643638</v>
      </c>
      <c r="K54" s="39">
        <f t="shared" si="0"/>
        <v>15928.205599999999</v>
      </c>
      <c r="L54" s="99">
        <f>+K54/245.021</f>
        <v>65.007512009174718</v>
      </c>
    </row>
    <row r="55" spans="1:12">
      <c r="A55" s="10">
        <v>1989</v>
      </c>
      <c r="B55" s="39">
        <f>+'tab38'!H17</f>
        <v>5321.7132992960496</v>
      </c>
      <c r="C55" s="65">
        <f>+'tab38'!K17</f>
        <v>21.515607132213894</v>
      </c>
      <c r="E55" s="39">
        <f>+'tab36'!G15</f>
        <v>6331.1</v>
      </c>
      <c r="F55" s="65">
        <f>+'tab36'!J15</f>
        <v>25.596542439213721</v>
      </c>
      <c r="H55" s="39">
        <v>313.00000000000006</v>
      </c>
      <c r="I55" s="99">
        <f>+H55/247.342</f>
        <v>1.2654543102263265</v>
      </c>
      <c r="K55" s="39">
        <f t="shared" si="0"/>
        <v>15406.411759200162</v>
      </c>
      <c r="L55" s="99">
        <f>+K55/247.342</f>
        <v>62.287891903518855</v>
      </c>
    </row>
    <row r="56" spans="1:12">
      <c r="A56" s="10">
        <v>1990</v>
      </c>
      <c r="B56" s="39">
        <f>+'tab38'!H18</f>
        <v>5570.6750474431738</v>
      </c>
      <c r="C56" s="65">
        <f>+'tab38'!K18</f>
        <v>22.270941132854546</v>
      </c>
      <c r="E56" s="39">
        <f>+'tab36'!G16</f>
        <v>6278.2929999999997</v>
      </c>
      <c r="F56" s="65">
        <f>+'tab36'!J16</f>
        <v>25.099919242639885</v>
      </c>
      <c r="H56" s="39">
        <v>288.2</v>
      </c>
      <c r="I56" s="99">
        <f>+H56/250.132</f>
        <v>1.1521916428125949</v>
      </c>
      <c r="K56" s="39">
        <f t="shared" si="0"/>
        <v>15558.219167960327</v>
      </c>
      <c r="L56" s="99">
        <f>+K56/250.132</f>
        <v>62.200035053333146</v>
      </c>
    </row>
    <row r="57" spans="1:12">
      <c r="A57" s="10">
        <v>1991</v>
      </c>
      <c r="B57" s="39">
        <f>+'tab38'!H19</f>
        <v>5662.5343781832735</v>
      </c>
      <c r="C57" s="65">
        <f>+'tab38'!K19</f>
        <v>22.338030549890032</v>
      </c>
      <c r="E57" s="39">
        <f>+'tab36'!G17</f>
        <v>6658.8319999999994</v>
      </c>
      <c r="F57" s="65">
        <f>+'tab36'!J17</f>
        <v>26.26830721163898</v>
      </c>
      <c r="H57" s="39">
        <v>321.2</v>
      </c>
      <c r="I57" s="99">
        <f>+H57/253.493</f>
        <v>1.2670961328320702</v>
      </c>
      <c r="K57" s="39">
        <f t="shared" si="0"/>
        <v>16328.945587862745</v>
      </c>
      <c r="L57" s="99">
        <f>+K57/253.493</f>
        <v>64.415765278973169</v>
      </c>
    </row>
    <row r="58" spans="1:12">
      <c r="A58" s="10">
        <v>1992</v>
      </c>
      <c r="B58" s="39">
        <f>+'tab38'!H20</f>
        <v>5731.6036038575203</v>
      </c>
      <c r="C58" s="65">
        <f>+'tab38'!K20</f>
        <v>22.311161817160073</v>
      </c>
      <c r="E58" s="39">
        <f>+'tab36'!G18</f>
        <v>6945.93</v>
      </c>
      <c r="F58" s="65">
        <f>+'tab36'!J18</f>
        <v>27.03811688867782</v>
      </c>
      <c r="H58" s="39">
        <v>366.9</v>
      </c>
      <c r="I58" s="99">
        <f>+H58/256.894</f>
        <v>1.4282155285837737</v>
      </c>
      <c r="K58" s="39">
        <f t="shared" si="0"/>
        <v>17146.992223903366</v>
      </c>
      <c r="L58" s="99">
        <f>+K58/256.894</f>
        <v>66.747344133780331</v>
      </c>
    </row>
    <row r="59" spans="1:12">
      <c r="A59" s="10">
        <v>1993</v>
      </c>
      <c r="B59" s="39">
        <f>+'tab38'!H21</f>
        <v>6495.4437200000002</v>
      </c>
      <c r="C59" s="65">
        <f>+'tab38'!K21</f>
        <v>24.95799780984035</v>
      </c>
      <c r="E59" s="39">
        <f>+'tab36'!G19</f>
        <v>6907.067</v>
      </c>
      <c r="F59" s="65">
        <f>+'tab36'!J19</f>
        <v>26.539613071794971</v>
      </c>
      <c r="H59" s="39">
        <v>451</v>
      </c>
      <c r="I59" s="99">
        <f>+H59/260.255</f>
        <v>1.7329157941249929</v>
      </c>
      <c r="K59" s="39">
        <f t="shared" si="0"/>
        <v>17922.94998303703</v>
      </c>
      <c r="L59" s="99">
        <f>+K59/260.255</f>
        <v>68.866880494273033</v>
      </c>
    </row>
    <row r="60" spans="1:12">
      <c r="A60" s="10">
        <v>1994</v>
      </c>
      <c r="B60" s="39">
        <f>+'tab38'!H22</f>
        <v>6305.1574370000008</v>
      </c>
      <c r="C60" s="65">
        <f>+'tab38'!K22</f>
        <v>23.934304487617492</v>
      </c>
      <c r="E60" s="39">
        <f>+'tab36'!G20</f>
        <v>6844.8429999999998</v>
      </c>
      <c r="F60" s="65">
        <f>+'tab36'!J20</f>
        <v>25.982944624121231</v>
      </c>
      <c r="H60" s="39">
        <v>425.7</v>
      </c>
      <c r="I60" s="99">
        <f>+H60/263.436</f>
        <v>1.6159522616498885</v>
      </c>
      <c r="K60" s="39">
        <f t="shared" si="0"/>
        <v>17480.127480427596</v>
      </c>
      <c r="L60" s="99">
        <f>+K60/263.436</f>
        <v>66.354361136775523</v>
      </c>
    </row>
    <row r="61" spans="1:12">
      <c r="A61" s="10">
        <v>1995</v>
      </c>
      <c r="B61" s="39">
        <f>+'tab38'!H23</f>
        <v>5926.1453270000002</v>
      </c>
      <c r="C61" s="65">
        <f>+'tab38'!K23</f>
        <v>22.232187963550007</v>
      </c>
      <c r="E61" s="39">
        <f>+'tab36'!G21</f>
        <v>7057.0210000000006</v>
      </c>
      <c r="F61" s="65">
        <f>+'tab36'!J21</f>
        <v>26.47471647715123</v>
      </c>
      <c r="H61" s="39">
        <v>433.7</v>
      </c>
      <c r="I61" s="99">
        <f>+H61/266.557</f>
        <v>1.6270441218951293</v>
      </c>
      <c r="K61" s="39">
        <f t="shared" si="0"/>
        <v>17196.05452696011</v>
      </c>
      <c r="L61" s="99">
        <f>+K61/266.557</f>
        <v>64.511734927089179</v>
      </c>
    </row>
    <row r="62" spans="1:12">
      <c r="A62" s="10">
        <v>1996</v>
      </c>
      <c r="B62" s="39">
        <f>+'tab38'!H24</f>
        <v>5914.3102469999994</v>
      </c>
      <c r="C62" s="65">
        <f>+'tab38'!K24</f>
        <v>21.931902112605545</v>
      </c>
      <c r="E62" s="39">
        <f>+'tab36'!G22</f>
        <v>6923.5369999999994</v>
      </c>
      <c r="F62" s="65">
        <f>+'tab36'!J22</f>
        <v>25.674394716446582</v>
      </c>
      <c r="H62" s="39">
        <v>360.7</v>
      </c>
      <c r="I62" s="99">
        <f>+H62/269.667</f>
        <v>1.3375756025023455</v>
      </c>
      <c r="K62" s="39">
        <f t="shared" si="0"/>
        <v>17025.090817717286</v>
      </c>
      <c r="L62" s="99">
        <f>+K62/269.667</f>
        <v>63.133756884295401</v>
      </c>
    </row>
    <row r="63" spans="1:12">
      <c r="A63" s="10">
        <v>1997</v>
      </c>
      <c r="B63" s="39">
        <f>+'tab38'!H25</f>
        <v>5606.2510517083274</v>
      </c>
      <c r="C63" s="65">
        <f>+'tab38'!K25</f>
        <v>20.542339844742365</v>
      </c>
      <c r="E63" s="39">
        <f>+'tab36'!G23</f>
        <v>7651.677999999999</v>
      </c>
      <c r="F63" s="65">
        <f>+'tab36'!J23</f>
        <v>28.037162162162161</v>
      </c>
      <c r="H63" s="39">
        <v>297.39999999999998</v>
      </c>
      <c r="I63" s="99">
        <f>+H63/272.912</f>
        <v>1.0897285571905961</v>
      </c>
      <c r="K63" s="39">
        <f t="shared" si="0"/>
        <v>17124.347936672049</v>
      </c>
      <c r="L63" s="99">
        <f>+K63/272.912</f>
        <v>62.746775285337584</v>
      </c>
    </row>
    <row r="64" spans="1:12">
      <c r="A64" s="10">
        <v>1998</v>
      </c>
      <c r="B64" s="39">
        <f>+'tab38'!H26</f>
        <v>5669.3385038823662</v>
      </c>
      <c r="C64" s="65">
        <f>+'tab38'!K26</f>
        <v>20.532526316507131</v>
      </c>
      <c r="E64" s="39">
        <f>+'tab36'!G24</f>
        <v>7531.6970000000001</v>
      </c>
      <c r="F64" s="65">
        <f>+'tab36'!J24</f>
        <v>27.277391666515761</v>
      </c>
      <c r="H64" s="39">
        <v>364.7</v>
      </c>
      <c r="I64" s="99">
        <f>+H64/276.115</f>
        <v>1.3208264672328558</v>
      </c>
      <c r="K64" s="39">
        <f t="shared" si="0"/>
        <v>17435.547899123234</v>
      </c>
      <c r="L64" s="99">
        <f>+K64/276.115</f>
        <v>63.145964178415639</v>
      </c>
    </row>
    <row r="65" spans="1:13">
      <c r="A65" s="71">
        <v>1999</v>
      </c>
      <c r="B65" s="39">
        <f>+'tab38'!H27</f>
        <v>5886.0448384868341</v>
      </c>
      <c r="C65" s="65">
        <f>+'tab38'!K27</f>
        <v>21.074651671124919</v>
      </c>
      <c r="D65" s="41"/>
      <c r="E65" s="39">
        <f>+'tab36'!G25</f>
        <v>8029.889000000001</v>
      </c>
      <c r="F65" s="65">
        <f>+'tab36'!J25</f>
        <v>28.750564814980578</v>
      </c>
      <c r="G65" s="41"/>
      <c r="H65" s="84">
        <v>431.3</v>
      </c>
      <c r="I65" s="99">
        <f>+H65/279.295</f>
        <v>1.5442453319966343</v>
      </c>
      <c r="J65" s="41"/>
      <c r="K65" s="39">
        <f t="shared" si="0"/>
        <v>18384.594120431353</v>
      </c>
      <c r="L65" s="99">
        <f>+K65/279.295</f>
        <v>65.825002668974932</v>
      </c>
    </row>
    <row r="66" spans="1:13">
      <c r="A66" s="10" t="s">
        <v>444</v>
      </c>
      <c r="B66" s="39">
        <f>+'tab38'!H28</f>
        <v>6482.3796923809505</v>
      </c>
      <c r="C66" s="65">
        <f>+'tab38'!K28</f>
        <v>22.955821634934402</v>
      </c>
      <c r="D66" s="41"/>
      <c r="E66" s="39">
        <f>+'tab36'!G26</f>
        <v>9521.5659999999989</v>
      </c>
      <c r="F66" s="65">
        <f>+'tab36'!J26</f>
        <v>33.718384475096052</v>
      </c>
      <c r="G66" s="41"/>
      <c r="H66" s="84">
        <v>428.452</v>
      </c>
      <c r="I66" s="99">
        <f>+H66/282.385</f>
        <v>1.517261894222427</v>
      </c>
      <c r="J66" s="41"/>
      <c r="K66" s="39">
        <f t="shared" si="0"/>
        <v>20673.856024986377</v>
      </c>
      <c r="L66" s="99">
        <f>+K66/282.385</f>
        <v>73.211594188736569</v>
      </c>
    </row>
    <row r="67" spans="1:13">
      <c r="A67" s="10" t="s">
        <v>445</v>
      </c>
      <c r="B67" s="39">
        <f>+'tab38'!H29</f>
        <v>9315.1509999999998</v>
      </c>
      <c r="C67" s="65">
        <f>+'tab38'!K29</f>
        <v>32.649341591046898</v>
      </c>
      <c r="D67" s="38"/>
      <c r="E67" s="39">
        <f>+'tab36'!G27</f>
        <v>10144.138000000001</v>
      </c>
      <c r="F67" s="65">
        <f>+'tab36'!J27</f>
        <v>35.5549176506875</v>
      </c>
      <c r="G67" s="41"/>
      <c r="H67" s="84">
        <v>407.63499999999999</v>
      </c>
      <c r="I67" s="99">
        <f>+H67/285.309</f>
        <v>1.428749180712841</v>
      </c>
      <c r="J67" s="41"/>
      <c r="K67" s="39">
        <f t="shared" si="0"/>
        <v>23682.098436624226</v>
      </c>
      <c r="L67" s="99">
        <f>+K67/285.309</f>
        <v>83.005087244441029</v>
      </c>
    </row>
    <row r="68" spans="1:13">
      <c r="A68" s="10" t="s">
        <v>446</v>
      </c>
      <c r="B68" s="39">
        <f>+'tab38'!H30</f>
        <v>9606.7780000000002</v>
      </c>
      <c r="C68" s="65">
        <f>+'tab38'!K30</f>
        <v>33.34471112962288</v>
      </c>
      <c r="D68" s="38"/>
      <c r="E68" s="39">
        <f>+'tab36'!G28</f>
        <v>11430.104000000001</v>
      </c>
      <c r="F68" s="65">
        <f>+'tab36'!J28</f>
        <v>39.673396851842213</v>
      </c>
      <c r="G68" s="41"/>
      <c r="H68" s="84">
        <v>401.84800000000001</v>
      </c>
      <c r="I68" s="99">
        <f>+H68/288.105</f>
        <v>1.3947970358029191</v>
      </c>
      <c r="J68" s="41"/>
      <c r="K68" s="39">
        <f t="shared" si="0"/>
        <v>25311.417606247011</v>
      </c>
      <c r="L68" s="99">
        <f>+K68/288.105</f>
        <v>87.854836279297515</v>
      </c>
    </row>
    <row r="69" spans="1:13">
      <c r="A69" s="10">
        <v>2003</v>
      </c>
      <c r="B69" s="39">
        <f>+'tab38'!H31</f>
        <v>9549.2639999999992</v>
      </c>
      <c r="C69" s="65">
        <f>+'tab38'!K31</f>
        <v>32.835650918093663</v>
      </c>
      <c r="D69" s="38"/>
      <c r="E69" s="39">
        <f>+'tab36'!G29</f>
        <v>11682.778999999999</v>
      </c>
      <c r="F69" s="65">
        <f>+'tab36'!J29</f>
        <v>40.171855443229482</v>
      </c>
      <c r="G69" s="41"/>
      <c r="H69" s="84">
        <v>385.6</v>
      </c>
      <c r="I69" s="99">
        <f>+H69/290.82</f>
        <v>1.3259060587304863</v>
      </c>
      <c r="J69" s="41"/>
      <c r="K69" s="39">
        <f t="shared" si="0"/>
        <v>25375.059692755709</v>
      </c>
      <c r="L69" s="99">
        <f>+K69/290.82</f>
        <v>87.253489074876939</v>
      </c>
    </row>
    <row r="70" spans="1:13">
      <c r="A70" s="10">
        <v>2004</v>
      </c>
      <c r="B70" s="39">
        <f>+'tab38'!H32</f>
        <v>9576.1880000000001</v>
      </c>
      <c r="C70" s="65">
        <f>+'tab38'!K32</f>
        <v>32.63167077280611</v>
      </c>
      <c r="D70" s="38"/>
      <c r="E70" s="39">
        <f>+'tab36'!G30</f>
        <v>11724.136</v>
      </c>
      <c r="F70" s="65">
        <f>+'tab36'!J30</f>
        <v>39.950985303087613</v>
      </c>
      <c r="G70" s="41"/>
      <c r="H70" s="84">
        <v>435.57400000000001</v>
      </c>
      <c r="I70" s="99">
        <f>+H70/293.463</f>
        <v>1.484255255347352</v>
      </c>
      <c r="J70" s="41"/>
      <c r="K70" s="39">
        <f t="shared" si="0"/>
        <v>25421.290970116686</v>
      </c>
      <c r="L70" s="99">
        <f>+K70/293.463</f>
        <v>86.625199667817355</v>
      </c>
    </row>
    <row r="71" spans="1:13">
      <c r="A71" s="10">
        <v>2005</v>
      </c>
      <c r="B71" s="39">
        <f>+'tab38'!H33</f>
        <v>8644.4655840383057</v>
      </c>
      <c r="C71" s="65">
        <f>+'tab38'!K33</f>
        <v>29.185935810734829</v>
      </c>
      <c r="D71" s="38"/>
      <c r="E71" s="39">
        <f>+'tab36'!G31</f>
        <v>12657.604000000003</v>
      </c>
      <c r="F71" s="65">
        <f>+'tab36'!J31</f>
        <v>42.735321723511589</v>
      </c>
      <c r="G71" s="41"/>
      <c r="H71" s="84">
        <v>480.041</v>
      </c>
      <c r="I71" s="99">
        <f>+H71/296.186</f>
        <v>1.6207416960963721</v>
      </c>
      <c r="J71" s="41"/>
      <c r="K71" s="39">
        <f t="shared" si="0"/>
        <v>25404.134534728939</v>
      </c>
      <c r="L71" s="99">
        <f>+K71/296.186</f>
        <v>85.77088226563356</v>
      </c>
    </row>
    <row r="72" spans="1:13">
      <c r="A72" s="10">
        <v>2006</v>
      </c>
      <c r="B72" s="39">
        <f>+'tab38'!H34</f>
        <v>7434.2879153331196</v>
      </c>
      <c r="C72" s="65">
        <f>+'tab38'!K34</f>
        <v>24.864171812777162</v>
      </c>
      <c r="D72" s="38"/>
      <c r="E72" s="39">
        <f>+'tab36'!G32</f>
        <v>13322.427999999998</v>
      </c>
      <c r="F72" s="65">
        <f>+'tab36'!J32</f>
        <v>44.557211467711937</v>
      </c>
      <c r="G72" s="41"/>
      <c r="H72" s="84">
        <v>641.60400000000004</v>
      </c>
      <c r="I72" s="99">
        <f>+H72/298.996</f>
        <v>2.1458614830967639</v>
      </c>
      <c r="J72" s="41"/>
      <c r="K72" s="39">
        <f t="shared" si="0"/>
        <v>25294.971244746113</v>
      </c>
      <c r="L72" s="99">
        <f>+K72/298.996</f>
        <v>84.599697804472683</v>
      </c>
    </row>
    <row r="73" spans="1:13">
      <c r="A73" s="10">
        <v>2007</v>
      </c>
      <c r="B73" s="39">
        <f>+'tab38'!H35</f>
        <v>6338.3160000000007</v>
      </c>
      <c r="C73" s="65">
        <f>+'tab38'!K35</f>
        <v>20.987523344061668</v>
      </c>
      <c r="D73" s="38"/>
      <c r="E73" s="39">
        <f>+'tab36'!G33</f>
        <v>15158.552</v>
      </c>
      <c r="F73" s="65">
        <f>+'tab36'!J33</f>
        <v>50.193215983894248</v>
      </c>
      <c r="G73" s="41"/>
      <c r="H73" s="84">
        <v>496.3</v>
      </c>
      <c r="I73" s="99">
        <f>+H73/302.004</f>
        <v>1.6433557171428193</v>
      </c>
      <c r="J73" s="41"/>
      <c r="K73" s="39">
        <f t="shared" si="0"/>
        <v>25624.838981830577</v>
      </c>
      <c r="L73" s="99">
        <f>+K73/302.004</f>
        <v>84.849336372467164</v>
      </c>
    </row>
    <row r="74" spans="1:13">
      <c r="A74" s="10">
        <v>2008</v>
      </c>
      <c r="B74" s="39">
        <f>+'tab38'!H36</f>
        <v>5503.5389999999998</v>
      </c>
      <c r="C74" s="65">
        <f>+'tab38'!K36</f>
        <v>18.056348794939598</v>
      </c>
      <c r="D74" s="38"/>
      <c r="E74" s="39">
        <f>+'tab36'!G34</f>
        <v>16469.165091276496</v>
      </c>
      <c r="F74" s="65">
        <f>+'tab36'!J34</f>
        <v>54.033048416579163</v>
      </c>
      <c r="G74" s="41"/>
      <c r="H74" s="84">
        <v>532.9</v>
      </c>
      <c r="I74" s="99">
        <f>+H74/304.798</f>
        <v>1.7483710523034928</v>
      </c>
      <c r="J74" s="41"/>
      <c r="K74" s="39">
        <f t="shared" si="0"/>
        <v>25971.259719867187</v>
      </c>
      <c r="L74" s="99">
        <f>+K74/304.798</f>
        <v>85.20810412098237</v>
      </c>
    </row>
    <row r="75" spans="1:13">
      <c r="A75" s="10">
        <v>2009</v>
      </c>
      <c r="B75" s="39">
        <f>+'tab38'!H37</f>
        <v>4905.6589999999997</v>
      </c>
      <c r="C75" s="65">
        <f>+'tab38'!K37</f>
        <v>15.956527961644422</v>
      </c>
      <c r="D75" s="38"/>
      <c r="E75" s="39">
        <f>+'tab36'!G35</f>
        <v>15690.273791808095</v>
      </c>
      <c r="F75" s="65">
        <f>+'tab36'!J35</f>
        <v>51.0354047203123</v>
      </c>
      <c r="G75" s="41"/>
      <c r="H75" s="84">
        <v>508.8</v>
      </c>
      <c r="I75" s="99">
        <f>+H75/307.439</f>
        <v>1.6549624478351803</v>
      </c>
      <c r="J75" s="41"/>
      <c r="K75" s="39">
        <f t="shared" si="0"/>
        <v>23908.478840152089</v>
      </c>
      <c r="L75" s="99">
        <f>+K75/307.439</f>
        <v>77.76657756547506</v>
      </c>
    </row>
    <row r="76" spans="1:13">
      <c r="A76" s="11">
        <v>2010</v>
      </c>
      <c r="B76" s="40">
        <f>+'tab38'!H38</f>
        <v>4755.7816988216537</v>
      </c>
      <c r="C76" s="66">
        <f>+'tab38'!K38</f>
        <v>15.338163653790705</v>
      </c>
      <c r="D76" s="9"/>
      <c r="E76" s="40">
        <f>+'tab36'!G36</f>
        <v>16592.976470581216</v>
      </c>
      <c r="F76" s="66">
        <f>+'tab36'!J36</f>
        <v>53.515027544753032</v>
      </c>
      <c r="G76" s="1"/>
      <c r="H76" s="40">
        <v>481.9</v>
      </c>
      <c r="I76" s="98">
        <f>+H76/309.348193</f>
        <v>1.557791546563196</v>
      </c>
      <c r="J76" s="1"/>
      <c r="K76" s="40">
        <f>+B38*0.8+E38+K38*0.8+B76+E76+H76</f>
        <v>24417.559660487339</v>
      </c>
      <c r="L76" s="98">
        <f>+K76/309.348193</f>
        <v>78.932284762003903</v>
      </c>
    </row>
    <row r="77" spans="1:13">
      <c r="A77" s="117" t="s">
        <v>766</v>
      </c>
    </row>
    <row r="78" spans="1:13" ht="10.25" customHeight="1">
      <c r="A78" s="117" t="s">
        <v>620</v>
      </c>
      <c r="K78" s="176"/>
      <c r="L78" s="176"/>
      <c r="M78" s="176"/>
    </row>
    <row r="79" spans="1:13" ht="13.25" customHeight="1">
      <c r="J79" s="176"/>
      <c r="L79" s="313" t="s">
        <v>547</v>
      </c>
      <c r="M79" s="176"/>
    </row>
  </sheetData>
  <phoneticPr fontId="0" type="noConversion"/>
  <pageMargins left="0.7" right="0.7" top="0.75" bottom="0.75" header="0.3" footer="0.3"/>
  <pageSetup scale="10" firstPageNumber="67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J40"/>
  <sheetViews>
    <sheetView zoomScaleNormal="100" zoomScaleSheetLayoutView="100" workbookViewId="0"/>
  </sheetViews>
  <sheetFormatPr baseColWidth="10" defaultColWidth="8.75" defaultRowHeight="11"/>
  <cols>
    <col min="1" max="1" width="12.5" customWidth="1"/>
    <col min="2" max="10" width="13.25" customWidth="1"/>
  </cols>
  <sheetData>
    <row r="1" spans="1:10">
      <c r="A1" s="1" t="s">
        <v>528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7"/>
      <c r="C2" s="7"/>
      <c r="D2" s="7"/>
      <c r="E2" s="7" t="s">
        <v>339</v>
      </c>
      <c r="F2" s="7" t="s">
        <v>341</v>
      </c>
      <c r="G2" s="7" t="s">
        <v>343</v>
      </c>
      <c r="H2" s="7" t="s">
        <v>467</v>
      </c>
      <c r="I2" s="7" t="s">
        <v>251</v>
      </c>
      <c r="J2" s="7" t="s">
        <v>3</v>
      </c>
    </row>
    <row r="3" spans="1:10">
      <c r="A3" t="s">
        <v>318</v>
      </c>
      <c r="B3" s="7" t="s">
        <v>334</v>
      </c>
      <c r="C3" s="7" t="s">
        <v>336</v>
      </c>
      <c r="D3" s="7" t="s">
        <v>338</v>
      </c>
      <c r="E3" s="7" t="s">
        <v>113</v>
      </c>
      <c r="F3" s="7" t="s">
        <v>113</v>
      </c>
      <c r="G3" s="7" t="s">
        <v>113</v>
      </c>
      <c r="H3" s="7" t="s">
        <v>468</v>
      </c>
      <c r="I3" s="7" t="s">
        <v>345</v>
      </c>
      <c r="J3" s="7" t="s">
        <v>205</v>
      </c>
    </row>
    <row r="4" spans="1:10">
      <c r="A4" s="1" t="s">
        <v>319</v>
      </c>
      <c r="B4" s="9" t="s">
        <v>335</v>
      </c>
      <c r="C4" s="9" t="s">
        <v>337</v>
      </c>
      <c r="D4" s="9"/>
      <c r="E4" s="9" t="s">
        <v>340</v>
      </c>
      <c r="F4" s="9" t="s">
        <v>342</v>
      </c>
      <c r="G4" s="9" t="s">
        <v>344</v>
      </c>
      <c r="H4" s="9"/>
      <c r="I4" s="9" t="s">
        <v>346</v>
      </c>
      <c r="J4" s="9" t="s">
        <v>250</v>
      </c>
    </row>
    <row r="5" spans="1:10" ht="11.75" customHeight="1">
      <c r="C5" s="312"/>
      <c r="D5" s="312"/>
      <c r="E5" s="312"/>
      <c r="F5" s="312" t="s">
        <v>91</v>
      </c>
      <c r="G5" s="312"/>
      <c r="H5" s="312"/>
      <c r="I5" s="312"/>
      <c r="J5" s="312"/>
    </row>
    <row r="6" spans="1:10" ht="11.75" customHeight="1">
      <c r="B6" s="38"/>
      <c r="C6" s="38"/>
      <c r="D6" s="38"/>
      <c r="E6" s="38"/>
      <c r="F6" s="38"/>
      <c r="G6" s="38"/>
      <c r="H6" s="38"/>
      <c r="I6" s="38"/>
      <c r="J6" s="38"/>
    </row>
    <row r="7" spans="1:10">
      <c r="A7" s="10">
        <v>1980</v>
      </c>
      <c r="B7" s="39">
        <v>2154.9079999999999</v>
      </c>
      <c r="C7" s="39">
        <v>1337.0609999999999</v>
      </c>
      <c r="D7" s="12">
        <v>848.93</v>
      </c>
      <c r="E7" s="12">
        <v>190.15100000000001</v>
      </c>
      <c r="F7" s="12">
        <v>126.399</v>
      </c>
      <c r="G7" s="12">
        <v>172.072</v>
      </c>
      <c r="H7" s="146" t="s">
        <v>469</v>
      </c>
      <c r="I7" s="12">
        <v>677.88499999999999</v>
      </c>
      <c r="J7" s="39">
        <v>5507.4059999999999</v>
      </c>
    </row>
    <row r="8" spans="1:10">
      <c r="A8" s="10">
        <v>1981</v>
      </c>
      <c r="B8" s="39">
        <v>2174.8020000000001</v>
      </c>
      <c r="C8" s="39">
        <v>1391.173</v>
      </c>
      <c r="D8" s="12">
        <v>797.98900000000003</v>
      </c>
      <c r="E8" s="12">
        <v>139.84700000000001</v>
      </c>
      <c r="F8" s="12">
        <v>128.376</v>
      </c>
      <c r="G8" s="12">
        <v>116.366</v>
      </c>
      <c r="H8" s="146" t="s">
        <v>469</v>
      </c>
      <c r="I8" s="12">
        <v>719.81200000000001</v>
      </c>
      <c r="J8" s="39">
        <v>5468.3649999999998</v>
      </c>
    </row>
    <row r="9" spans="1:10">
      <c r="A9" s="10">
        <v>1982</v>
      </c>
      <c r="B9" s="39">
        <v>1936.3150000000001</v>
      </c>
      <c r="C9" s="39">
        <v>1474.0319999999999</v>
      </c>
      <c r="D9" s="12">
        <v>748.22799999999995</v>
      </c>
      <c r="E9" s="12">
        <v>119.492</v>
      </c>
      <c r="F9" s="12">
        <v>160.279</v>
      </c>
      <c r="G9" s="12">
        <v>82.045000000000002</v>
      </c>
      <c r="H9" s="146" t="s">
        <v>469</v>
      </c>
      <c r="I9" s="12">
        <v>608.96199999999999</v>
      </c>
      <c r="J9" s="39">
        <v>5130.3530000000001</v>
      </c>
    </row>
    <row r="10" spans="1:10">
      <c r="A10" s="10">
        <v>1983</v>
      </c>
      <c r="B10" s="39">
        <v>1862.492</v>
      </c>
      <c r="C10" s="39">
        <v>1478.14</v>
      </c>
      <c r="D10" s="12">
        <v>811.87199999999996</v>
      </c>
      <c r="E10" s="12">
        <v>146.297</v>
      </c>
      <c r="F10" s="12">
        <v>180.49</v>
      </c>
      <c r="G10" s="12">
        <v>93.3</v>
      </c>
      <c r="H10" s="146" t="s">
        <v>469</v>
      </c>
      <c r="I10" s="12">
        <v>611.12699999999995</v>
      </c>
      <c r="J10" s="39">
        <v>5183.7179999999998</v>
      </c>
    </row>
    <row r="11" spans="1:10">
      <c r="A11" s="10">
        <v>1984</v>
      </c>
      <c r="B11" s="39">
        <v>2028.1</v>
      </c>
      <c r="C11" s="39">
        <v>1442.6669999999999</v>
      </c>
      <c r="D11" s="12">
        <v>873.79200000000003</v>
      </c>
      <c r="E11" s="12">
        <v>153.315</v>
      </c>
      <c r="F11" s="12">
        <v>194.005</v>
      </c>
      <c r="G11" s="12">
        <v>103.443</v>
      </c>
      <c r="H11" s="146" t="s">
        <v>469</v>
      </c>
      <c r="I11" s="12">
        <v>635.18100000000004</v>
      </c>
      <c r="J11" s="39">
        <v>5430.5029999999997</v>
      </c>
    </row>
    <row r="12" spans="1:10">
      <c r="A12" s="10">
        <v>1985</v>
      </c>
      <c r="B12" s="39">
        <v>1911.2349999999999</v>
      </c>
      <c r="C12" s="39">
        <v>1494.7149999999999</v>
      </c>
      <c r="D12" s="12">
        <v>754.21900000000005</v>
      </c>
      <c r="E12" s="12">
        <v>220.90799999999999</v>
      </c>
      <c r="F12" s="12">
        <v>162.898</v>
      </c>
      <c r="G12" s="12">
        <v>103.24</v>
      </c>
      <c r="H12" s="146" t="s">
        <v>469</v>
      </c>
      <c r="I12" s="12">
        <v>452.94799999999998</v>
      </c>
      <c r="J12" s="39">
        <v>5100.1610000000001</v>
      </c>
    </row>
    <row r="13" spans="1:10">
      <c r="A13" s="10">
        <v>1986</v>
      </c>
      <c r="B13" s="39">
        <v>2006.694</v>
      </c>
      <c r="C13" s="39">
        <v>1749.5360000000001</v>
      </c>
      <c r="D13" s="12">
        <v>764.43899999999996</v>
      </c>
      <c r="E13" s="12">
        <v>244.23699999999999</v>
      </c>
      <c r="F13" s="12">
        <v>184.464</v>
      </c>
      <c r="G13" s="12">
        <v>100.504</v>
      </c>
      <c r="H13" s="146" t="s">
        <v>469</v>
      </c>
      <c r="I13" s="12">
        <v>342.21600000000001</v>
      </c>
      <c r="J13" s="39">
        <v>5392.09</v>
      </c>
    </row>
    <row r="14" spans="1:10">
      <c r="A14" s="10">
        <v>1987</v>
      </c>
      <c r="B14" s="39">
        <v>2194.8589999999999</v>
      </c>
      <c r="C14" s="39">
        <v>1873.85</v>
      </c>
      <c r="D14" s="12">
        <v>917.73</v>
      </c>
      <c r="E14" s="12">
        <v>261.18200000000002</v>
      </c>
      <c r="F14" s="12">
        <v>198.809</v>
      </c>
      <c r="G14" s="12">
        <v>109.474</v>
      </c>
      <c r="H14" s="146" t="s">
        <v>469</v>
      </c>
      <c r="I14" s="12">
        <v>597.327</v>
      </c>
      <c r="J14" s="39">
        <v>6153.2619999999997</v>
      </c>
    </row>
    <row r="15" spans="1:10">
      <c r="A15" s="10">
        <v>1988</v>
      </c>
      <c r="B15" s="39">
        <v>2181.201</v>
      </c>
      <c r="C15" s="39">
        <v>2002.038</v>
      </c>
      <c r="D15" s="12">
        <v>806.66899999999998</v>
      </c>
      <c r="E15" s="12">
        <v>176.31800000000001</v>
      </c>
      <c r="F15" s="12">
        <v>201.56700000000001</v>
      </c>
      <c r="G15" s="12">
        <v>110.73399999999999</v>
      </c>
      <c r="H15" s="146" t="s">
        <v>469</v>
      </c>
      <c r="I15" s="12">
        <v>500.57499999999999</v>
      </c>
      <c r="J15" s="39">
        <v>5979.1019999999999</v>
      </c>
    </row>
    <row r="16" spans="1:10">
      <c r="A16" s="10">
        <v>1989</v>
      </c>
      <c r="B16" s="39">
        <v>2057.096</v>
      </c>
      <c r="C16" s="39">
        <v>2082.7420000000002</v>
      </c>
      <c r="D16" s="12">
        <v>748.84799999999996</v>
      </c>
      <c r="E16" s="12">
        <v>186.42599999999999</v>
      </c>
      <c r="F16" s="12">
        <v>215.84100000000001</v>
      </c>
      <c r="G16" s="12">
        <v>115.01900000000001</v>
      </c>
      <c r="H16" s="146" t="s">
        <v>469</v>
      </c>
      <c r="I16" s="12">
        <v>442.04199999999997</v>
      </c>
      <c r="J16" s="39">
        <v>5848.0140000000001</v>
      </c>
    </row>
    <row r="17" spans="1:10">
      <c r="A17" s="10">
        <v>1990</v>
      </c>
      <c r="B17" s="39">
        <v>1966.3979999999999</v>
      </c>
      <c r="C17" s="39">
        <v>2193.942</v>
      </c>
      <c r="D17" s="12">
        <v>795.96100000000001</v>
      </c>
      <c r="E17" s="12">
        <v>100.27500000000001</v>
      </c>
      <c r="F17" s="12">
        <v>199.744</v>
      </c>
      <c r="G17" s="12">
        <v>156.45500000000001</v>
      </c>
      <c r="H17" s="146" t="s">
        <v>469</v>
      </c>
      <c r="I17" s="12">
        <v>298.64100000000002</v>
      </c>
      <c r="J17" s="39">
        <v>5711.4160000000002</v>
      </c>
    </row>
    <row r="18" spans="1:10">
      <c r="A18" s="10">
        <v>1991</v>
      </c>
      <c r="B18" s="39">
        <v>2234.6</v>
      </c>
      <c r="C18" s="39">
        <v>1974</v>
      </c>
      <c r="D18" s="12">
        <v>832.9</v>
      </c>
      <c r="E18" s="12">
        <v>107</v>
      </c>
      <c r="F18" s="12">
        <v>182.6</v>
      </c>
      <c r="G18" s="12">
        <v>101.7</v>
      </c>
      <c r="H18" s="146" t="s">
        <v>469</v>
      </c>
      <c r="I18" s="12">
        <v>286.39999999999998</v>
      </c>
      <c r="J18" s="39">
        <v>5719.1</v>
      </c>
    </row>
    <row r="19" spans="1:10">
      <c r="A19" s="10">
        <v>1992</v>
      </c>
      <c r="B19" s="39">
        <v>2041</v>
      </c>
      <c r="C19" s="39">
        <v>2177</v>
      </c>
      <c r="D19" s="12">
        <v>739</v>
      </c>
      <c r="E19" s="12">
        <v>124</v>
      </c>
      <c r="F19" s="12">
        <v>166</v>
      </c>
      <c r="G19" s="12">
        <v>109</v>
      </c>
      <c r="H19" s="146" t="s">
        <v>469</v>
      </c>
      <c r="I19" s="12">
        <v>549</v>
      </c>
      <c r="J19" s="39">
        <v>5904</v>
      </c>
    </row>
    <row r="20" spans="1:10">
      <c r="A20" s="10">
        <v>1993</v>
      </c>
      <c r="B20" s="39">
        <v>1898</v>
      </c>
      <c r="C20" s="39">
        <v>2200</v>
      </c>
      <c r="D20" s="12">
        <v>749</v>
      </c>
      <c r="E20" s="12">
        <v>125</v>
      </c>
      <c r="F20" s="12">
        <v>170</v>
      </c>
      <c r="G20" s="12">
        <v>116</v>
      </c>
      <c r="H20" s="146" t="s">
        <v>469</v>
      </c>
      <c r="I20" s="12">
        <v>589</v>
      </c>
      <c r="J20" s="39">
        <v>5846</v>
      </c>
    </row>
    <row r="21" spans="1:10">
      <c r="A21" s="10">
        <v>1994</v>
      </c>
      <c r="B21" s="39">
        <v>2306.1999999999998</v>
      </c>
      <c r="C21" s="39">
        <v>2272.6</v>
      </c>
      <c r="D21" s="12">
        <v>770</v>
      </c>
      <c r="E21" s="12">
        <v>115.1</v>
      </c>
      <c r="F21" s="12">
        <v>240.9</v>
      </c>
      <c r="G21" s="12">
        <v>120.3</v>
      </c>
      <c r="H21" s="146" t="s">
        <v>469</v>
      </c>
      <c r="I21" s="12">
        <v>761.2</v>
      </c>
      <c r="J21" s="39">
        <v>6586</v>
      </c>
    </row>
    <row r="22" spans="1:10">
      <c r="A22" s="10">
        <v>1995</v>
      </c>
      <c r="B22" s="39">
        <v>1963.6</v>
      </c>
      <c r="C22" s="39">
        <v>2340.9</v>
      </c>
      <c r="D22" s="12">
        <v>593.77700000000004</v>
      </c>
      <c r="E22" s="12">
        <v>102.947</v>
      </c>
      <c r="F22" s="12">
        <v>210.7</v>
      </c>
      <c r="G22" s="12">
        <v>141.81</v>
      </c>
      <c r="H22" s="146" t="s">
        <v>469</v>
      </c>
      <c r="I22" s="12">
        <v>747.4</v>
      </c>
      <c r="J22" s="39">
        <v>6101.134</v>
      </c>
    </row>
    <row r="23" spans="1:10">
      <c r="A23" s="10">
        <v>1996</v>
      </c>
      <c r="B23" s="39">
        <v>1920.749</v>
      </c>
      <c r="C23" s="39">
        <v>2429.5</v>
      </c>
      <c r="D23" s="12">
        <v>468.9</v>
      </c>
      <c r="E23" s="12">
        <v>86.584999999999994</v>
      </c>
      <c r="F23" s="12">
        <v>206.12700000000001</v>
      </c>
      <c r="G23" s="12">
        <v>124.48399999999999</v>
      </c>
      <c r="H23" s="146" t="s">
        <v>469</v>
      </c>
      <c r="I23" s="12">
        <v>781.9</v>
      </c>
      <c r="J23" s="39">
        <v>6018.2449999999999</v>
      </c>
    </row>
    <row r="24" spans="1:10">
      <c r="A24" s="10">
        <v>1997</v>
      </c>
      <c r="B24" s="39">
        <v>2341.5</v>
      </c>
      <c r="C24" s="39">
        <v>2645.5</v>
      </c>
      <c r="D24" s="12">
        <v>567.00400000000002</v>
      </c>
      <c r="E24" s="12">
        <v>92.6</v>
      </c>
      <c r="F24" s="12">
        <v>206.5</v>
      </c>
      <c r="G24" s="12">
        <v>124.8</v>
      </c>
      <c r="H24" s="146" t="s">
        <v>469</v>
      </c>
      <c r="I24" s="12">
        <v>557.29999999999995</v>
      </c>
      <c r="J24" s="39">
        <v>6535.2039999999997</v>
      </c>
    </row>
    <row r="25" spans="1:10">
      <c r="A25" s="10">
        <v>1998</v>
      </c>
      <c r="B25" s="39">
        <v>2187.1</v>
      </c>
      <c r="C25" s="39">
        <v>2877.8</v>
      </c>
      <c r="D25" s="12">
        <v>560.54999999999995</v>
      </c>
      <c r="E25" s="12">
        <v>72.513000000000005</v>
      </c>
      <c r="F25" s="12">
        <v>179.1</v>
      </c>
      <c r="G25" s="12">
        <v>118.123</v>
      </c>
      <c r="H25" s="146" t="s">
        <v>469</v>
      </c>
      <c r="I25" s="12">
        <v>578</v>
      </c>
      <c r="J25" s="39">
        <v>6573.2</v>
      </c>
    </row>
    <row r="26" spans="1:10">
      <c r="A26" s="71">
        <v>1999</v>
      </c>
      <c r="B26" s="84">
        <v>2027.9</v>
      </c>
      <c r="C26" s="84">
        <v>3200.4</v>
      </c>
      <c r="D26" s="56">
        <v>564.726</v>
      </c>
      <c r="E26" s="56">
        <v>78.599999999999994</v>
      </c>
      <c r="F26" s="56">
        <v>180.4</v>
      </c>
      <c r="G26" s="56">
        <v>127.91</v>
      </c>
      <c r="H26" s="146" t="s">
        <v>469</v>
      </c>
      <c r="I26" s="56">
        <v>552.79999999999995</v>
      </c>
      <c r="J26" s="84">
        <v>6732.8</v>
      </c>
    </row>
    <row r="27" spans="1:10">
      <c r="A27" s="71">
        <v>2000</v>
      </c>
      <c r="B27" s="84">
        <v>2107.828</v>
      </c>
      <c r="C27" s="84">
        <v>2601.6999999999998</v>
      </c>
      <c r="D27" s="56">
        <v>422.9</v>
      </c>
      <c r="E27" s="56">
        <v>114.1</v>
      </c>
      <c r="F27" s="56">
        <v>152.69999999999999</v>
      </c>
      <c r="G27" s="56">
        <v>128.5</v>
      </c>
      <c r="H27" s="146" t="s">
        <v>469</v>
      </c>
      <c r="I27" s="56">
        <v>426.2</v>
      </c>
      <c r="J27" s="84">
        <v>5953.9279999999999</v>
      </c>
    </row>
    <row r="28" spans="1:10">
      <c r="A28" s="71">
        <v>2001</v>
      </c>
      <c r="B28" s="84">
        <v>2060</v>
      </c>
      <c r="C28" s="84">
        <v>2650.6</v>
      </c>
      <c r="D28" s="56">
        <v>365.71600000000001</v>
      </c>
      <c r="E28" s="56">
        <v>99.364000000000004</v>
      </c>
      <c r="F28" s="56">
        <v>140.89500000000001</v>
      </c>
      <c r="G28" s="56">
        <v>119.31</v>
      </c>
      <c r="H28" s="146" t="s">
        <v>469</v>
      </c>
      <c r="I28" s="56">
        <v>475.73899999999998</v>
      </c>
      <c r="J28" s="84">
        <v>6343.5020000000004</v>
      </c>
    </row>
    <row r="29" spans="1:10">
      <c r="A29" s="71">
        <v>2002</v>
      </c>
      <c r="B29" s="84">
        <v>2177.9839999999999</v>
      </c>
      <c r="C29" s="84">
        <v>2669.6120000000001</v>
      </c>
      <c r="D29" s="56">
        <v>373.786</v>
      </c>
      <c r="E29" s="56">
        <v>111.07299999999999</v>
      </c>
      <c r="F29" s="56">
        <v>138.25700000000001</v>
      </c>
      <c r="G29" s="56">
        <v>111.673</v>
      </c>
      <c r="H29" s="146" t="s">
        <v>469</v>
      </c>
      <c r="I29" s="56">
        <v>488.7</v>
      </c>
      <c r="J29" s="84">
        <v>6071.085</v>
      </c>
    </row>
    <row r="30" spans="1:10">
      <c r="A30" s="71">
        <v>2003</v>
      </c>
      <c r="B30" s="84">
        <v>2234.663</v>
      </c>
      <c r="C30" s="84">
        <v>2751.4</v>
      </c>
      <c r="D30" s="56">
        <v>303.99400000000003</v>
      </c>
      <c r="E30" s="56">
        <v>108.64100000000001</v>
      </c>
      <c r="F30" s="56">
        <v>141.41800000000001</v>
      </c>
      <c r="G30" s="56">
        <v>110.262</v>
      </c>
      <c r="H30" s="146" t="s">
        <v>469</v>
      </c>
      <c r="I30" s="56">
        <v>444.58499999999998</v>
      </c>
      <c r="J30" s="84">
        <v>6094.9629999999997</v>
      </c>
    </row>
    <row r="31" spans="1:10">
      <c r="A31" s="71">
        <v>2004</v>
      </c>
      <c r="B31" s="84">
        <v>2373.692</v>
      </c>
      <c r="C31" s="84">
        <v>2962.8</v>
      </c>
      <c r="D31" s="56">
        <v>249.858</v>
      </c>
      <c r="E31" s="56">
        <v>91.274000000000001</v>
      </c>
      <c r="F31" s="56">
        <v>161.36600000000001</v>
      </c>
      <c r="G31" s="56">
        <v>111.673</v>
      </c>
      <c r="H31" s="146" t="s">
        <v>469</v>
      </c>
      <c r="I31" s="56">
        <v>451.959</v>
      </c>
      <c r="J31" s="84">
        <v>6402.6220000000003</v>
      </c>
    </row>
    <row r="32" spans="1:10">
      <c r="A32" s="71">
        <v>2005</v>
      </c>
      <c r="B32" s="84">
        <v>2270.8490000000002</v>
      </c>
      <c r="C32" s="84">
        <v>3222.5659999999998</v>
      </c>
      <c r="D32" s="56">
        <v>256.99099999999999</v>
      </c>
      <c r="E32" s="56">
        <v>104.215</v>
      </c>
      <c r="F32" s="56">
        <v>156.67500000000001</v>
      </c>
      <c r="G32" s="56">
        <v>364.4</v>
      </c>
      <c r="H32" s="146" t="s">
        <v>469</v>
      </c>
      <c r="I32" s="56">
        <v>497.72699999999998</v>
      </c>
      <c r="J32" s="84">
        <v>6873.4229999999998</v>
      </c>
    </row>
    <row r="33" spans="1:10">
      <c r="A33" s="71">
        <v>2006</v>
      </c>
      <c r="B33" s="84">
        <v>2527.1219999999998</v>
      </c>
      <c r="C33" s="84">
        <v>3034.3980000000001</v>
      </c>
      <c r="D33" s="56">
        <v>243.19499999999999</v>
      </c>
      <c r="E33" s="56">
        <v>103.161</v>
      </c>
      <c r="F33" s="56">
        <v>164.304</v>
      </c>
      <c r="G33" s="56">
        <v>389.5</v>
      </c>
      <c r="H33" s="56">
        <v>1805.7</v>
      </c>
      <c r="I33" s="56">
        <v>688.94200000000001</v>
      </c>
      <c r="J33" s="84">
        <v>8956.3220000000001</v>
      </c>
    </row>
    <row r="34" spans="1:10">
      <c r="A34" s="71">
        <v>2007</v>
      </c>
      <c r="B34" s="84">
        <v>2696.328</v>
      </c>
      <c r="C34" s="84">
        <v>3062.4520000000002</v>
      </c>
      <c r="D34" s="56">
        <v>237.99299999999999</v>
      </c>
      <c r="E34" s="56">
        <v>85.844999999999999</v>
      </c>
      <c r="F34" s="56">
        <v>179.33500000000001</v>
      </c>
      <c r="G34" s="56">
        <v>275.30099999999999</v>
      </c>
      <c r="H34" s="56">
        <v>3747.297</v>
      </c>
      <c r="I34" s="56">
        <v>484.99400000000003</v>
      </c>
      <c r="J34" s="84">
        <v>10769.45</v>
      </c>
    </row>
    <row r="35" spans="1:10">
      <c r="A35" s="71">
        <v>2008</v>
      </c>
      <c r="B35" s="84">
        <v>2636.8240000000001</v>
      </c>
      <c r="C35" s="84">
        <v>2711.2359999999999</v>
      </c>
      <c r="D35" s="56">
        <v>234.19800000000001</v>
      </c>
      <c r="E35" s="56">
        <v>100.901</v>
      </c>
      <c r="F35" s="56">
        <v>173.31399999999999</v>
      </c>
      <c r="G35" s="56">
        <v>300.05200000000002</v>
      </c>
      <c r="H35" s="56">
        <v>5933.9</v>
      </c>
      <c r="I35" s="56">
        <v>478.34800000000001</v>
      </c>
      <c r="J35" s="84">
        <v>12568.772999999999</v>
      </c>
    </row>
    <row r="36" spans="1:10">
      <c r="A36" s="71">
        <v>2009</v>
      </c>
      <c r="B36" s="84">
        <v>2276.08</v>
      </c>
      <c r="C36" s="84">
        <v>2180.5529999999999</v>
      </c>
      <c r="D36" s="56">
        <v>258.83999999999997</v>
      </c>
      <c r="E36" s="56">
        <v>95.3</v>
      </c>
      <c r="F36" s="56">
        <v>161.02199999999999</v>
      </c>
      <c r="G36" s="56">
        <v>226.71600000000001</v>
      </c>
      <c r="H36" s="56">
        <v>4113.0690000000004</v>
      </c>
      <c r="I36" s="56">
        <v>464.95</v>
      </c>
      <c r="J36" s="84">
        <v>9776.5300000000007</v>
      </c>
    </row>
    <row r="37" spans="1:10">
      <c r="A37" s="11">
        <v>2010</v>
      </c>
      <c r="B37" s="40">
        <v>2671.5219999999999</v>
      </c>
      <c r="C37" s="40">
        <v>1955.377</v>
      </c>
      <c r="D37" s="13">
        <v>269.74900000000002</v>
      </c>
      <c r="E37" s="13">
        <v>114.684</v>
      </c>
      <c r="F37" s="13">
        <v>165.995</v>
      </c>
      <c r="G37" s="13">
        <v>235.12299999999999</v>
      </c>
      <c r="H37" s="13">
        <v>2366.623</v>
      </c>
      <c r="I37" s="13">
        <v>484.745</v>
      </c>
      <c r="J37" s="40">
        <v>8263.8179999999993</v>
      </c>
    </row>
    <row r="38" spans="1:10" ht="13.25" customHeight="1">
      <c r="A38" s="117" t="s">
        <v>767</v>
      </c>
    </row>
    <row r="39" spans="1:10" ht="13.25" customHeight="1">
      <c r="A39" s="117" t="s">
        <v>620</v>
      </c>
    </row>
    <row r="40" spans="1:10">
      <c r="J40" s="313" t="s">
        <v>547</v>
      </c>
    </row>
  </sheetData>
  <phoneticPr fontId="0" type="noConversion"/>
  <pageMargins left="0.7" right="0.7" top="0.75" bottom="0.75" header="0.3" footer="0.3"/>
  <pageSetup scale="87" firstPageNumber="6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K39"/>
  <sheetViews>
    <sheetView zoomScaleNormal="100" zoomScaleSheetLayoutView="100" workbookViewId="0"/>
  </sheetViews>
  <sheetFormatPr baseColWidth="10" defaultColWidth="8.75" defaultRowHeight="11"/>
  <cols>
    <col min="1" max="5" width="12.75" customWidth="1"/>
    <col min="6" max="6" width="5.75" customWidth="1"/>
    <col min="7" max="10" width="12.75" customWidth="1"/>
  </cols>
  <sheetData>
    <row r="1" spans="1:10" ht="11.25" customHeight="1">
      <c r="A1" s="1" t="s">
        <v>529</v>
      </c>
      <c r="B1" s="1"/>
      <c r="C1" s="1"/>
      <c r="D1" s="1"/>
      <c r="E1" s="1"/>
      <c r="F1" s="1"/>
      <c r="G1" s="1"/>
      <c r="H1" s="1"/>
      <c r="I1" s="1"/>
      <c r="J1" s="1"/>
    </row>
    <row r="2" spans="1:10" ht="11.25" customHeight="1">
      <c r="A2" t="s">
        <v>318</v>
      </c>
      <c r="C2" s="335" t="s">
        <v>119</v>
      </c>
      <c r="D2" s="314"/>
      <c r="E2" s="314"/>
      <c r="G2" s="3"/>
      <c r="H2" s="314" t="s">
        <v>117</v>
      </c>
      <c r="I2" s="314"/>
    </row>
    <row r="3" spans="1:10" ht="11.25" customHeight="1">
      <c r="A3" s="1" t="s">
        <v>319</v>
      </c>
      <c r="B3" s="9" t="s">
        <v>351</v>
      </c>
      <c r="C3" s="9" t="s">
        <v>66</v>
      </c>
      <c r="D3" s="9" t="s">
        <v>350</v>
      </c>
      <c r="E3" s="190" t="s">
        <v>3</v>
      </c>
      <c r="F3" s="9"/>
      <c r="G3" s="9" t="s">
        <v>142</v>
      </c>
      <c r="H3" s="9" t="s">
        <v>90</v>
      </c>
      <c r="I3" s="190" t="s">
        <v>3</v>
      </c>
      <c r="J3" s="9" t="s">
        <v>349</v>
      </c>
    </row>
    <row r="4" spans="1:10" ht="12" customHeight="1">
      <c r="C4" s="315"/>
      <c r="D4" s="315"/>
      <c r="E4" s="315" t="s">
        <v>726</v>
      </c>
      <c r="F4" s="315"/>
      <c r="G4" s="315"/>
      <c r="H4" s="315"/>
      <c r="I4" s="315"/>
      <c r="J4" s="7" t="s">
        <v>95</v>
      </c>
    </row>
    <row r="5" spans="1:10" ht="12" customHeight="1">
      <c r="B5" s="171"/>
      <c r="C5" s="171"/>
      <c r="D5" s="171"/>
      <c r="E5" s="171"/>
      <c r="F5" s="171"/>
      <c r="G5" s="171"/>
      <c r="H5" s="171"/>
      <c r="I5" s="171"/>
      <c r="J5" s="7"/>
    </row>
    <row r="6" spans="1:10">
      <c r="A6" s="10">
        <v>1980</v>
      </c>
      <c r="B6" s="12">
        <v>141</v>
      </c>
      <c r="C6" s="12">
        <v>5167.2</v>
      </c>
      <c r="D6" s="12">
        <v>56.267999999999994</v>
      </c>
      <c r="E6" s="12">
        <f>SUM(B6:D6)</f>
        <v>5364.4679999999998</v>
      </c>
      <c r="F6" s="12"/>
      <c r="G6" s="12">
        <f t="shared" ref="G6:G29" si="0">+I6-H6</f>
        <v>4836.0119999999997</v>
      </c>
      <c r="H6" s="12">
        <v>406.45600000000002</v>
      </c>
      <c r="I6" s="12">
        <f>+E6-B7</f>
        <v>5242.4679999999998</v>
      </c>
      <c r="J6" s="99">
        <f>+G6/227.726</f>
        <v>21.236099523111108</v>
      </c>
    </row>
    <row r="7" spans="1:10">
      <c r="A7" s="10">
        <v>1981</v>
      </c>
      <c r="B7" s="12">
        <v>122</v>
      </c>
      <c r="C7" s="12">
        <v>5347.9</v>
      </c>
      <c r="D7" s="12">
        <v>61.066000000000003</v>
      </c>
      <c r="E7" s="12">
        <f t="shared" ref="E7:E25" si="1">SUM(B7:D7)</f>
        <v>5530.9659999999994</v>
      </c>
      <c r="F7" s="12"/>
      <c r="G7" s="12">
        <f t="shared" si="0"/>
        <v>4986.3009999999995</v>
      </c>
      <c r="H7" s="12">
        <v>434.66500000000002</v>
      </c>
      <c r="I7" s="12">
        <f t="shared" ref="I7:I24" si="2">+E7-B8</f>
        <v>5420.9659999999994</v>
      </c>
      <c r="J7" s="99">
        <f>+G7/229.966</f>
        <v>21.682774844977082</v>
      </c>
    </row>
    <row r="8" spans="1:10">
      <c r="A8" s="10">
        <v>1982</v>
      </c>
      <c r="B8" s="12">
        <v>110</v>
      </c>
      <c r="C8" s="12">
        <v>5349.6</v>
      </c>
      <c r="D8" s="12">
        <v>64.364000000000004</v>
      </c>
      <c r="E8" s="12">
        <f t="shared" si="1"/>
        <v>5523.9639999999999</v>
      </c>
      <c r="F8" s="12"/>
      <c r="G8" s="12">
        <f t="shared" si="0"/>
        <v>4979.9639999999999</v>
      </c>
      <c r="H8" s="12">
        <v>421</v>
      </c>
      <c r="I8" s="12">
        <f t="shared" si="2"/>
        <v>5400.9639999999999</v>
      </c>
      <c r="J8" s="99">
        <f>+G8/232.188</f>
        <v>21.447981807845366</v>
      </c>
    </row>
    <row r="9" spans="1:10">
      <c r="A9" s="10">
        <v>1983</v>
      </c>
      <c r="B9" s="12">
        <v>123</v>
      </c>
      <c r="C9" s="12">
        <v>5775.5</v>
      </c>
      <c r="D9" s="12">
        <v>72.944999999999993</v>
      </c>
      <c r="E9" s="12">
        <f t="shared" si="1"/>
        <v>5971.4449999999997</v>
      </c>
      <c r="F9" s="12"/>
      <c r="G9" s="12">
        <f t="shared" si="0"/>
        <v>5526.442</v>
      </c>
      <c r="H9" s="12">
        <v>332.00299999999999</v>
      </c>
      <c r="I9" s="12">
        <f>+E9-B10</f>
        <v>5858.4449999999997</v>
      </c>
      <c r="J9" s="99">
        <f>+G9/234.307</f>
        <v>23.58632904693415</v>
      </c>
    </row>
    <row r="10" spans="1:10">
      <c r="A10" s="10">
        <v>1984</v>
      </c>
      <c r="B10" s="12">
        <v>113</v>
      </c>
      <c r="C10" s="12">
        <v>5614</v>
      </c>
      <c r="D10" s="12">
        <v>92.712999999999994</v>
      </c>
      <c r="E10" s="12">
        <f t="shared" si="1"/>
        <v>5819.7129999999997</v>
      </c>
      <c r="F10" s="12"/>
      <c r="G10" s="12">
        <f t="shared" si="0"/>
        <v>5324.7129999999997</v>
      </c>
      <c r="H10" s="12">
        <v>403</v>
      </c>
      <c r="I10" s="12">
        <f t="shared" si="2"/>
        <v>5727.7129999999997</v>
      </c>
      <c r="J10" s="99">
        <f>+G10/236.348</f>
        <v>22.529122311168276</v>
      </c>
    </row>
    <row r="11" spans="1:10">
      <c r="A11" s="10">
        <v>1985</v>
      </c>
      <c r="B11" s="12">
        <v>92</v>
      </c>
      <c r="C11" s="12">
        <v>5942</v>
      </c>
      <c r="D11" s="12">
        <v>190</v>
      </c>
      <c r="E11" s="12">
        <f t="shared" si="1"/>
        <v>6224</v>
      </c>
      <c r="F11" s="12"/>
      <c r="G11" s="12">
        <f t="shared" si="0"/>
        <v>5702</v>
      </c>
      <c r="H11" s="12">
        <v>410</v>
      </c>
      <c r="I11" s="12">
        <f>+E11-B12</f>
        <v>6112</v>
      </c>
      <c r="J11" s="99">
        <f>+G11/238.466</f>
        <v>23.911165533031962</v>
      </c>
    </row>
    <row r="12" spans="1:10">
      <c r="A12" s="10">
        <v>1986</v>
      </c>
      <c r="B12" s="12">
        <v>112</v>
      </c>
      <c r="C12" s="12">
        <v>6036.3</v>
      </c>
      <c r="D12" s="12">
        <v>299</v>
      </c>
      <c r="E12" s="12">
        <f t="shared" si="1"/>
        <v>6447.3</v>
      </c>
      <c r="F12" s="12"/>
      <c r="G12" s="12">
        <f t="shared" si="0"/>
        <v>6016.3</v>
      </c>
      <c r="H12" s="12">
        <v>284</v>
      </c>
      <c r="I12" s="12">
        <f t="shared" si="2"/>
        <v>6300.3</v>
      </c>
      <c r="J12" s="99">
        <f>+G12/240.651</f>
        <v>25.000103884878932</v>
      </c>
    </row>
    <row r="13" spans="1:10">
      <c r="A13" s="10">
        <v>1987</v>
      </c>
      <c r="B13" s="12">
        <v>147</v>
      </c>
      <c r="C13" s="12">
        <v>6333.6</v>
      </c>
      <c r="D13" s="12">
        <v>413</v>
      </c>
      <c r="E13" s="12">
        <f t="shared" si="1"/>
        <v>6893.6</v>
      </c>
      <c r="F13" s="12"/>
      <c r="G13" s="12">
        <f t="shared" si="0"/>
        <v>6428.6</v>
      </c>
      <c r="H13" s="12">
        <v>330</v>
      </c>
      <c r="I13" s="12">
        <f>+E13-B14</f>
        <v>6758.6</v>
      </c>
      <c r="J13" s="99">
        <f>+G13/242.804</f>
        <v>26.476499563433883</v>
      </c>
    </row>
    <row r="14" spans="1:10">
      <c r="A14" s="10">
        <v>1988</v>
      </c>
      <c r="B14" s="12">
        <v>135</v>
      </c>
      <c r="C14" s="12">
        <v>6409.1</v>
      </c>
      <c r="D14" s="12">
        <v>609</v>
      </c>
      <c r="E14" s="12">
        <f t="shared" si="1"/>
        <v>7153.1</v>
      </c>
      <c r="F14" s="12"/>
      <c r="G14" s="12">
        <f t="shared" si="0"/>
        <v>6754.1</v>
      </c>
      <c r="H14" s="12">
        <v>276</v>
      </c>
      <c r="I14" s="12">
        <f t="shared" si="2"/>
        <v>7030.1</v>
      </c>
      <c r="J14" s="99">
        <f>+G14/245.021</f>
        <v>27.56539235412475</v>
      </c>
    </row>
    <row r="15" spans="1:10">
      <c r="A15" s="10">
        <v>1989</v>
      </c>
      <c r="B15" s="12">
        <v>123</v>
      </c>
      <c r="C15" s="12">
        <v>6123.1</v>
      </c>
      <c r="D15" s="12">
        <v>548</v>
      </c>
      <c r="E15" s="12">
        <f t="shared" si="1"/>
        <v>6794.1</v>
      </c>
      <c r="F15" s="12"/>
      <c r="G15" s="12">
        <f t="shared" si="0"/>
        <v>6331.1</v>
      </c>
      <c r="H15" s="12">
        <v>337</v>
      </c>
      <c r="I15" s="12">
        <f>+E15-B16</f>
        <v>6668.1</v>
      </c>
      <c r="J15" s="99">
        <f>+G15/247.342</f>
        <v>25.596542439213721</v>
      </c>
    </row>
    <row r="16" spans="1:10">
      <c r="A16" s="10">
        <v>1990</v>
      </c>
      <c r="B16" s="12">
        <v>126</v>
      </c>
      <c r="C16" s="12">
        <v>6035.6009999999997</v>
      </c>
      <c r="D16" s="12">
        <v>451.69200000000001</v>
      </c>
      <c r="E16" s="12">
        <f t="shared" si="1"/>
        <v>6613.2929999999997</v>
      </c>
      <c r="F16" s="12"/>
      <c r="G16" s="12">
        <f t="shared" si="0"/>
        <v>6278.2929999999997</v>
      </c>
      <c r="H16" s="12">
        <v>214</v>
      </c>
      <c r="I16" s="12">
        <f t="shared" si="2"/>
        <v>6492.2929999999997</v>
      </c>
      <c r="J16" s="99">
        <f>+G16/250.132</f>
        <v>25.099919242639885</v>
      </c>
    </row>
    <row r="17" spans="1:11">
      <c r="A17" s="10">
        <v>1991</v>
      </c>
      <c r="B17" s="12">
        <v>121</v>
      </c>
      <c r="C17" s="12">
        <v>6309.7</v>
      </c>
      <c r="D17" s="12">
        <v>501.13200000000001</v>
      </c>
      <c r="E17" s="12">
        <f t="shared" si="1"/>
        <v>6931.8319999999994</v>
      </c>
      <c r="F17" s="12"/>
      <c r="G17" s="12">
        <f t="shared" si="0"/>
        <v>6658.8319999999994</v>
      </c>
      <c r="H17" s="12">
        <v>137</v>
      </c>
      <c r="I17" s="12">
        <f>+E17-B18</f>
        <v>6795.8319999999994</v>
      </c>
      <c r="J17" s="99">
        <f>+G17/253.493</f>
        <v>26.26830721163898</v>
      </c>
    </row>
    <row r="18" spans="1:11">
      <c r="A18" s="10">
        <v>1992</v>
      </c>
      <c r="B18" s="12">
        <v>136</v>
      </c>
      <c r="C18" s="12">
        <v>6491.3</v>
      </c>
      <c r="D18" s="12">
        <v>663.61</v>
      </c>
      <c r="E18" s="12">
        <f t="shared" si="1"/>
        <v>7290.91</v>
      </c>
      <c r="F18" s="12"/>
      <c r="G18" s="12">
        <f t="shared" si="0"/>
        <v>6945.93</v>
      </c>
      <c r="H18" s="12">
        <v>244.98</v>
      </c>
      <c r="I18" s="12">
        <f t="shared" si="2"/>
        <v>7190.91</v>
      </c>
      <c r="J18" s="99">
        <f>+G18/256.894</f>
        <v>27.03811688867782</v>
      </c>
    </row>
    <row r="19" spans="1:11">
      <c r="A19" s="10">
        <v>1993</v>
      </c>
      <c r="B19" s="12">
        <v>100</v>
      </c>
      <c r="C19" s="12">
        <v>6469.5</v>
      </c>
      <c r="D19" s="12">
        <v>721.42399999999998</v>
      </c>
      <c r="E19" s="12">
        <f t="shared" si="1"/>
        <v>7290.924</v>
      </c>
      <c r="F19" s="12"/>
      <c r="G19" s="12">
        <f t="shared" si="0"/>
        <v>6907.067</v>
      </c>
      <c r="H19" s="12">
        <v>258.85700000000003</v>
      </c>
      <c r="I19" s="12">
        <f>+E19-B20</f>
        <v>7165.924</v>
      </c>
      <c r="J19" s="99">
        <f>+G19/260.255</f>
        <v>26.539613071794971</v>
      </c>
    </row>
    <row r="20" spans="1:11">
      <c r="A20" s="10">
        <v>1994</v>
      </c>
      <c r="B20" s="12">
        <v>125</v>
      </c>
      <c r="C20" s="12">
        <v>6546.7950000000001</v>
      </c>
      <c r="D20" s="12">
        <v>758.39700000000005</v>
      </c>
      <c r="E20" s="12">
        <f t="shared" si="1"/>
        <v>7430.192</v>
      </c>
      <c r="F20" s="12"/>
      <c r="G20" s="12">
        <f t="shared" si="0"/>
        <v>6844.8429999999998</v>
      </c>
      <c r="H20" s="12">
        <v>487.46499999999997</v>
      </c>
      <c r="I20" s="12">
        <f t="shared" si="2"/>
        <v>7332.308</v>
      </c>
      <c r="J20" s="99">
        <f>+G20/263.436</f>
        <v>25.982944624121231</v>
      </c>
    </row>
    <row r="21" spans="1:11">
      <c r="A21" s="10">
        <v>1995</v>
      </c>
      <c r="B21" s="12">
        <v>97.884</v>
      </c>
      <c r="C21" s="12">
        <v>6724.8519999999999</v>
      </c>
      <c r="D21" s="12">
        <v>848.21400000000006</v>
      </c>
      <c r="E21" s="12">
        <f t="shared" si="1"/>
        <v>7670.95</v>
      </c>
      <c r="F21" s="12"/>
      <c r="G21" s="12">
        <f t="shared" si="0"/>
        <v>7057.0210000000006</v>
      </c>
      <c r="H21" s="12">
        <v>515.23900000000003</v>
      </c>
      <c r="I21" s="12">
        <f>+E21-B22</f>
        <v>7572.26</v>
      </c>
      <c r="J21" s="99">
        <f>+G21/266.557</f>
        <v>26.47471647715123</v>
      </c>
    </row>
    <row r="22" spans="1:11">
      <c r="A22" s="10">
        <v>1996</v>
      </c>
      <c r="B22" s="12">
        <v>98.69</v>
      </c>
      <c r="C22" s="12">
        <v>6641.0159999999996</v>
      </c>
      <c r="D22" s="12">
        <v>854.69799999999998</v>
      </c>
      <c r="E22" s="12">
        <f t="shared" si="1"/>
        <v>7594.4039999999995</v>
      </c>
      <c r="F22" s="12"/>
      <c r="G22" s="12">
        <f t="shared" si="0"/>
        <v>6923.5369999999994</v>
      </c>
      <c r="H22" s="12">
        <v>541.21</v>
      </c>
      <c r="I22" s="12">
        <f t="shared" si="2"/>
        <v>7464.7469999999994</v>
      </c>
      <c r="J22" s="99">
        <f>+G22/269.667</f>
        <v>25.674394716446582</v>
      </c>
    </row>
    <row r="23" spans="1:11">
      <c r="A23" s="10">
        <v>1997</v>
      </c>
      <c r="B23" s="12">
        <v>129.65700000000001</v>
      </c>
      <c r="C23" s="12">
        <v>7432.5079999999998</v>
      </c>
      <c r="D23" s="12">
        <v>902.11099999999999</v>
      </c>
      <c r="E23" s="12">
        <f t="shared" si="1"/>
        <v>8464.2759999999998</v>
      </c>
      <c r="F23" s="12"/>
      <c r="G23" s="12">
        <f t="shared" si="0"/>
        <v>7651.677999999999</v>
      </c>
      <c r="H23" s="12">
        <v>705.74599999999998</v>
      </c>
      <c r="I23" s="12">
        <f>+E23-B24</f>
        <v>8357.4239999999991</v>
      </c>
      <c r="J23" s="99">
        <f>+G23/272.912</f>
        <v>28.037162162162161</v>
      </c>
    </row>
    <row r="24" spans="1:11">
      <c r="A24" s="10">
        <v>1998</v>
      </c>
      <c r="B24" s="12">
        <v>106.852</v>
      </c>
      <c r="C24" s="12">
        <v>7464.4290000000001</v>
      </c>
      <c r="D24" s="12">
        <v>918.029</v>
      </c>
      <c r="E24" s="12">
        <f t="shared" si="1"/>
        <v>8489.31</v>
      </c>
      <c r="F24" s="12"/>
      <c r="G24" s="12">
        <f t="shared" si="0"/>
        <v>7531.6970000000001</v>
      </c>
      <c r="H24" s="12">
        <v>833.70600000000002</v>
      </c>
      <c r="I24" s="12">
        <f t="shared" si="2"/>
        <v>8365.4030000000002</v>
      </c>
      <c r="J24" s="99">
        <f>+G24/276.115</f>
        <v>27.277391666515761</v>
      </c>
    </row>
    <row r="25" spans="1:11">
      <c r="A25" s="71">
        <v>1999</v>
      </c>
      <c r="B25" s="56">
        <v>123.907</v>
      </c>
      <c r="C25" s="56">
        <v>7700.7</v>
      </c>
      <c r="D25" s="56">
        <v>994.36500000000001</v>
      </c>
      <c r="E25" s="12">
        <f t="shared" si="1"/>
        <v>8818.9719999999998</v>
      </c>
      <c r="F25" s="56"/>
      <c r="G25" s="12">
        <f t="shared" si="0"/>
        <v>8029.889000000001</v>
      </c>
      <c r="H25" s="56">
        <v>649.24800000000005</v>
      </c>
      <c r="I25" s="12">
        <f t="shared" ref="I25:I35" si="3">+E25-B26</f>
        <v>8679.1370000000006</v>
      </c>
      <c r="J25" s="99">
        <f>+G25/279.295</f>
        <v>28.750564814980578</v>
      </c>
      <c r="K25" t="s">
        <v>61</v>
      </c>
    </row>
    <row r="26" spans="1:11">
      <c r="A26" s="71" t="s">
        <v>441</v>
      </c>
      <c r="B26" s="56">
        <v>139.83500000000001</v>
      </c>
      <c r="C26" s="56">
        <v>9155.2999999999993</v>
      </c>
      <c r="D26" s="56">
        <v>1133.701</v>
      </c>
      <c r="E26" s="12">
        <f t="shared" ref="E26:E31" si="4">SUM(B26:D26)</f>
        <v>10428.835999999999</v>
      </c>
      <c r="F26" s="56"/>
      <c r="G26" s="12">
        <f t="shared" si="0"/>
        <v>9521.5659999999989</v>
      </c>
      <c r="H26" s="56">
        <v>733.57</v>
      </c>
      <c r="I26" s="12">
        <f t="shared" si="3"/>
        <v>10255.135999999999</v>
      </c>
      <c r="J26" s="99">
        <f>+G26/282.385</f>
        <v>33.718384475096052</v>
      </c>
    </row>
    <row r="27" spans="1:11">
      <c r="A27" s="71" t="s">
        <v>439</v>
      </c>
      <c r="B27" s="56">
        <v>173.7</v>
      </c>
      <c r="C27" s="56">
        <f>7397.7+(2167.3)</f>
        <v>9565</v>
      </c>
      <c r="D27" s="56">
        <v>1181.5530000000001</v>
      </c>
      <c r="E27" s="12">
        <f t="shared" si="4"/>
        <v>10920.253000000001</v>
      </c>
      <c r="F27" s="56"/>
      <c r="G27" s="12">
        <f t="shared" si="0"/>
        <v>10144.138000000001</v>
      </c>
      <c r="H27" s="56">
        <v>589.26</v>
      </c>
      <c r="I27" s="12">
        <f t="shared" si="3"/>
        <v>10733.398000000001</v>
      </c>
      <c r="J27" s="99">
        <f>+G27/285.309</f>
        <v>35.5549176506875</v>
      </c>
    </row>
    <row r="28" spans="1:11">
      <c r="A28" s="71" t="s">
        <v>440</v>
      </c>
      <c r="B28" s="56">
        <v>186.85499999999999</v>
      </c>
      <c r="C28" s="56">
        <f>7856+(2900)</f>
        <v>10756</v>
      </c>
      <c r="D28" s="56">
        <v>1208.4390000000001</v>
      </c>
      <c r="E28" s="12">
        <f t="shared" si="4"/>
        <v>12151.294</v>
      </c>
      <c r="F28" s="56"/>
      <c r="G28" s="12">
        <f t="shared" si="0"/>
        <v>11430.104000000001</v>
      </c>
      <c r="H28" s="56">
        <v>552.39</v>
      </c>
      <c r="I28" s="12">
        <f t="shared" si="3"/>
        <v>11982.494000000001</v>
      </c>
      <c r="J28" s="99">
        <f>+G28/288.105</f>
        <v>39.673396851842213</v>
      </c>
    </row>
    <row r="29" spans="1:11">
      <c r="A29" s="71">
        <v>2003</v>
      </c>
      <c r="B29" s="56">
        <v>168.8</v>
      </c>
      <c r="C29" s="56">
        <v>10930.4</v>
      </c>
      <c r="D29" s="56">
        <v>1123.99</v>
      </c>
      <c r="E29" s="12">
        <f t="shared" si="4"/>
        <v>12223.189999999999</v>
      </c>
      <c r="F29" s="56"/>
      <c r="G29" s="12">
        <f t="shared" si="0"/>
        <v>11682.778999999999</v>
      </c>
      <c r="H29" s="56">
        <v>387.13</v>
      </c>
      <c r="I29" s="12">
        <f t="shared" si="3"/>
        <v>12069.908999999998</v>
      </c>
      <c r="J29" s="99">
        <f>+G29/290.82</f>
        <v>40.171855443229482</v>
      </c>
    </row>
    <row r="30" spans="1:11">
      <c r="A30" s="71">
        <v>2004</v>
      </c>
      <c r="B30" s="56">
        <v>153.28100000000001</v>
      </c>
      <c r="C30" s="56">
        <v>10783.8</v>
      </c>
      <c r="D30" s="56">
        <v>1362.885</v>
      </c>
      <c r="E30" s="12">
        <f t="shared" si="4"/>
        <v>12299.966</v>
      </c>
      <c r="F30" s="56"/>
      <c r="G30" s="12">
        <f t="shared" ref="G30:G35" si="5">+I30-H30</f>
        <v>11724.136</v>
      </c>
      <c r="H30" s="56">
        <v>439.13</v>
      </c>
      <c r="I30" s="12">
        <f t="shared" si="3"/>
        <v>12163.266</v>
      </c>
      <c r="J30" s="99">
        <f>+G30/293.463</f>
        <v>39.950985303087613</v>
      </c>
    </row>
    <row r="31" spans="1:11">
      <c r="A31" s="71">
        <v>2005</v>
      </c>
      <c r="B31" s="56">
        <v>136.69999999999999</v>
      </c>
      <c r="C31" s="56">
        <v>11797.739000000001</v>
      </c>
      <c r="D31" s="56">
        <v>1314.162</v>
      </c>
      <c r="E31" s="12">
        <f t="shared" si="4"/>
        <v>13248.601000000002</v>
      </c>
      <c r="F31" s="56"/>
      <c r="G31" s="12">
        <f t="shared" si="5"/>
        <v>12657.604000000003</v>
      </c>
      <c r="H31" s="56">
        <v>450.51900000000001</v>
      </c>
      <c r="I31" s="12">
        <f t="shared" si="3"/>
        <v>13108.123000000003</v>
      </c>
      <c r="J31" s="99">
        <f>+G31/296.186</f>
        <v>42.735321723511589</v>
      </c>
    </row>
    <row r="32" spans="1:11">
      <c r="A32" s="71">
        <v>2006</v>
      </c>
      <c r="B32" s="56">
        <v>140.47800000000001</v>
      </c>
      <c r="C32" s="56">
        <v>12512.981</v>
      </c>
      <c r="D32" s="56">
        <v>1358.317</v>
      </c>
      <c r="E32" s="12">
        <f>SUM(B32:D32)</f>
        <v>14011.775999999998</v>
      </c>
      <c r="F32" s="56"/>
      <c r="G32" s="12">
        <f t="shared" si="5"/>
        <v>13322.427999999998</v>
      </c>
      <c r="H32" s="56">
        <v>493.923</v>
      </c>
      <c r="I32" s="12">
        <f t="shared" si="3"/>
        <v>13816.350999999999</v>
      </c>
      <c r="J32" s="99">
        <f>+G32/298.996</f>
        <v>44.557211467711937</v>
      </c>
    </row>
    <row r="33" spans="1:10">
      <c r="A33" s="71">
        <v>2007</v>
      </c>
      <c r="B33" s="56">
        <v>195.42500000000001</v>
      </c>
      <c r="C33" s="56">
        <v>14026.11</v>
      </c>
      <c r="D33" s="56">
        <v>1506.4849999999999</v>
      </c>
      <c r="E33" s="12">
        <f>SUM(B33:D33)</f>
        <v>15728.02</v>
      </c>
      <c r="F33" s="56"/>
      <c r="G33" s="12">
        <f t="shared" si="5"/>
        <v>15158.552</v>
      </c>
      <c r="H33" s="56">
        <v>361.25299999999999</v>
      </c>
      <c r="I33" s="12">
        <f t="shared" si="3"/>
        <v>15519.805</v>
      </c>
      <c r="J33" s="99">
        <f>+G33/302.004</f>
        <v>50.193215983894248</v>
      </c>
    </row>
    <row r="34" spans="1:10">
      <c r="A34" s="71">
        <v>2008</v>
      </c>
      <c r="B34" s="56">
        <v>208.215</v>
      </c>
      <c r="C34" s="56">
        <v>15132.18</v>
      </c>
      <c r="D34" s="56">
        <v>1856.0309999999999</v>
      </c>
      <c r="E34" s="12">
        <f>SUM(B34:D34)</f>
        <v>17196.425999999999</v>
      </c>
      <c r="F34" s="56"/>
      <c r="G34" s="12">
        <f t="shared" si="5"/>
        <v>16469.165091276496</v>
      </c>
      <c r="H34" s="56">
        <v>526.32190872350463</v>
      </c>
      <c r="I34" s="12">
        <f t="shared" si="3"/>
        <v>16995.487000000001</v>
      </c>
      <c r="J34" s="99">
        <f>+G34/304.798</f>
        <v>54.033048416579163</v>
      </c>
    </row>
    <row r="35" spans="1:10">
      <c r="A35" s="71">
        <v>2009</v>
      </c>
      <c r="B35" s="56">
        <v>200.93899999999999</v>
      </c>
      <c r="C35" s="56">
        <v>14164.500000000002</v>
      </c>
      <c r="D35" s="56">
        <v>1882.2929511840598</v>
      </c>
      <c r="E35" s="12">
        <f>SUM(B35:D35)</f>
        <v>16247.731951184061</v>
      </c>
      <c r="F35" s="56"/>
      <c r="G35" s="12">
        <f t="shared" si="5"/>
        <v>15690.273791808095</v>
      </c>
      <c r="H35" s="56">
        <v>356.94115937596615</v>
      </c>
      <c r="I35" s="12">
        <f t="shared" si="3"/>
        <v>16047.214951184062</v>
      </c>
      <c r="J35" s="99">
        <f>+G35/307.439</f>
        <v>51.0354047203123</v>
      </c>
    </row>
    <row r="36" spans="1:10">
      <c r="A36" s="11">
        <v>2010</v>
      </c>
      <c r="B36" s="13">
        <v>200.517</v>
      </c>
      <c r="C36" s="13">
        <v>14885.792810000003</v>
      </c>
      <c r="D36" s="13">
        <v>2089.4279999999999</v>
      </c>
      <c r="E36" s="13">
        <f>SUM(B36:D36)</f>
        <v>17175.737810000002</v>
      </c>
      <c r="F36" s="13"/>
      <c r="G36" s="13">
        <f>+I36-H36</f>
        <v>16592.976470581216</v>
      </c>
      <c r="H36" s="13">
        <v>368.40033941878443</v>
      </c>
      <c r="I36" s="13">
        <f>E36-214.361</f>
        <v>16961.376810000002</v>
      </c>
      <c r="J36" s="98">
        <f>+G36/310.062</f>
        <v>53.515027544753032</v>
      </c>
    </row>
    <row r="37" spans="1:10" ht="13.25" customHeight="1">
      <c r="A37" s="117" t="s">
        <v>768</v>
      </c>
    </row>
    <row r="38" spans="1:10" ht="13.25" customHeight="1">
      <c r="A38" s="117" t="s">
        <v>641</v>
      </c>
    </row>
    <row r="39" spans="1:10">
      <c r="A39" s="260" t="s">
        <v>602</v>
      </c>
      <c r="J39" s="313" t="s">
        <v>547</v>
      </c>
    </row>
  </sheetData>
  <phoneticPr fontId="0" type="noConversion"/>
  <pageMargins left="0.7" right="0.7" top="0.75" bottom="0.75" header="0.3" footer="0.3"/>
  <pageSetup scale="95" firstPageNumber="69" orientation="portrait" useFirstPageNumber="1" r:id="rId1"/>
  <headerFooter alignWithMargins="0">
    <oddFooter>&amp;C&amp;P
Oil Crops Yearbook/OCS-2018
March 2018
Economic Research Service, USDA</oddFooter>
  </headerFooter>
  <ignoredErrors>
    <ignoredError sqref="E6:E35" formulaRange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H39"/>
  <sheetViews>
    <sheetView zoomScaleNormal="100" zoomScaleSheetLayoutView="100" workbookViewId="0"/>
  </sheetViews>
  <sheetFormatPr baseColWidth="10" defaultColWidth="8.75" defaultRowHeight="11"/>
  <cols>
    <col min="1" max="8" width="12.75" customWidth="1"/>
  </cols>
  <sheetData>
    <row r="1" spans="1:8">
      <c r="A1" s="1" t="s">
        <v>530</v>
      </c>
      <c r="B1" s="1"/>
      <c r="C1" s="1"/>
      <c r="D1" s="1"/>
      <c r="E1" s="1"/>
      <c r="F1" s="1"/>
      <c r="G1" s="1"/>
      <c r="H1" s="1"/>
    </row>
    <row r="2" spans="1:8">
      <c r="A2" t="s">
        <v>318</v>
      </c>
      <c r="B2" s="7"/>
      <c r="C2" s="7"/>
      <c r="D2" s="7"/>
      <c r="E2" s="7"/>
      <c r="F2" s="188" t="s">
        <v>378</v>
      </c>
      <c r="G2" s="7"/>
      <c r="H2" s="188" t="s">
        <v>3</v>
      </c>
    </row>
    <row r="3" spans="1:8">
      <c r="A3" s="1" t="s">
        <v>319</v>
      </c>
      <c r="B3" s="190" t="s">
        <v>214</v>
      </c>
      <c r="C3" s="11" t="s">
        <v>352</v>
      </c>
      <c r="D3" s="194" t="s">
        <v>368</v>
      </c>
      <c r="E3" s="190" t="s">
        <v>377</v>
      </c>
      <c r="F3" s="190" t="s">
        <v>353</v>
      </c>
      <c r="G3" s="194" t="s">
        <v>379</v>
      </c>
      <c r="H3" s="9" t="s">
        <v>250</v>
      </c>
    </row>
    <row r="4" spans="1:8" ht="12" customHeight="1">
      <c r="C4" s="312"/>
      <c r="D4" s="312"/>
      <c r="E4" s="312" t="s">
        <v>91</v>
      </c>
      <c r="F4" s="312"/>
      <c r="G4" s="312"/>
      <c r="H4" s="312"/>
    </row>
    <row r="5" spans="1:8" ht="12" customHeight="1">
      <c r="B5" s="38"/>
      <c r="C5" s="38"/>
      <c r="D5" s="38"/>
      <c r="E5" s="38"/>
      <c r="F5" s="38"/>
      <c r="G5" s="38"/>
      <c r="H5" s="38"/>
    </row>
    <row r="6" spans="1:8">
      <c r="A6" s="10">
        <v>1980</v>
      </c>
      <c r="B6" s="12">
        <v>4041.7809999999999</v>
      </c>
      <c r="C6" s="31">
        <v>460.161</v>
      </c>
      <c r="D6" s="31">
        <v>349.94099999999997</v>
      </c>
      <c r="E6" s="31">
        <v>153.1</v>
      </c>
      <c r="F6" s="31">
        <v>0</v>
      </c>
      <c r="G6" s="31">
        <v>58</v>
      </c>
      <c r="H6" s="12">
        <v>5178.1490000000003</v>
      </c>
    </row>
    <row r="7" spans="1:8">
      <c r="A7" s="10">
        <v>1981</v>
      </c>
      <c r="B7" s="12">
        <v>4308.3379999999997</v>
      </c>
      <c r="C7" s="31">
        <v>379.58</v>
      </c>
      <c r="D7" s="31">
        <v>384.803</v>
      </c>
      <c r="E7" s="31">
        <v>100.3</v>
      </c>
      <c r="F7" s="31">
        <v>0</v>
      </c>
      <c r="G7" s="31">
        <v>59</v>
      </c>
      <c r="H7" s="12">
        <v>5357.9049999999997</v>
      </c>
    </row>
    <row r="8" spans="1:8">
      <c r="A8" s="10">
        <v>1982</v>
      </c>
      <c r="B8" s="12">
        <v>4383.0870000000004</v>
      </c>
      <c r="C8" s="31">
        <v>415.92200000000003</v>
      </c>
      <c r="D8" s="31">
        <v>351.976</v>
      </c>
      <c r="E8" s="31">
        <v>135.80000000000001</v>
      </c>
      <c r="F8" s="31">
        <v>0</v>
      </c>
      <c r="G8" s="31">
        <v>64</v>
      </c>
      <c r="H8" s="12">
        <v>5465.6229999999996</v>
      </c>
    </row>
    <row r="9" spans="1:8">
      <c r="A9" s="10">
        <v>1983</v>
      </c>
      <c r="B9" s="12">
        <v>4680.2849999999999</v>
      </c>
      <c r="C9" s="31">
        <v>414.74900000000002</v>
      </c>
      <c r="D9" s="31">
        <v>403.00700000000001</v>
      </c>
      <c r="E9" s="31">
        <v>157.30000000000001</v>
      </c>
      <c r="F9" s="31">
        <v>0</v>
      </c>
      <c r="G9" s="31">
        <v>71</v>
      </c>
      <c r="H9" s="12">
        <v>5822.9440000000004</v>
      </c>
    </row>
    <row r="10" spans="1:8">
      <c r="A10" s="10">
        <v>1984</v>
      </c>
      <c r="B10" s="12">
        <v>4563.3630000000003</v>
      </c>
      <c r="C10" s="31">
        <v>378.18</v>
      </c>
      <c r="D10" s="31">
        <v>473.87200000000001</v>
      </c>
      <c r="E10" s="31">
        <v>118.7</v>
      </c>
      <c r="F10" s="31">
        <v>0</v>
      </c>
      <c r="G10" s="31">
        <v>87</v>
      </c>
      <c r="H10" s="12">
        <v>5689.3469999999998</v>
      </c>
    </row>
    <row r="11" spans="1:8">
      <c r="A11" s="10">
        <v>1985</v>
      </c>
      <c r="B11" s="12">
        <v>4749.098</v>
      </c>
      <c r="C11" s="31">
        <v>383.68900000000002</v>
      </c>
      <c r="D11" s="31">
        <v>515.47</v>
      </c>
      <c r="E11" s="31">
        <v>110</v>
      </c>
      <c r="F11" s="12" t="s">
        <v>570</v>
      </c>
      <c r="G11" s="31">
        <v>105</v>
      </c>
      <c r="H11" s="12">
        <v>5999.76</v>
      </c>
    </row>
    <row r="12" spans="1:8">
      <c r="A12" s="10">
        <v>1986</v>
      </c>
      <c r="B12" s="12">
        <v>4761.3549999999996</v>
      </c>
      <c r="C12" s="31">
        <v>402.62700000000001</v>
      </c>
      <c r="D12" s="31">
        <v>529.36099999999999</v>
      </c>
      <c r="E12" s="31">
        <v>136</v>
      </c>
      <c r="F12" s="12" t="s">
        <v>570</v>
      </c>
      <c r="G12" s="31">
        <v>114</v>
      </c>
      <c r="H12" s="12">
        <v>6075.0020000000004</v>
      </c>
    </row>
    <row r="13" spans="1:8">
      <c r="A13" s="10">
        <v>1987</v>
      </c>
      <c r="B13" s="12">
        <v>5093.7759999999998</v>
      </c>
      <c r="C13" s="31">
        <v>405.47199999999998</v>
      </c>
      <c r="D13" s="31">
        <v>490.47300000000001</v>
      </c>
      <c r="E13" s="31">
        <v>153</v>
      </c>
      <c r="F13" s="12" t="s">
        <v>570</v>
      </c>
      <c r="G13" s="31">
        <v>140</v>
      </c>
      <c r="H13" s="12">
        <v>6381.1940000000004</v>
      </c>
    </row>
    <row r="14" spans="1:8">
      <c r="A14" s="10">
        <v>1988</v>
      </c>
      <c r="B14" s="12">
        <v>4917.7139999999999</v>
      </c>
      <c r="C14" s="31">
        <v>641.75699999999995</v>
      </c>
      <c r="D14" s="31">
        <v>580.14099999999996</v>
      </c>
      <c r="E14" s="31">
        <v>169.251</v>
      </c>
      <c r="F14" s="12" t="s">
        <v>570</v>
      </c>
      <c r="G14" s="31">
        <v>179</v>
      </c>
      <c r="H14" s="12">
        <v>6498.7110000000002</v>
      </c>
    </row>
    <row r="15" spans="1:8">
      <c r="A15" s="10">
        <v>1989</v>
      </c>
      <c r="B15" s="12">
        <v>4542.0820000000003</v>
      </c>
      <c r="C15" s="31">
        <v>666.24</v>
      </c>
      <c r="D15" s="31">
        <v>636.53099999999995</v>
      </c>
      <c r="E15" s="31">
        <v>179.024</v>
      </c>
      <c r="F15" s="12" t="s">
        <v>570</v>
      </c>
      <c r="G15" s="31">
        <v>157</v>
      </c>
      <c r="H15" s="12">
        <v>6190.6</v>
      </c>
    </row>
    <row r="16" spans="1:8">
      <c r="A16" s="10">
        <v>1990</v>
      </c>
      <c r="B16" s="12">
        <v>4662</v>
      </c>
      <c r="C16" s="31">
        <v>460</v>
      </c>
      <c r="D16" s="31">
        <v>636</v>
      </c>
      <c r="E16" s="31">
        <v>139</v>
      </c>
      <c r="F16" s="12" t="s">
        <v>570</v>
      </c>
      <c r="G16" s="31">
        <v>213</v>
      </c>
      <c r="H16" s="12">
        <v>6145.2</v>
      </c>
    </row>
    <row r="17" spans="1:8">
      <c r="A17" s="10">
        <v>1991</v>
      </c>
      <c r="B17" s="12">
        <v>4832.3</v>
      </c>
      <c r="C17" s="31">
        <v>426.6</v>
      </c>
      <c r="D17" s="31">
        <v>576.70000000000005</v>
      </c>
      <c r="E17" s="31">
        <v>125.9</v>
      </c>
      <c r="F17" s="12" t="s">
        <v>570</v>
      </c>
      <c r="G17" s="31">
        <v>218</v>
      </c>
      <c r="H17" s="12">
        <v>6365.6</v>
      </c>
    </row>
    <row r="18" spans="1:8">
      <c r="A18" s="10">
        <v>1992</v>
      </c>
      <c r="B18" s="12">
        <v>4931.2</v>
      </c>
      <c r="C18" s="31">
        <v>374.1</v>
      </c>
      <c r="D18" s="31">
        <v>586.4</v>
      </c>
      <c r="E18" s="31">
        <v>171.3</v>
      </c>
      <c r="F18" s="12" t="s">
        <v>570</v>
      </c>
      <c r="G18" s="31">
        <v>253</v>
      </c>
      <c r="H18" s="12">
        <v>6546</v>
      </c>
    </row>
    <row r="19" spans="1:8">
      <c r="A19" s="10">
        <v>1993</v>
      </c>
      <c r="B19" s="12">
        <v>4973.8</v>
      </c>
      <c r="C19" s="31">
        <v>352.1</v>
      </c>
      <c r="D19" s="31">
        <v>554.1</v>
      </c>
      <c r="E19" s="31">
        <v>158</v>
      </c>
      <c r="F19" s="31">
        <v>90</v>
      </c>
      <c r="G19" s="31">
        <v>267</v>
      </c>
      <c r="H19" s="12">
        <v>6511.2</v>
      </c>
    </row>
    <row r="20" spans="1:8">
      <c r="A20" s="10">
        <v>1994</v>
      </c>
      <c r="B20" s="12">
        <v>5218.7</v>
      </c>
      <c r="C20" s="31">
        <v>285</v>
      </c>
      <c r="D20" s="31">
        <v>423.2</v>
      </c>
      <c r="E20" s="12" t="s">
        <v>376</v>
      </c>
      <c r="F20" s="31">
        <v>316.45299999999997</v>
      </c>
      <c r="G20" s="31">
        <v>278</v>
      </c>
      <c r="H20" s="12">
        <v>6580</v>
      </c>
    </row>
    <row r="21" spans="1:8">
      <c r="A21" s="10">
        <v>1995</v>
      </c>
      <c r="B21" s="12">
        <v>5472.7</v>
      </c>
      <c r="C21" s="31">
        <v>251.4</v>
      </c>
      <c r="D21" s="31">
        <v>428.9</v>
      </c>
      <c r="E21" s="12" t="s">
        <v>376</v>
      </c>
      <c r="F21" s="31">
        <v>226.82499999999999</v>
      </c>
      <c r="G21" s="31">
        <v>251</v>
      </c>
      <c r="H21" s="12">
        <v>6744.4</v>
      </c>
    </row>
    <row r="22" spans="1:8">
      <c r="A22" s="10">
        <v>1996</v>
      </c>
      <c r="B22" s="12">
        <v>5507.5159999999996</v>
      </c>
      <c r="C22" s="31">
        <v>241.95099999999999</v>
      </c>
      <c r="D22" s="31">
        <v>432.45800000000003</v>
      </c>
      <c r="E22" s="12" t="s">
        <v>376</v>
      </c>
      <c r="F22" s="31">
        <v>209.102</v>
      </c>
      <c r="G22" s="31">
        <v>248.39400000000001</v>
      </c>
      <c r="H22" s="12">
        <v>6717.3850000000002</v>
      </c>
    </row>
    <row r="23" spans="1:8">
      <c r="A23" s="10">
        <v>1997</v>
      </c>
      <c r="B23" s="12">
        <v>6191.9449999999997</v>
      </c>
      <c r="C23" s="31">
        <v>248.38499999999999</v>
      </c>
      <c r="D23" s="31">
        <v>363.553</v>
      </c>
      <c r="E23" s="12" t="s">
        <v>376</v>
      </c>
      <c r="F23" s="31">
        <v>301.05099999999999</v>
      </c>
      <c r="G23" s="31">
        <v>360.34800000000001</v>
      </c>
      <c r="H23" s="12">
        <v>7462.8630000000003</v>
      </c>
    </row>
    <row r="24" spans="1:8">
      <c r="A24" s="10">
        <v>1998</v>
      </c>
      <c r="B24" s="12">
        <v>6200.2640000000001</v>
      </c>
      <c r="C24" s="31">
        <v>177.69800000000001</v>
      </c>
      <c r="D24" s="31">
        <v>392.70800000000003</v>
      </c>
      <c r="E24" s="12" t="s">
        <v>376</v>
      </c>
      <c r="F24" s="31">
        <v>375.666</v>
      </c>
      <c r="G24" s="31">
        <v>363.7</v>
      </c>
      <c r="H24" s="12">
        <v>7497</v>
      </c>
    </row>
    <row r="25" spans="1:8">
      <c r="A25" s="71">
        <v>1999</v>
      </c>
      <c r="B25" s="56">
        <v>6234.7</v>
      </c>
      <c r="C25" s="81">
        <v>309.05099999999999</v>
      </c>
      <c r="D25" s="81">
        <v>399.71899999999999</v>
      </c>
      <c r="E25" s="56" t="s">
        <v>376</v>
      </c>
      <c r="F25" s="81">
        <v>358.81799999999998</v>
      </c>
      <c r="G25" s="81">
        <v>358.52</v>
      </c>
      <c r="H25" s="56">
        <v>7729.9</v>
      </c>
    </row>
    <row r="26" spans="1:8">
      <c r="A26" s="71">
        <v>2000</v>
      </c>
      <c r="B26" s="56">
        <v>7361.1390000000001</v>
      </c>
      <c r="C26" s="81">
        <v>304.20100000000002</v>
      </c>
      <c r="D26" s="81">
        <v>502.33800000000002</v>
      </c>
      <c r="E26" s="56" t="s">
        <v>376</v>
      </c>
      <c r="F26" s="81">
        <v>514.98099999999999</v>
      </c>
      <c r="G26" s="81">
        <v>449.375</v>
      </c>
      <c r="H26" s="56">
        <v>9714.9</v>
      </c>
    </row>
    <row r="27" spans="1:8">
      <c r="A27" s="71">
        <v>2001</v>
      </c>
      <c r="B27" s="56">
        <v>7372.7389999999996</v>
      </c>
      <c r="C27" s="81">
        <v>203.02699999999999</v>
      </c>
      <c r="D27" s="56" t="s">
        <v>376</v>
      </c>
      <c r="E27" s="56" t="s">
        <v>376</v>
      </c>
      <c r="F27" s="81">
        <v>506.42599999999999</v>
      </c>
      <c r="G27" s="81">
        <v>467.14299999999997</v>
      </c>
      <c r="H27" s="56">
        <v>10173.885</v>
      </c>
    </row>
    <row r="28" spans="1:8">
      <c r="A28" s="71">
        <v>2002</v>
      </c>
      <c r="B28" s="56">
        <v>7885.6139999999996</v>
      </c>
      <c r="C28" s="81">
        <v>302.28199999999998</v>
      </c>
      <c r="D28" s="56" t="s">
        <v>376</v>
      </c>
      <c r="E28" s="56" t="s">
        <v>376</v>
      </c>
      <c r="F28" s="81">
        <v>783.17600000000004</v>
      </c>
      <c r="G28" s="81">
        <v>488.65499999999997</v>
      </c>
      <c r="H28" s="56">
        <v>10924.844999999999</v>
      </c>
    </row>
    <row r="29" spans="1:8">
      <c r="A29" s="71">
        <v>2003</v>
      </c>
      <c r="B29" s="56">
        <v>7933.3370000000004</v>
      </c>
      <c r="C29" s="81">
        <v>295.39999999999998</v>
      </c>
      <c r="D29" s="56" t="s">
        <v>376</v>
      </c>
      <c r="E29" s="56" t="s">
        <v>376</v>
      </c>
      <c r="F29" s="81">
        <v>705.07299999999998</v>
      </c>
      <c r="G29" s="81">
        <v>473.04500000000002</v>
      </c>
      <c r="H29" s="56">
        <v>10669.959000000001</v>
      </c>
    </row>
    <row r="30" spans="1:8">
      <c r="A30" s="71">
        <v>2004</v>
      </c>
      <c r="B30" s="56">
        <v>7789.8</v>
      </c>
      <c r="C30" s="81">
        <v>303.60000000000002</v>
      </c>
      <c r="D30" s="81">
        <v>1465.8</v>
      </c>
      <c r="E30" s="56" t="s">
        <v>376</v>
      </c>
      <c r="F30" s="81">
        <v>805</v>
      </c>
      <c r="G30" s="81">
        <v>542.02599999999995</v>
      </c>
      <c r="H30" s="56">
        <v>10784.39</v>
      </c>
    </row>
    <row r="31" spans="1:8">
      <c r="A31" s="71">
        <v>2005</v>
      </c>
      <c r="B31" s="56">
        <v>8657.4470000000001</v>
      </c>
      <c r="C31" s="81">
        <v>389.49200000000002</v>
      </c>
      <c r="D31" s="81">
        <v>1407.3309999999999</v>
      </c>
      <c r="E31" s="56" t="s">
        <v>376</v>
      </c>
      <c r="F31" s="81">
        <v>1142.4839999999999</v>
      </c>
      <c r="G31" s="81">
        <v>563.44799999999998</v>
      </c>
      <c r="H31" s="56">
        <v>12177.038</v>
      </c>
    </row>
    <row r="32" spans="1:8">
      <c r="A32" s="71">
        <v>2006</v>
      </c>
      <c r="B32" s="56">
        <v>8708.3680000000004</v>
      </c>
      <c r="C32" s="81">
        <v>546.68499999999995</v>
      </c>
      <c r="D32" s="81">
        <v>1312.7829999999999</v>
      </c>
      <c r="E32" s="56" t="s">
        <v>376</v>
      </c>
      <c r="F32" s="81">
        <v>1278.2070000000001</v>
      </c>
      <c r="G32" s="81">
        <v>535.39599999999996</v>
      </c>
      <c r="H32" s="56">
        <v>12644.754999999999</v>
      </c>
    </row>
    <row r="33" spans="1:8">
      <c r="A33" s="71">
        <v>2007</v>
      </c>
      <c r="B33" s="56">
        <v>9611.6329999999998</v>
      </c>
      <c r="C33" s="81">
        <v>567.48199999999997</v>
      </c>
      <c r="D33" s="81">
        <v>1722.2339999999999</v>
      </c>
      <c r="E33" s="56" t="s">
        <v>376</v>
      </c>
      <c r="F33" s="81">
        <v>1414.598</v>
      </c>
      <c r="G33" s="81">
        <v>588.97199999999998</v>
      </c>
      <c r="H33" s="56">
        <v>14347.474</v>
      </c>
    </row>
    <row r="34" spans="1:8">
      <c r="A34" s="71">
        <v>2008</v>
      </c>
      <c r="B34" s="56">
        <v>10321.109</v>
      </c>
      <c r="C34" s="81">
        <v>637.59199999999998</v>
      </c>
      <c r="D34" s="81">
        <v>1722.1469999999999</v>
      </c>
      <c r="E34" s="56" t="s">
        <v>376</v>
      </c>
      <c r="F34" s="81">
        <v>1732.203</v>
      </c>
      <c r="G34" s="81">
        <v>588.35699999999997</v>
      </c>
      <c r="H34" s="56">
        <v>15474.598</v>
      </c>
    </row>
    <row r="35" spans="1:8">
      <c r="A35" s="71">
        <v>2009</v>
      </c>
      <c r="B35" s="56">
        <v>9594.8050000000003</v>
      </c>
      <c r="C35" s="81">
        <v>508.64600000000002</v>
      </c>
      <c r="D35" s="81">
        <v>1929.5229999999999</v>
      </c>
      <c r="E35" s="56" t="s">
        <v>376</v>
      </c>
      <c r="F35" s="81">
        <v>1423.2670000000001</v>
      </c>
      <c r="G35" s="81">
        <v>605.55100000000004</v>
      </c>
      <c r="H35" s="56">
        <v>14561.521000000001</v>
      </c>
    </row>
    <row r="36" spans="1:8">
      <c r="A36" s="11">
        <v>2010</v>
      </c>
      <c r="B36" s="13">
        <v>9541.1768700000011</v>
      </c>
      <c r="C36" s="32">
        <v>520.86754999999994</v>
      </c>
      <c r="D36" s="32">
        <v>2374.8765600000006</v>
      </c>
      <c r="E36" s="13" t="s">
        <v>376</v>
      </c>
      <c r="F36" s="32">
        <v>1462.8150000000001</v>
      </c>
      <c r="G36" s="32">
        <v>607.19200000000001</v>
      </c>
      <c r="H36" s="13">
        <v>15019.293</v>
      </c>
    </row>
    <row r="37" spans="1:8" ht="13.25" customHeight="1">
      <c r="A37" s="160" t="s">
        <v>769</v>
      </c>
    </row>
    <row r="38" spans="1:8" ht="13.25" customHeight="1">
      <c r="A38" s="117" t="s">
        <v>621</v>
      </c>
    </row>
    <row r="39" spans="1:8">
      <c r="H39" s="313" t="s">
        <v>547</v>
      </c>
    </row>
  </sheetData>
  <phoneticPr fontId="0" type="noConversion"/>
  <pageMargins left="0.7" right="0.7" top="0.75" bottom="0.75" header="0.3" footer="0.3"/>
  <pageSetup firstPageNumber="7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K42"/>
  <sheetViews>
    <sheetView zoomScaleNormal="100" zoomScaleSheetLayoutView="100" workbookViewId="0"/>
  </sheetViews>
  <sheetFormatPr baseColWidth="10" defaultColWidth="8.75" defaultRowHeight="11"/>
  <cols>
    <col min="1" max="6" width="11.75" customWidth="1"/>
    <col min="7" max="7" width="1.75" customWidth="1"/>
    <col min="8" max="11" width="11.75" customWidth="1"/>
  </cols>
  <sheetData>
    <row r="1" spans="1:11">
      <c r="A1" s="1" t="s">
        <v>531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18"/>
      <c r="C2" s="318"/>
      <c r="D2" s="318" t="s">
        <v>380</v>
      </c>
      <c r="E2" s="318"/>
      <c r="F2" s="318"/>
      <c r="H2" s="3"/>
      <c r="I2" s="314" t="s">
        <v>260</v>
      </c>
      <c r="J2" s="314"/>
    </row>
    <row r="3" spans="1:11">
      <c r="C3" s="3"/>
      <c r="D3" s="318" t="s">
        <v>232</v>
      </c>
      <c r="E3" s="318"/>
    </row>
    <row r="4" spans="1:11">
      <c r="A4" t="s">
        <v>318</v>
      </c>
      <c r="B4" s="187" t="s">
        <v>347</v>
      </c>
      <c r="C4" s="7" t="s">
        <v>381</v>
      </c>
      <c r="D4" s="7" t="s">
        <v>336</v>
      </c>
      <c r="E4" s="187" t="s">
        <v>3</v>
      </c>
      <c r="F4" s="187" t="s">
        <v>3</v>
      </c>
      <c r="G4" s="7"/>
      <c r="H4" s="7" t="s">
        <v>142</v>
      </c>
      <c r="I4" s="7" t="s">
        <v>90</v>
      </c>
      <c r="J4" s="187" t="s">
        <v>3</v>
      </c>
      <c r="K4" s="7" t="s">
        <v>320</v>
      </c>
    </row>
    <row r="5" spans="1:11">
      <c r="A5" s="1" t="s">
        <v>319</v>
      </c>
      <c r="B5" s="190" t="s">
        <v>348</v>
      </c>
      <c r="C5" s="9" t="s">
        <v>213</v>
      </c>
      <c r="D5" s="9" t="s">
        <v>382</v>
      </c>
      <c r="E5" s="9"/>
      <c r="F5" s="190" t="s">
        <v>383</v>
      </c>
      <c r="G5" s="9"/>
      <c r="H5" s="9"/>
      <c r="I5" s="9"/>
      <c r="J5" s="9"/>
      <c r="K5" s="9" t="s">
        <v>321</v>
      </c>
    </row>
    <row r="6" spans="1:11">
      <c r="C6" s="315"/>
      <c r="D6" s="315"/>
      <c r="F6" s="315" t="s">
        <v>727</v>
      </c>
      <c r="G6" s="315"/>
      <c r="H6" s="315"/>
      <c r="I6" s="315"/>
      <c r="J6" s="315"/>
      <c r="K6" s="7" t="s">
        <v>95</v>
      </c>
    </row>
    <row r="7" spans="1:11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1">
      <c r="A8" s="10">
        <v>1980</v>
      </c>
      <c r="B8" s="12">
        <v>131.9</v>
      </c>
      <c r="C8" s="39">
        <v>3071.2</v>
      </c>
      <c r="D8" s="39">
        <v>1106.5999999999999</v>
      </c>
      <c r="E8" s="39">
        <f>+C8+D8</f>
        <v>4177.7999999999993</v>
      </c>
      <c r="F8" s="39">
        <f t="shared" ref="F8:F31" si="0">+B8+E8</f>
        <v>4309.6999999999989</v>
      </c>
      <c r="G8" s="39"/>
      <c r="H8" s="39">
        <f>+J8-I8</f>
        <v>4150.0869909999992</v>
      </c>
      <c r="I8" s="12">
        <v>28.913008999999999</v>
      </c>
      <c r="J8" s="39">
        <f>+F8-B9</f>
        <v>4178.9999999999991</v>
      </c>
      <c r="K8" s="99">
        <f>+H8/227.726</f>
        <v>18.224036741522703</v>
      </c>
    </row>
    <row r="9" spans="1:11">
      <c r="A9" s="10">
        <v>1981</v>
      </c>
      <c r="B9" s="12">
        <v>130.69999999999999</v>
      </c>
      <c r="C9" s="39">
        <v>3188</v>
      </c>
      <c r="D9" s="39">
        <v>1039</v>
      </c>
      <c r="E9" s="39">
        <f t="shared" ref="E9:E31" si="1">+C9+D9</f>
        <v>4227</v>
      </c>
      <c r="F9" s="39">
        <f t="shared" si="0"/>
        <v>4357.7</v>
      </c>
      <c r="G9" s="39"/>
      <c r="H9" s="39">
        <f t="shared" ref="H9:H32" si="2">+J9-I9</f>
        <v>4199.3719999999994</v>
      </c>
      <c r="I9" s="12">
        <v>38.228000000000002</v>
      </c>
      <c r="J9" s="39">
        <f t="shared" ref="J9:J37" si="3">+F9-B10</f>
        <v>4237.5999999999995</v>
      </c>
      <c r="K9" s="99">
        <f>+H9/229.966</f>
        <v>18.260838558743462</v>
      </c>
    </row>
    <row r="10" spans="1:11">
      <c r="A10" s="10">
        <v>1982</v>
      </c>
      <c r="B10" s="12">
        <v>120.1</v>
      </c>
      <c r="C10" s="39">
        <v>3312.5</v>
      </c>
      <c r="D10" s="39">
        <v>930</v>
      </c>
      <c r="E10" s="39">
        <f t="shared" si="1"/>
        <v>4242.5</v>
      </c>
      <c r="F10" s="39">
        <f t="shared" si="0"/>
        <v>4362.6000000000004</v>
      </c>
      <c r="G10" s="39"/>
      <c r="H10" s="39">
        <f t="shared" si="2"/>
        <v>4195.1250000000009</v>
      </c>
      <c r="I10" s="12">
        <v>34.274999999999999</v>
      </c>
      <c r="J10" s="39">
        <f>+F10-B11</f>
        <v>4229.4000000000005</v>
      </c>
      <c r="K10" s="99">
        <f>+H10/232.188</f>
        <v>18.067794201250717</v>
      </c>
    </row>
    <row r="11" spans="1:11">
      <c r="A11" s="10">
        <v>1983</v>
      </c>
      <c r="B11" s="12">
        <v>133.19999999999999</v>
      </c>
      <c r="C11" s="39">
        <v>3379.3</v>
      </c>
      <c r="D11" s="39">
        <v>909</v>
      </c>
      <c r="E11" s="39">
        <f>+C11+D11</f>
        <v>4288.3</v>
      </c>
      <c r="F11" s="39">
        <f t="shared" si="0"/>
        <v>4421.5</v>
      </c>
      <c r="G11" s="39"/>
      <c r="H11" s="39">
        <f t="shared" si="2"/>
        <v>4268.6099999999997</v>
      </c>
      <c r="I11" s="12">
        <v>21.89</v>
      </c>
      <c r="J11" s="39">
        <f t="shared" si="3"/>
        <v>4290.5</v>
      </c>
      <c r="K11" s="99">
        <f>+H11/234.307</f>
        <v>18.218021655349606</v>
      </c>
    </row>
    <row r="12" spans="1:11">
      <c r="A12" s="10">
        <v>1984</v>
      </c>
      <c r="B12" s="12">
        <v>131</v>
      </c>
      <c r="C12" s="39">
        <v>3953.5</v>
      </c>
      <c r="D12" s="39">
        <v>1114</v>
      </c>
      <c r="E12" s="39">
        <f t="shared" si="1"/>
        <v>5067.5</v>
      </c>
      <c r="F12" s="39">
        <f t="shared" si="0"/>
        <v>5198.5</v>
      </c>
      <c r="G12" s="39"/>
      <c r="H12" s="39">
        <f t="shared" si="2"/>
        <v>5039.2250000000004</v>
      </c>
      <c r="I12" s="12">
        <v>29.875</v>
      </c>
      <c r="J12" s="39">
        <f t="shared" si="3"/>
        <v>5069.1000000000004</v>
      </c>
      <c r="K12" s="99">
        <f>+H12/236.348</f>
        <v>21.321208556873763</v>
      </c>
    </row>
    <row r="13" spans="1:11">
      <c r="A13" s="10">
        <v>1985</v>
      </c>
      <c r="B13" s="12">
        <v>129.4</v>
      </c>
      <c r="C13" s="39">
        <v>4304.3</v>
      </c>
      <c r="D13" s="39">
        <v>1201</v>
      </c>
      <c r="E13" s="39">
        <f>+C13+D13</f>
        <v>5505.3</v>
      </c>
      <c r="F13" s="39">
        <f t="shared" si="0"/>
        <v>5634.7</v>
      </c>
      <c r="G13" s="39"/>
      <c r="H13" s="39">
        <f t="shared" si="2"/>
        <v>5477.8680000000004</v>
      </c>
      <c r="I13" s="12">
        <v>29.931999999999999</v>
      </c>
      <c r="J13" s="39">
        <f t="shared" si="3"/>
        <v>5507.8</v>
      </c>
      <c r="K13" s="99">
        <f>+H13/238.466</f>
        <v>22.971274730988906</v>
      </c>
    </row>
    <row r="14" spans="1:11">
      <c r="A14" s="10">
        <v>1986</v>
      </c>
      <c r="B14" s="12">
        <v>126.9</v>
      </c>
      <c r="C14" s="39">
        <v>4237.8999999999996</v>
      </c>
      <c r="D14" s="39">
        <v>1136</v>
      </c>
      <c r="E14" s="39">
        <f t="shared" si="1"/>
        <v>5373.9</v>
      </c>
      <c r="F14" s="39">
        <f t="shared" si="0"/>
        <v>5500.7999999999993</v>
      </c>
      <c r="G14" s="39"/>
      <c r="H14" s="39">
        <f t="shared" si="2"/>
        <v>5328.030999999999</v>
      </c>
      <c r="I14" s="12">
        <v>35.768999999999998</v>
      </c>
      <c r="J14" s="39">
        <f t="shared" si="3"/>
        <v>5363.7999999999993</v>
      </c>
      <c r="K14" s="99">
        <f>+H14/240.651</f>
        <v>22.140074215357505</v>
      </c>
    </row>
    <row r="15" spans="1:11">
      <c r="A15" s="10">
        <v>1987</v>
      </c>
      <c r="B15" s="12">
        <v>137</v>
      </c>
      <c r="C15" s="39">
        <v>4232.7</v>
      </c>
      <c r="D15" s="39">
        <v>1005</v>
      </c>
      <c r="E15" s="39">
        <f>+C15+D15</f>
        <v>5237.7</v>
      </c>
      <c r="F15" s="39">
        <f t="shared" si="0"/>
        <v>5374.7</v>
      </c>
      <c r="G15" s="39"/>
      <c r="H15" s="39">
        <f t="shared" si="2"/>
        <v>5205.1490000000003</v>
      </c>
      <c r="I15" s="12">
        <v>30.651</v>
      </c>
      <c r="J15" s="39">
        <f t="shared" si="3"/>
        <v>5235.8</v>
      </c>
      <c r="K15" s="99">
        <f>+H15/242.804</f>
        <v>21.437657534472251</v>
      </c>
    </row>
    <row r="16" spans="1:11">
      <c r="A16" s="10">
        <v>1988</v>
      </c>
      <c r="B16" s="12">
        <v>138.9</v>
      </c>
      <c r="C16" s="39">
        <v>4241.2</v>
      </c>
      <c r="D16" s="39">
        <v>1087</v>
      </c>
      <c r="E16" s="39">
        <f t="shared" si="1"/>
        <v>5328.2</v>
      </c>
      <c r="F16" s="39">
        <f t="shared" si="0"/>
        <v>5467.0999999999995</v>
      </c>
      <c r="G16" s="39"/>
      <c r="H16" s="39">
        <f t="shared" si="2"/>
        <v>5282.1959999999999</v>
      </c>
      <c r="I16" s="12">
        <v>39.704000000000001</v>
      </c>
      <c r="J16" s="39">
        <f t="shared" si="3"/>
        <v>5321.9</v>
      </c>
      <c r="K16" s="99">
        <f>+H16/245.021</f>
        <v>21.558135833255111</v>
      </c>
    </row>
    <row r="17" spans="1:11">
      <c r="A17" s="10">
        <v>1989</v>
      </c>
      <c r="B17" s="12">
        <v>145.19999999999999</v>
      </c>
      <c r="C17" s="39">
        <v>4287.5</v>
      </c>
      <c r="D17" s="39">
        <v>1027</v>
      </c>
      <c r="E17" s="39">
        <f>+C17+D17</f>
        <v>5314.5</v>
      </c>
      <c r="F17" s="39">
        <f t="shared" si="0"/>
        <v>5459.7</v>
      </c>
      <c r="G17" s="39"/>
      <c r="H17" s="39">
        <f t="shared" si="2"/>
        <v>5321.7132992960496</v>
      </c>
      <c r="I17" s="12">
        <v>18.98670070395</v>
      </c>
      <c r="J17" s="39">
        <f t="shared" si="3"/>
        <v>5340.7</v>
      </c>
      <c r="K17" s="99">
        <f>+H17/247.342</f>
        <v>21.515607132213894</v>
      </c>
    </row>
    <row r="18" spans="1:11">
      <c r="A18" s="10">
        <v>1990</v>
      </c>
      <c r="B18" s="12">
        <v>119</v>
      </c>
      <c r="C18" s="39">
        <v>4728.7</v>
      </c>
      <c r="D18" s="39">
        <v>860</v>
      </c>
      <c r="E18" s="39">
        <f t="shared" si="1"/>
        <v>5588.7</v>
      </c>
      <c r="F18" s="39">
        <f t="shared" si="0"/>
        <v>5707.7</v>
      </c>
      <c r="G18" s="39"/>
      <c r="H18" s="39">
        <f t="shared" si="2"/>
        <v>5570.6750474431738</v>
      </c>
      <c r="I18" s="12">
        <v>20.724952556826</v>
      </c>
      <c r="J18" s="39">
        <f t="shared" si="3"/>
        <v>5591.4</v>
      </c>
      <c r="K18" s="99">
        <f>+H18/250.132</f>
        <v>22.270941132854546</v>
      </c>
    </row>
    <row r="19" spans="1:11">
      <c r="A19" s="10">
        <v>1991</v>
      </c>
      <c r="B19" s="12">
        <v>116.3</v>
      </c>
      <c r="C19" s="39">
        <v>5004.3999999999996</v>
      </c>
      <c r="D19" s="39">
        <v>719.9</v>
      </c>
      <c r="E19" s="39">
        <f>+C19+D19</f>
        <v>5724.2999999999993</v>
      </c>
      <c r="F19" s="39">
        <f t="shared" si="0"/>
        <v>5840.5999999999995</v>
      </c>
      <c r="G19" s="39"/>
      <c r="H19" s="39">
        <f t="shared" si="2"/>
        <v>5662.5343781832735</v>
      </c>
      <c r="I19" s="12">
        <v>31.065621816726001</v>
      </c>
      <c r="J19" s="39">
        <f t="shared" si="3"/>
        <v>5693.5999999999995</v>
      </c>
      <c r="K19" s="99">
        <f>+H19/253.493</f>
        <v>22.338030549890032</v>
      </c>
    </row>
    <row r="20" spans="1:11">
      <c r="A20" s="10">
        <v>1992</v>
      </c>
      <c r="B20" s="12">
        <v>147</v>
      </c>
      <c r="C20" s="39">
        <v>4988.1000000000004</v>
      </c>
      <c r="D20" s="39">
        <v>730.7</v>
      </c>
      <c r="E20" s="39">
        <f t="shared" si="1"/>
        <v>5718.8</v>
      </c>
      <c r="F20" s="39">
        <f t="shared" si="0"/>
        <v>5865.8</v>
      </c>
      <c r="G20" s="39"/>
      <c r="H20" s="39">
        <f t="shared" si="2"/>
        <v>5731.6036038575203</v>
      </c>
      <c r="I20" s="12">
        <v>32.696396142479998</v>
      </c>
      <c r="J20" s="39">
        <f t="shared" si="3"/>
        <v>5764.3</v>
      </c>
      <c r="K20" s="99">
        <f>+H20/256.894</f>
        <v>22.311161817160073</v>
      </c>
    </row>
    <row r="21" spans="1:11">
      <c r="A21" s="10">
        <v>1993</v>
      </c>
      <c r="B21" s="12">
        <v>101.5</v>
      </c>
      <c r="C21" s="39">
        <v>5817.8</v>
      </c>
      <c r="D21" s="39">
        <v>706.3</v>
      </c>
      <c r="E21" s="39">
        <f>+C21+D21</f>
        <v>6524.1</v>
      </c>
      <c r="F21" s="39">
        <f t="shared" si="0"/>
        <v>6625.6</v>
      </c>
      <c r="G21" s="39"/>
      <c r="H21" s="39">
        <f t="shared" si="2"/>
        <v>6495.4437200000002</v>
      </c>
      <c r="I21" s="12">
        <v>36.556280000000008</v>
      </c>
      <c r="J21" s="39">
        <f t="shared" si="3"/>
        <v>6532</v>
      </c>
      <c r="K21" s="99">
        <f>+H21/260.255</f>
        <v>24.95799780984035</v>
      </c>
    </row>
    <row r="22" spans="1:11">
      <c r="A22" s="10">
        <v>1994</v>
      </c>
      <c r="B22" s="12">
        <v>93.6</v>
      </c>
      <c r="C22" s="39">
        <v>5657.6</v>
      </c>
      <c r="D22" s="39">
        <v>676</v>
      </c>
      <c r="E22" s="39">
        <f t="shared" si="1"/>
        <v>6333.6</v>
      </c>
      <c r="F22" s="39">
        <f t="shared" si="0"/>
        <v>6427.2000000000007</v>
      </c>
      <c r="G22" s="39"/>
      <c r="H22" s="39">
        <f t="shared" si="2"/>
        <v>6305.1574370000008</v>
      </c>
      <c r="I22" s="12">
        <v>31.806562999999997</v>
      </c>
      <c r="J22" s="39">
        <f t="shared" si="3"/>
        <v>6336.9640000000009</v>
      </c>
      <c r="K22" s="99">
        <f>+H22/263.436</f>
        <v>23.934304487617492</v>
      </c>
    </row>
    <row r="23" spans="1:11">
      <c r="A23" s="10">
        <v>1995</v>
      </c>
      <c r="B23" s="12">
        <v>90.236000000000004</v>
      </c>
      <c r="C23" s="39">
        <v>5315.9160000000002</v>
      </c>
      <c r="D23" s="39">
        <v>658.65</v>
      </c>
      <c r="E23" s="39">
        <f>+C23+D23</f>
        <v>5974.5659999999998</v>
      </c>
      <c r="F23" s="39">
        <f t="shared" si="0"/>
        <v>6064.8019999999997</v>
      </c>
      <c r="G23" s="39"/>
      <c r="H23" s="39">
        <f t="shared" si="2"/>
        <v>5926.1453270000002</v>
      </c>
      <c r="I23" s="12">
        <v>32.832673</v>
      </c>
      <c r="J23" s="39">
        <f t="shared" si="3"/>
        <v>5958.9780000000001</v>
      </c>
      <c r="K23" s="99">
        <f>+H23/266.557</f>
        <v>22.232187963550007</v>
      </c>
    </row>
    <row r="24" spans="1:11">
      <c r="A24" s="10">
        <v>1996</v>
      </c>
      <c r="B24" s="12">
        <v>105.824</v>
      </c>
      <c r="C24" s="39">
        <v>5326.6</v>
      </c>
      <c r="D24" s="39">
        <v>602.70000000000005</v>
      </c>
      <c r="E24" s="39">
        <f t="shared" si="1"/>
        <v>5929.3</v>
      </c>
      <c r="F24" s="39">
        <f t="shared" si="0"/>
        <v>6035.1239999999998</v>
      </c>
      <c r="G24" s="39"/>
      <c r="H24" s="39">
        <f t="shared" si="2"/>
        <v>5914.3102469999994</v>
      </c>
      <c r="I24" s="12">
        <v>40.066753000000006</v>
      </c>
      <c r="J24" s="39">
        <f t="shared" si="3"/>
        <v>5954.3769999999995</v>
      </c>
      <c r="K24" s="99">
        <f>+H24/269.667</f>
        <v>21.931902112605545</v>
      </c>
    </row>
    <row r="25" spans="1:11">
      <c r="A25" s="10">
        <v>1997</v>
      </c>
      <c r="B25" s="12">
        <v>80.747</v>
      </c>
      <c r="C25" s="39">
        <v>5034.3389999999999</v>
      </c>
      <c r="D25" s="39">
        <v>621.76599999999996</v>
      </c>
      <c r="E25" s="39">
        <f>+C25+D25</f>
        <v>5656.1049999999996</v>
      </c>
      <c r="F25" s="39">
        <f t="shared" si="0"/>
        <v>5736.8519999999999</v>
      </c>
      <c r="G25" s="39"/>
      <c r="H25" s="39">
        <f t="shared" si="2"/>
        <v>5606.2510517083274</v>
      </c>
      <c r="I25" s="12">
        <v>39.296948291672003</v>
      </c>
      <c r="J25" s="39">
        <f t="shared" si="3"/>
        <v>5645.5479999999998</v>
      </c>
      <c r="K25" s="99">
        <f>+H25/272.912</f>
        <v>20.542339844742365</v>
      </c>
    </row>
    <row r="26" spans="1:11">
      <c r="A26" s="10">
        <v>1998</v>
      </c>
      <c r="B26" s="12">
        <v>91.304000000000002</v>
      </c>
      <c r="C26" s="39">
        <v>5208.1000000000004</v>
      </c>
      <c r="D26" s="39">
        <v>515.93700000000001</v>
      </c>
      <c r="E26" s="39">
        <f t="shared" si="1"/>
        <v>5724.0370000000003</v>
      </c>
      <c r="F26" s="39">
        <f t="shared" si="0"/>
        <v>5815.3410000000003</v>
      </c>
      <c r="G26" s="39"/>
      <c r="H26" s="39">
        <f t="shared" si="2"/>
        <v>5669.3385038823662</v>
      </c>
      <c r="I26" s="12">
        <v>53.590496117634011</v>
      </c>
      <c r="J26" s="39">
        <f t="shared" si="3"/>
        <v>5722.9290000000001</v>
      </c>
      <c r="K26" s="99">
        <f>+H26/276.115</f>
        <v>20.532526316507131</v>
      </c>
    </row>
    <row r="27" spans="1:11">
      <c r="A27" s="71">
        <v>1999</v>
      </c>
      <c r="B27" s="56">
        <v>92.412000000000006</v>
      </c>
      <c r="C27" s="84">
        <v>5446.4</v>
      </c>
      <c r="D27" s="84">
        <v>498.34199999999998</v>
      </c>
      <c r="E27" s="39">
        <f>+C27+D27</f>
        <v>5944.7419999999993</v>
      </c>
      <c r="F27" s="39">
        <f t="shared" si="0"/>
        <v>6037.1539999999995</v>
      </c>
      <c r="G27" s="39"/>
      <c r="H27" s="39">
        <f t="shared" si="2"/>
        <v>5886.0448384868341</v>
      </c>
      <c r="I27" s="56">
        <v>64.977161513165996</v>
      </c>
      <c r="J27" s="39">
        <f t="shared" si="3"/>
        <v>5951.0219999999999</v>
      </c>
      <c r="K27" s="99">
        <f>+H27/279.295</f>
        <v>21.074651671124919</v>
      </c>
    </row>
    <row r="28" spans="1:11">
      <c r="A28" s="71">
        <v>2000</v>
      </c>
      <c r="B28" s="56">
        <v>86.132000000000005</v>
      </c>
      <c r="C28" s="84">
        <v>6105.1</v>
      </c>
      <c r="D28" s="84">
        <v>488.28699999999998</v>
      </c>
      <c r="E28" s="39">
        <f t="shared" si="1"/>
        <v>6593.3870000000006</v>
      </c>
      <c r="F28" s="39">
        <f t="shared" si="0"/>
        <v>6679.5190000000002</v>
      </c>
      <c r="G28" s="39"/>
      <c r="H28" s="39">
        <f t="shared" si="2"/>
        <v>6482.3796923809505</v>
      </c>
      <c r="I28" s="56">
        <v>68.639307619050001</v>
      </c>
      <c r="J28" s="39">
        <f t="shared" si="3"/>
        <v>6551.0190000000002</v>
      </c>
      <c r="K28" s="99">
        <f>+H28/282.385</f>
        <v>22.955821634934402</v>
      </c>
    </row>
    <row r="29" spans="1:11">
      <c r="A29" s="71" t="s">
        <v>442</v>
      </c>
      <c r="B29" s="56">
        <v>128.5</v>
      </c>
      <c r="C29" s="84">
        <v>8949</v>
      </c>
      <c r="D29" s="84">
        <v>471</v>
      </c>
      <c r="E29" s="39">
        <f t="shared" si="1"/>
        <v>9420</v>
      </c>
      <c r="F29" s="39">
        <f t="shared" si="0"/>
        <v>9548.5</v>
      </c>
      <c r="G29" s="119"/>
      <c r="H29" s="39">
        <f t="shared" si="2"/>
        <v>9315.1509999999998</v>
      </c>
      <c r="I29" s="56">
        <v>82.509</v>
      </c>
      <c r="J29" s="39">
        <f t="shared" si="3"/>
        <v>9397.66</v>
      </c>
      <c r="K29" s="99">
        <f>+H29/285.309</f>
        <v>32.649341591046898</v>
      </c>
    </row>
    <row r="30" spans="1:11">
      <c r="A30" s="71" t="s">
        <v>443</v>
      </c>
      <c r="B30" s="56">
        <v>150.84</v>
      </c>
      <c r="C30" s="84">
        <v>9201</v>
      </c>
      <c r="D30" s="84">
        <v>484</v>
      </c>
      <c r="E30" s="39">
        <f t="shared" si="1"/>
        <v>9685</v>
      </c>
      <c r="F30" s="39">
        <f t="shared" si="0"/>
        <v>9835.84</v>
      </c>
      <c r="G30" s="39"/>
      <c r="H30" s="39">
        <f t="shared" si="2"/>
        <v>9606.7780000000002</v>
      </c>
      <c r="I30" s="56">
        <v>89.162000000000006</v>
      </c>
      <c r="J30" s="39">
        <f t="shared" si="3"/>
        <v>9695.94</v>
      </c>
      <c r="K30" s="99">
        <f>+H30/288.105</f>
        <v>33.34471112962288</v>
      </c>
    </row>
    <row r="31" spans="1:11">
      <c r="A31" s="71">
        <v>2003</v>
      </c>
      <c r="B31" s="56">
        <v>139.9</v>
      </c>
      <c r="C31" s="84">
        <v>9156.7060000000001</v>
      </c>
      <c r="D31" s="84">
        <v>465.55900000000003</v>
      </c>
      <c r="E31" s="39">
        <f t="shared" si="1"/>
        <v>9622.2649999999994</v>
      </c>
      <c r="F31" s="39">
        <f t="shared" si="0"/>
        <v>9762.1649999999991</v>
      </c>
      <c r="G31" s="39"/>
      <c r="H31" s="39">
        <f t="shared" si="2"/>
        <v>9549.2639999999992</v>
      </c>
      <c r="I31" s="56">
        <v>90.5</v>
      </c>
      <c r="J31" s="39">
        <f t="shared" si="3"/>
        <v>9639.7639999999992</v>
      </c>
      <c r="K31" s="99">
        <f>+H31/290.82</f>
        <v>32.835650918093663</v>
      </c>
    </row>
    <row r="32" spans="1:11">
      <c r="A32" s="71">
        <v>2004</v>
      </c>
      <c r="B32" s="56">
        <v>122.401</v>
      </c>
      <c r="C32" s="84">
        <v>9205.7659999999996</v>
      </c>
      <c r="D32" s="84">
        <v>465.34899999999999</v>
      </c>
      <c r="E32" s="39">
        <f t="shared" ref="E32:E37" si="4">+C32+D32</f>
        <v>9671.1149999999998</v>
      </c>
      <c r="F32" s="39">
        <f t="shared" ref="F32:F37" si="5">+B32+E32</f>
        <v>9793.5159999999996</v>
      </c>
      <c r="G32" s="39"/>
      <c r="H32" s="39">
        <f t="shared" si="2"/>
        <v>9576.1880000000001</v>
      </c>
      <c r="I32" s="56">
        <v>90.376000000000005</v>
      </c>
      <c r="J32" s="39">
        <f t="shared" si="3"/>
        <v>9666.5640000000003</v>
      </c>
      <c r="K32" s="99">
        <f>+H32/293.463</f>
        <v>32.63167077280611</v>
      </c>
    </row>
    <row r="33" spans="1:11">
      <c r="A33" s="71">
        <v>2005</v>
      </c>
      <c r="B33" s="56">
        <v>126.952</v>
      </c>
      <c r="C33" s="84">
        <v>8335.7000000000007</v>
      </c>
      <c r="D33" s="84">
        <v>392</v>
      </c>
      <c r="E33" s="39">
        <f t="shared" si="4"/>
        <v>8727.7000000000007</v>
      </c>
      <c r="F33" s="39">
        <f t="shared" si="5"/>
        <v>8854.652</v>
      </c>
      <c r="G33" s="39"/>
      <c r="H33" s="39">
        <f t="shared" ref="H33:H38" si="6">+J33-I33</f>
        <v>8644.4655840383057</v>
      </c>
      <c r="I33" s="56">
        <v>77.589415961694002</v>
      </c>
      <c r="J33" s="39">
        <f t="shared" si="3"/>
        <v>8722.0550000000003</v>
      </c>
      <c r="K33" s="99">
        <f>+H33/296.186</f>
        <v>29.185935810734829</v>
      </c>
    </row>
    <row r="34" spans="1:11">
      <c r="A34" s="71">
        <v>2006</v>
      </c>
      <c r="B34" s="56">
        <v>132.59700000000001</v>
      </c>
      <c r="C34" s="84">
        <v>7192.5749999999998</v>
      </c>
      <c r="D34" s="84">
        <v>351.392</v>
      </c>
      <c r="E34" s="39">
        <f t="shared" si="4"/>
        <v>7543.9669999999996</v>
      </c>
      <c r="F34" s="39">
        <f t="shared" si="5"/>
        <v>7676.5639999999994</v>
      </c>
      <c r="G34" s="39"/>
      <c r="H34" s="39">
        <f t="shared" si="6"/>
        <v>7434.2879153331196</v>
      </c>
      <c r="I34" s="56">
        <v>89.576084666879993</v>
      </c>
      <c r="J34" s="39">
        <f t="shared" si="3"/>
        <v>7523.8639999999996</v>
      </c>
      <c r="K34" s="99">
        <f>+H34/298.996</f>
        <v>24.864171812777162</v>
      </c>
    </row>
    <row r="35" spans="1:11">
      <c r="A35" s="71">
        <v>2007</v>
      </c>
      <c r="B35" s="56">
        <v>152.69999999999999</v>
      </c>
      <c r="C35" s="84">
        <v>6132.4340000000002</v>
      </c>
      <c r="D35" s="84">
        <v>325.27199999999999</v>
      </c>
      <c r="E35" s="39">
        <f t="shared" si="4"/>
        <v>6457.7060000000001</v>
      </c>
      <c r="F35" s="39">
        <f t="shared" si="5"/>
        <v>6610.4059999999999</v>
      </c>
      <c r="G35" s="39"/>
      <c r="H35" s="39">
        <f t="shared" si="6"/>
        <v>6338.3160000000007</v>
      </c>
      <c r="I35" s="56">
        <v>119.333</v>
      </c>
      <c r="J35" s="39">
        <f t="shared" si="3"/>
        <v>6457.6490000000003</v>
      </c>
      <c r="K35" s="99">
        <f>+H35/302.004</f>
        <v>20.987523344061668</v>
      </c>
    </row>
    <row r="36" spans="1:11">
      <c r="A36" s="71">
        <v>2008</v>
      </c>
      <c r="B36" s="56">
        <v>152.75700000000001</v>
      </c>
      <c r="C36" s="84">
        <v>5342.2730000000001</v>
      </c>
      <c r="D36" s="84">
        <v>296.76600000000002</v>
      </c>
      <c r="E36" s="39">
        <f t="shared" si="4"/>
        <v>5639.0389999999998</v>
      </c>
      <c r="F36" s="39">
        <f t="shared" si="5"/>
        <v>5791.7959999999994</v>
      </c>
      <c r="G36" s="39"/>
      <c r="H36" s="39">
        <f t="shared" si="6"/>
        <v>5503.5389999999998</v>
      </c>
      <c r="I36" s="56">
        <v>142.86099999999999</v>
      </c>
      <c r="J36" s="39">
        <f t="shared" si="3"/>
        <v>5646.4</v>
      </c>
      <c r="K36" s="99">
        <f>+H36/304.798</f>
        <v>18.056348794939598</v>
      </c>
    </row>
    <row r="37" spans="1:11">
      <c r="A37" s="71">
        <v>2009</v>
      </c>
      <c r="B37" s="56">
        <v>145.39599999999999</v>
      </c>
      <c r="C37" s="84">
        <v>4720.7920000000004</v>
      </c>
      <c r="D37" s="84">
        <v>386.20100000000002</v>
      </c>
      <c r="E37" s="39">
        <f t="shared" si="4"/>
        <v>5106.9930000000004</v>
      </c>
      <c r="F37" s="39">
        <f t="shared" si="5"/>
        <v>5252.3890000000001</v>
      </c>
      <c r="G37" s="39"/>
      <c r="H37" s="39">
        <f t="shared" si="6"/>
        <v>4905.6589999999997</v>
      </c>
      <c r="I37" s="56">
        <v>168.001</v>
      </c>
      <c r="J37" s="39">
        <f t="shared" si="3"/>
        <v>5073.66</v>
      </c>
      <c r="K37" s="99">
        <f>+H37/307.439</f>
        <v>15.956527961644422</v>
      </c>
    </row>
    <row r="38" spans="1:11">
      <c r="A38" s="11">
        <v>2010</v>
      </c>
      <c r="B38" s="13">
        <v>178.72900000000001</v>
      </c>
      <c r="C38" s="40">
        <v>4586.31711</v>
      </c>
      <c r="D38" s="40">
        <v>296.01092</v>
      </c>
      <c r="E38" s="40">
        <f>+C38+D38</f>
        <v>4882.3280299999997</v>
      </c>
      <c r="F38" s="40">
        <f>+B38+E38</f>
        <v>5061.0570299999999</v>
      </c>
      <c r="G38" s="59"/>
      <c r="H38" s="40">
        <f t="shared" si="6"/>
        <v>4755.7816988216537</v>
      </c>
      <c r="I38" s="13">
        <v>171.36933117834604</v>
      </c>
      <c r="J38" s="40">
        <f>+F38-133.906</f>
        <v>4927.15103</v>
      </c>
      <c r="K38" s="98">
        <f>+H38/310.062</f>
        <v>15.338163653790705</v>
      </c>
    </row>
    <row r="39" spans="1:11" ht="13.25" customHeight="1">
      <c r="A39" s="117" t="s">
        <v>770</v>
      </c>
    </row>
    <row r="40" spans="1:11">
      <c r="A40" s="117" t="s">
        <v>644</v>
      </c>
    </row>
    <row r="41" spans="1:11">
      <c r="A41" s="260" t="s">
        <v>603</v>
      </c>
      <c r="K41" s="313" t="s">
        <v>547</v>
      </c>
    </row>
    <row r="42" spans="1:11" ht="10.25" customHeight="1"/>
  </sheetData>
  <phoneticPr fontId="0" type="noConversion"/>
  <pageMargins left="0.7" right="0.7" top="0.75" bottom="0.75" header="0.3" footer="0.3"/>
  <pageSetup scale="90" firstPageNumber="71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H39"/>
  <sheetViews>
    <sheetView zoomScaleNormal="100" zoomScaleSheetLayoutView="100" workbookViewId="0"/>
  </sheetViews>
  <sheetFormatPr baseColWidth="10" defaultColWidth="8.75" defaultRowHeight="11"/>
  <cols>
    <col min="1" max="8" width="12.75" customWidth="1"/>
  </cols>
  <sheetData>
    <row r="1" spans="1:8">
      <c r="A1" s="1" t="s">
        <v>532</v>
      </c>
      <c r="B1" s="1"/>
      <c r="C1" s="1"/>
      <c r="D1" s="1"/>
      <c r="E1" s="1"/>
      <c r="F1" s="1"/>
      <c r="G1" s="1"/>
      <c r="H1" s="1"/>
    </row>
    <row r="2" spans="1:8">
      <c r="A2" t="s">
        <v>318</v>
      </c>
    </row>
    <row r="3" spans="1:8">
      <c r="A3" s="1" t="s">
        <v>319</v>
      </c>
      <c r="B3" s="190" t="s">
        <v>214</v>
      </c>
      <c r="C3" s="11" t="s">
        <v>352</v>
      </c>
      <c r="D3" s="190" t="s">
        <v>354</v>
      </c>
      <c r="E3" s="190" t="s">
        <v>373</v>
      </c>
      <c r="F3" s="190" t="s">
        <v>374</v>
      </c>
      <c r="G3" s="11" t="s">
        <v>375</v>
      </c>
      <c r="H3" s="9" t="s">
        <v>177</v>
      </c>
    </row>
    <row r="4" spans="1:8" ht="12" customHeight="1">
      <c r="C4" s="312"/>
      <c r="D4" s="312"/>
      <c r="E4" s="312" t="s">
        <v>91</v>
      </c>
      <c r="F4" s="312"/>
      <c r="G4" s="312"/>
      <c r="H4" s="312"/>
    </row>
    <row r="5" spans="1:8" ht="12" customHeight="1">
      <c r="B5" s="38"/>
      <c r="C5" s="38"/>
      <c r="D5" s="38"/>
      <c r="E5" s="38"/>
      <c r="F5" s="38"/>
      <c r="G5" s="38"/>
      <c r="H5" s="38"/>
    </row>
    <row r="6" spans="1:8">
      <c r="A6" s="10">
        <v>1980</v>
      </c>
      <c r="B6" s="12">
        <v>2651.2000000000003</v>
      </c>
      <c r="C6" s="31">
        <v>188.554</v>
      </c>
      <c r="D6" s="12" t="s">
        <v>376</v>
      </c>
      <c r="E6" s="31">
        <v>187.8</v>
      </c>
      <c r="F6" s="31">
        <v>378.1</v>
      </c>
      <c r="G6" s="31">
        <v>673.40800000000013</v>
      </c>
      <c r="H6" s="12">
        <v>4200.2020000000002</v>
      </c>
    </row>
    <row r="7" spans="1:8">
      <c r="A7" s="10">
        <v>1981</v>
      </c>
      <c r="B7" s="12">
        <v>2766.9999999999995</v>
      </c>
      <c r="C7" s="31">
        <v>136.21099999999998</v>
      </c>
      <c r="D7" s="12" t="s">
        <v>376</v>
      </c>
      <c r="E7" s="31">
        <v>217.20000000000002</v>
      </c>
      <c r="F7" s="31">
        <v>315.3</v>
      </c>
      <c r="G7" s="31">
        <v>724.17200000000003</v>
      </c>
      <c r="H7" s="12">
        <v>4304.5069999999996</v>
      </c>
    </row>
    <row r="8" spans="1:8">
      <c r="A8" s="10">
        <v>1982</v>
      </c>
      <c r="B8" s="12">
        <v>2948.2999999999997</v>
      </c>
      <c r="C8" s="31">
        <v>157.60899999999998</v>
      </c>
      <c r="D8" s="12" t="s">
        <v>376</v>
      </c>
      <c r="E8" s="31">
        <v>190.20000000000002</v>
      </c>
      <c r="F8" s="31">
        <v>251.1</v>
      </c>
      <c r="G8" s="31">
        <v>679.279</v>
      </c>
      <c r="H8" s="12">
        <v>4390.9709999999995</v>
      </c>
    </row>
    <row r="9" spans="1:8">
      <c r="A9" s="10">
        <v>1983</v>
      </c>
      <c r="B9" s="12">
        <v>2914.1</v>
      </c>
      <c r="C9" s="31">
        <v>139.15799999999999</v>
      </c>
      <c r="D9" s="12" t="s">
        <v>376</v>
      </c>
      <c r="E9" s="31">
        <v>212.8</v>
      </c>
      <c r="F9" s="31">
        <v>277.20000000000005</v>
      </c>
      <c r="G9" s="31">
        <v>631.61699999999985</v>
      </c>
      <c r="H9" s="12">
        <v>4381.34</v>
      </c>
    </row>
    <row r="10" spans="1:8">
      <c r="A10" s="10">
        <v>1984</v>
      </c>
      <c r="B10" s="12">
        <v>3465</v>
      </c>
      <c r="C10" s="31">
        <v>151.29999999999998</v>
      </c>
      <c r="D10" s="12" t="s">
        <v>376</v>
      </c>
      <c r="E10" s="31">
        <v>216.3</v>
      </c>
      <c r="F10" s="31">
        <v>263.39999999999998</v>
      </c>
      <c r="G10" s="31">
        <v>821</v>
      </c>
      <c r="H10" s="12">
        <v>5108.2129999999997</v>
      </c>
    </row>
    <row r="11" spans="1:8">
      <c r="A11" s="10">
        <v>1985</v>
      </c>
      <c r="B11" s="12">
        <v>3625</v>
      </c>
      <c r="C11" s="31">
        <v>173.20000000000002</v>
      </c>
      <c r="D11" s="12" t="s">
        <v>376</v>
      </c>
      <c r="E11" s="31">
        <v>229.8</v>
      </c>
      <c r="F11" s="31">
        <v>289.09999999999997</v>
      </c>
      <c r="G11" s="31">
        <v>1015.1</v>
      </c>
      <c r="H11" s="12">
        <v>5564.1</v>
      </c>
    </row>
    <row r="12" spans="1:8">
      <c r="A12" s="10">
        <v>1986</v>
      </c>
      <c r="B12" s="12">
        <v>3379.1</v>
      </c>
      <c r="C12" s="31">
        <v>181.9</v>
      </c>
      <c r="D12" s="12" t="s">
        <v>376</v>
      </c>
      <c r="E12" s="31">
        <v>319.89999999999998</v>
      </c>
      <c r="F12" s="31">
        <v>273.90000000000003</v>
      </c>
      <c r="G12" s="31">
        <v>973.10000000000014</v>
      </c>
      <c r="H12" s="12">
        <v>5453.5</v>
      </c>
    </row>
    <row r="13" spans="1:8">
      <c r="A13" s="10">
        <v>1987</v>
      </c>
      <c r="B13" s="12">
        <v>3434.1000000000004</v>
      </c>
      <c r="C13" s="31">
        <v>135.70000000000002</v>
      </c>
      <c r="D13" s="12" t="s">
        <v>376</v>
      </c>
      <c r="E13" s="31">
        <v>214.6</v>
      </c>
      <c r="F13" s="31">
        <v>223.7</v>
      </c>
      <c r="G13" s="31">
        <v>890.1</v>
      </c>
      <c r="H13" s="12">
        <v>5302.8</v>
      </c>
    </row>
    <row r="14" spans="1:8">
      <c r="A14" s="10">
        <v>1988</v>
      </c>
      <c r="B14" s="12">
        <v>3562.5000000000005</v>
      </c>
      <c r="C14" s="31">
        <v>169.00000000000003</v>
      </c>
      <c r="D14" s="12" t="s">
        <v>376</v>
      </c>
      <c r="E14" s="31">
        <v>172.9</v>
      </c>
      <c r="F14" s="31">
        <v>265.20000000000005</v>
      </c>
      <c r="G14" s="31">
        <v>840.4</v>
      </c>
      <c r="H14" s="12">
        <v>5376.6</v>
      </c>
    </row>
    <row r="15" spans="1:8">
      <c r="A15" s="10">
        <v>1989</v>
      </c>
      <c r="B15" s="12">
        <v>3554.1000000000004</v>
      </c>
      <c r="C15" s="31">
        <v>192.3</v>
      </c>
      <c r="D15" s="31">
        <v>232.77699999999999</v>
      </c>
      <c r="E15" s="31">
        <v>139.40000000000003</v>
      </c>
      <c r="F15" s="31">
        <v>294.89999999999998</v>
      </c>
      <c r="G15" s="31">
        <v>751.8</v>
      </c>
      <c r="H15" s="12">
        <v>5400.4</v>
      </c>
    </row>
    <row r="16" spans="1:8">
      <c r="A16" s="10">
        <v>1990</v>
      </c>
      <c r="B16" s="12">
        <v>4004</v>
      </c>
      <c r="C16" s="31">
        <v>252</v>
      </c>
      <c r="D16" s="31">
        <v>269.81900000000002</v>
      </c>
      <c r="E16" s="203" t="s">
        <v>376</v>
      </c>
      <c r="F16" s="31">
        <v>268.73100000000005</v>
      </c>
      <c r="G16" s="31">
        <v>662.63199999999995</v>
      </c>
      <c r="H16" s="12">
        <v>5801.1999999999989</v>
      </c>
    </row>
    <row r="17" spans="1:8">
      <c r="A17" s="10">
        <v>1991</v>
      </c>
      <c r="B17" s="12">
        <v>4152.3999999999996</v>
      </c>
      <c r="C17" s="31">
        <v>259.7</v>
      </c>
      <c r="D17" s="31">
        <v>359.2</v>
      </c>
      <c r="E17" s="203" t="s">
        <v>376</v>
      </c>
      <c r="F17" s="31">
        <v>274.2</v>
      </c>
      <c r="G17" s="31">
        <v>460.1</v>
      </c>
      <c r="H17" s="12">
        <v>5766.7</v>
      </c>
    </row>
    <row r="18" spans="1:8">
      <c r="A18" s="10">
        <v>1992</v>
      </c>
      <c r="B18" s="12">
        <v>4140.1000000000004</v>
      </c>
      <c r="C18" s="31">
        <v>241.4</v>
      </c>
      <c r="D18" s="31">
        <v>322.2</v>
      </c>
      <c r="E18" s="203" t="s">
        <v>376</v>
      </c>
      <c r="F18" s="31">
        <v>310.39999999999998</v>
      </c>
      <c r="G18" s="31">
        <v>429.3</v>
      </c>
      <c r="H18" s="12">
        <v>5760.7</v>
      </c>
    </row>
    <row r="19" spans="1:8">
      <c r="A19" s="10">
        <v>1993</v>
      </c>
      <c r="B19" s="12">
        <v>4951.3999999999996</v>
      </c>
      <c r="C19" s="31">
        <v>265.5</v>
      </c>
      <c r="D19" s="31">
        <v>276.3</v>
      </c>
      <c r="E19" s="203" t="s">
        <v>376</v>
      </c>
      <c r="F19" s="31">
        <v>296</v>
      </c>
      <c r="G19" s="31">
        <v>404.3</v>
      </c>
      <c r="H19" s="12">
        <v>6543.7</v>
      </c>
    </row>
    <row r="20" spans="1:8">
      <c r="A20" s="10">
        <v>1994</v>
      </c>
      <c r="B20" s="12">
        <v>4928.8</v>
      </c>
      <c r="C20" s="31">
        <v>216.172</v>
      </c>
      <c r="D20" s="31">
        <v>125.4</v>
      </c>
      <c r="E20" s="203" t="s">
        <v>376</v>
      </c>
      <c r="F20" s="31">
        <v>286.8</v>
      </c>
      <c r="G20" s="31">
        <v>404.61599999999999</v>
      </c>
      <c r="H20" s="12">
        <v>6364.9</v>
      </c>
    </row>
    <row r="21" spans="1:8">
      <c r="A21" s="10">
        <v>1995</v>
      </c>
      <c r="B21" s="12">
        <v>4672.9930000000004</v>
      </c>
      <c r="C21" s="31">
        <v>212.18799999999999</v>
      </c>
      <c r="D21" s="31">
        <v>91.2</v>
      </c>
      <c r="E21" s="203" t="s">
        <v>376</v>
      </c>
      <c r="F21" s="31">
        <v>325</v>
      </c>
      <c r="G21" s="31">
        <v>374.11700000000002</v>
      </c>
      <c r="H21" s="12">
        <v>6031.3</v>
      </c>
    </row>
    <row r="22" spans="1:8">
      <c r="A22" s="10">
        <v>1996</v>
      </c>
      <c r="B22" s="12">
        <v>4689.9690000000001</v>
      </c>
      <c r="C22" s="31">
        <v>236.63</v>
      </c>
      <c r="D22" s="31">
        <v>80.099999999999994</v>
      </c>
      <c r="E22" s="203" t="s">
        <v>376</v>
      </c>
      <c r="F22" s="31">
        <v>283.60000000000002</v>
      </c>
      <c r="G22" s="31">
        <v>320.12900000000002</v>
      </c>
      <c r="H22" s="12">
        <v>5934.6</v>
      </c>
    </row>
    <row r="23" spans="1:8">
      <c r="A23" s="10">
        <v>1997</v>
      </c>
      <c r="B23" s="12">
        <v>4517.3549999999996</v>
      </c>
      <c r="C23" s="31">
        <v>256.48599999999999</v>
      </c>
      <c r="D23" s="31">
        <v>74.075000000000003</v>
      </c>
      <c r="E23" s="203" t="s">
        <v>376</v>
      </c>
      <c r="F23" s="31">
        <v>271.63</v>
      </c>
      <c r="G23" s="31">
        <v>311.83300000000003</v>
      </c>
      <c r="H23" s="12">
        <v>5678.8</v>
      </c>
    </row>
    <row r="24" spans="1:8">
      <c r="A24" s="10">
        <v>1998</v>
      </c>
      <c r="B24" s="12">
        <v>4747.6109999999999</v>
      </c>
      <c r="C24" s="31">
        <v>199.869</v>
      </c>
      <c r="D24" s="31">
        <v>60.4</v>
      </c>
      <c r="E24" s="203" t="s">
        <v>376</v>
      </c>
      <c r="F24" s="31">
        <v>279.8</v>
      </c>
      <c r="G24" s="31">
        <v>259.35399999999998</v>
      </c>
      <c r="H24" s="12">
        <v>5749.2</v>
      </c>
    </row>
    <row r="25" spans="1:8">
      <c r="A25" s="71">
        <v>1999</v>
      </c>
      <c r="B25" s="56">
        <v>5068.5</v>
      </c>
      <c r="C25" s="81">
        <v>166.99</v>
      </c>
      <c r="D25" s="56" t="s">
        <v>376</v>
      </c>
      <c r="E25" s="201" t="s">
        <v>376</v>
      </c>
      <c r="F25" s="81">
        <v>241.44</v>
      </c>
      <c r="G25" s="81">
        <v>261.67</v>
      </c>
      <c r="H25" s="56">
        <v>5968</v>
      </c>
    </row>
    <row r="26" spans="1:8">
      <c r="A26" s="71">
        <v>2000</v>
      </c>
      <c r="B26" s="56">
        <v>7907.5</v>
      </c>
      <c r="C26" s="81">
        <v>187.6</v>
      </c>
      <c r="D26" s="56" t="s">
        <v>376</v>
      </c>
      <c r="E26" s="201" t="s">
        <v>376</v>
      </c>
      <c r="F26" s="201" t="s">
        <v>376</v>
      </c>
      <c r="G26" s="81">
        <v>283.15600000000001</v>
      </c>
      <c r="H26" s="56">
        <v>9022.6</v>
      </c>
    </row>
    <row r="27" spans="1:8">
      <c r="A27" s="71">
        <v>2001</v>
      </c>
      <c r="B27" s="56">
        <v>8234.4470000000001</v>
      </c>
      <c r="C27" s="81">
        <v>185.45599999999999</v>
      </c>
      <c r="D27" s="56" t="s">
        <v>376</v>
      </c>
      <c r="E27" s="201" t="s">
        <v>376</v>
      </c>
      <c r="F27" s="201" t="s">
        <v>376</v>
      </c>
      <c r="G27" s="201" t="s">
        <v>376</v>
      </c>
      <c r="H27" s="56">
        <v>9404.652</v>
      </c>
    </row>
    <row r="28" spans="1:8">
      <c r="A28" s="71">
        <v>2002</v>
      </c>
      <c r="B28" s="56">
        <v>8566.4789999999994</v>
      </c>
      <c r="C28" s="81">
        <v>195.2</v>
      </c>
      <c r="D28" s="56" t="s">
        <v>376</v>
      </c>
      <c r="E28" s="201" t="s">
        <v>376</v>
      </c>
      <c r="F28" s="201" t="s">
        <v>376</v>
      </c>
      <c r="G28" s="201" t="s">
        <v>376</v>
      </c>
      <c r="H28" s="56">
        <v>9685.1409999999996</v>
      </c>
    </row>
    <row r="29" spans="1:8">
      <c r="A29" s="71">
        <v>2003</v>
      </c>
      <c r="B29" s="56">
        <v>8303.8089999999993</v>
      </c>
      <c r="C29" s="81">
        <v>167.374</v>
      </c>
      <c r="D29" s="56" t="s">
        <v>376</v>
      </c>
      <c r="E29" s="201" t="s">
        <v>376</v>
      </c>
      <c r="F29" s="201" t="s">
        <v>376</v>
      </c>
      <c r="G29" s="201" t="s">
        <v>376</v>
      </c>
      <c r="H29" s="56">
        <v>9236.5949999999993</v>
      </c>
    </row>
    <row r="30" spans="1:8">
      <c r="A30" s="71">
        <v>2004</v>
      </c>
      <c r="B30" s="56">
        <v>7938</v>
      </c>
      <c r="C30" s="81">
        <v>166.001</v>
      </c>
      <c r="D30" s="56" t="s">
        <v>376</v>
      </c>
      <c r="E30" s="201" t="s">
        <v>376</v>
      </c>
      <c r="F30" s="201" t="s">
        <v>376</v>
      </c>
      <c r="G30" s="201" t="s">
        <v>376</v>
      </c>
      <c r="H30" s="56">
        <v>8933.8809999999994</v>
      </c>
    </row>
    <row r="31" spans="1:8">
      <c r="A31" s="71">
        <v>2005</v>
      </c>
      <c r="B31" s="56">
        <v>7799.0079999999998</v>
      </c>
      <c r="C31" s="81">
        <v>212.84700000000001</v>
      </c>
      <c r="D31" s="56" t="s">
        <v>376</v>
      </c>
      <c r="E31" s="201" t="s">
        <v>376</v>
      </c>
      <c r="F31" s="201" t="s">
        <v>376</v>
      </c>
      <c r="G31" s="201" t="s">
        <v>376</v>
      </c>
      <c r="H31" s="56">
        <v>8918.2109999999993</v>
      </c>
    </row>
    <row r="32" spans="1:8">
      <c r="A32" s="71">
        <v>2006</v>
      </c>
      <c r="B32" s="56">
        <v>6224.8670000000002</v>
      </c>
      <c r="C32" s="81">
        <v>162.28299999999999</v>
      </c>
      <c r="D32" s="56" t="s">
        <v>376</v>
      </c>
      <c r="E32" s="201" t="s">
        <v>376</v>
      </c>
      <c r="F32" s="201" t="s">
        <v>376</v>
      </c>
      <c r="G32" s="201" t="s">
        <v>376</v>
      </c>
      <c r="H32" s="56">
        <v>7576.7389999999996</v>
      </c>
    </row>
    <row r="33" spans="1:8">
      <c r="A33" s="71">
        <v>2007</v>
      </c>
      <c r="B33" s="56">
        <v>5271.1790000000001</v>
      </c>
      <c r="C33" s="81">
        <v>166.494</v>
      </c>
      <c r="D33" s="56" t="s">
        <v>376</v>
      </c>
      <c r="E33" s="201" t="s">
        <v>376</v>
      </c>
      <c r="F33" s="201" t="s">
        <v>376</v>
      </c>
      <c r="G33" s="201" t="s">
        <v>376</v>
      </c>
      <c r="H33" s="56">
        <v>6520.5230000000001</v>
      </c>
    </row>
    <row r="34" spans="1:8">
      <c r="A34" s="71">
        <v>2008</v>
      </c>
      <c r="B34" s="56">
        <v>4444.7550000000001</v>
      </c>
      <c r="C34" s="204" t="s">
        <v>376</v>
      </c>
      <c r="D34" s="56" t="s">
        <v>376</v>
      </c>
      <c r="E34" s="201" t="s">
        <v>376</v>
      </c>
      <c r="F34" s="201" t="s">
        <v>376</v>
      </c>
      <c r="G34" s="201" t="s">
        <v>376</v>
      </c>
      <c r="H34" s="56">
        <v>5733.2569999999996</v>
      </c>
    </row>
    <row r="35" spans="1:8">
      <c r="A35" s="71">
        <v>2009</v>
      </c>
      <c r="B35" s="56">
        <v>3895.047</v>
      </c>
      <c r="C35" s="204" t="s">
        <v>376</v>
      </c>
      <c r="D35" s="56" t="s">
        <v>376</v>
      </c>
      <c r="E35" s="56">
        <v>428.9</v>
      </c>
      <c r="F35" s="201" t="s">
        <v>376</v>
      </c>
      <c r="G35" s="201" t="s">
        <v>376</v>
      </c>
      <c r="H35" s="56">
        <v>5126.7089999999998</v>
      </c>
    </row>
    <row r="36" spans="1:8">
      <c r="A36" s="11">
        <v>2010</v>
      </c>
      <c r="B36" s="13">
        <v>3669.8401699999999</v>
      </c>
      <c r="C36" s="32">
        <v>122.54300000000001</v>
      </c>
      <c r="D36" s="13" t="s">
        <v>376</v>
      </c>
      <c r="E36" s="13">
        <v>501.83476000000002</v>
      </c>
      <c r="F36" s="202" t="s">
        <v>376</v>
      </c>
      <c r="G36" s="202" t="s">
        <v>376</v>
      </c>
      <c r="H36" s="13">
        <v>4898.9970000000003</v>
      </c>
    </row>
    <row r="37" spans="1:8" ht="13.25" customHeight="1">
      <c r="A37" s="117" t="s">
        <v>771</v>
      </c>
    </row>
    <row r="38" spans="1:8" ht="13.25" customHeight="1">
      <c r="A38" s="117" t="s">
        <v>621</v>
      </c>
    </row>
    <row r="39" spans="1:8" ht="10.25" customHeight="1">
      <c r="H39" s="313" t="s">
        <v>547</v>
      </c>
    </row>
  </sheetData>
  <phoneticPr fontId="0" type="noConversion"/>
  <pageMargins left="0.7" right="0.7" top="0.75" bottom="0.75" header="0.3" footer="0.3"/>
  <pageSetup firstPageNumber="72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J41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1.75" customWidth="1"/>
    <col min="7" max="10" width="11.75" customWidth="1"/>
  </cols>
  <sheetData>
    <row r="1" spans="1:10">
      <c r="A1" s="1" t="s">
        <v>533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24" t="s">
        <v>119</v>
      </c>
      <c r="C2" s="24"/>
      <c r="D2" s="24"/>
      <c r="E2" s="24"/>
      <c r="G2" s="23" t="s">
        <v>117</v>
      </c>
      <c r="H2" s="23"/>
      <c r="I2" s="23"/>
      <c r="J2" s="7" t="s">
        <v>349</v>
      </c>
    </row>
    <row r="3" spans="1:10">
      <c r="A3" t="s">
        <v>356</v>
      </c>
      <c r="B3" s="7" t="s">
        <v>347</v>
      </c>
      <c r="C3" s="7" t="s">
        <v>66</v>
      </c>
      <c r="D3" s="7" t="s">
        <v>88</v>
      </c>
      <c r="E3" s="7" t="s">
        <v>3</v>
      </c>
      <c r="G3" s="7" t="s">
        <v>142</v>
      </c>
      <c r="H3" s="7" t="s">
        <v>90</v>
      </c>
      <c r="I3" s="7" t="s">
        <v>3</v>
      </c>
      <c r="J3" s="7"/>
    </row>
    <row r="4" spans="1:10">
      <c r="A4" s="1" t="s">
        <v>355</v>
      </c>
      <c r="B4" s="9" t="s">
        <v>348</v>
      </c>
      <c r="C4" s="9"/>
      <c r="D4" s="1"/>
      <c r="E4" s="1"/>
      <c r="F4" s="1"/>
      <c r="G4" s="1"/>
      <c r="H4" s="1"/>
      <c r="I4" s="9" t="s">
        <v>205</v>
      </c>
      <c r="J4" s="9"/>
    </row>
    <row r="5" spans="1:10" ht="12" customHeight="1">
      <c r="C5" s="315"/>
      <c r="D5" s="315"/>
      <c r="E5" s="315" t="s">
        <v>460</v>
      </c>
      <c r="F5" s="315"/>
      <c r="G5" s="315"/>
      <c r="H5" s="315"/>
      <c r="I5" s="315"/>
      <c r="J5" s="7" t="s">
        <v>95</v>
      </c>
    </row>
    <row r="6" spans="1:10" ht="12" customHeight="1">
      <c r="B6" s="171"/>
      <c r="C6" s="171"/>
      <c r="D6" s="171"/>
      <c r="E6" s="171"/>
      <c r="F6" s="171"/>
      <c r="G6" s="171"/>
      <c r="H6" s="171"/>
      <c r="I6" s="171"/>
      <c r="J6" s="7"/>
    </row>
    <row r="7" spans="1:10">
      <c r="A7" s="10">
        <v>1980</v>
      </c>
      <c r="B7" s="12">
        <v>80.5</v>
      </c>
      <c r="C7" s="39">
        <v>2592.8000000000002</v>
      </c>
      <c r="D7" s="12" t="s">
        <v>372</v>
      </c>
      <c r="E7" s="39">
        <f t="shared" ref="E7:E30" si="0">SUM(B7:D7)</f>
        <v>2673.3</v>
      </c>
      <c r="F7" s="12"/>
      <c r="G7" s="39">
        <f t="shared" ref="G7:G30" si="1">+I7-H7</f>
        <v>2591.0600000000004</v>
      </c>
      <c r="H7" s="12">
        <v>8.0399999999999991</v>
      </c>
      <c r="I7" s="39">
        <f t="shared" ref="I7:I36" si="2">+E7-B8</f>
        <v>2599.1000000000004</v>
      </c>
      <c r="J7" s="205">
        <f>+G7/227.726</f>
        <v>11.377971773095739</v>
      </c>
    </row>
    <row r="8" spans="1:10">
      <c r="A8" s="10">
        <v>1981</v>
      </c>
      <c r="B8" s="12">
        <v>74.2</v>
      </c>
      <c r="C8" s="39">
        <v>2576.4</v>
      </c>
      <c r="D8" s="12" t="s">
        <v>372</v>
      </c>
      <c r="E8" s="39">
        <f t="shared" si="0"/>
        <v>2650.6</v>
      </c>
      <c r="F8" s="12"/>
      <c r="G8" s="39">
        <f t="shared" si="1"/>
        <v>2573.0439999999999</v>
      </c>
      <c r="H8" s="12">
        <v>16.556000000000001</v>
      </c>
      <c r="I8" s="39">
        <f t="shared" si="2"/>
        <v>2589.6</v>
      </c>
      <c r="J8" s="205">
        <f>+G8/229.966</f>
        <v>11.188801822878164</v>
      </c>
    </row>
    <row r="9" spans="1:10">
      <c r="A9" s="10">
        <v>1982</v>
      </c>
      <c r="B9" s="12">
        <v>61</v>
      </c>
      <c r="C9" s="39">
        <v>2596</v>
      </c>
      <c r="D9" s="12" t="s">
        <v>372</v>
      </c>
      <c r="E9" s="39">
        <f t="shared" si="0"/>
        <v>2657</v>
      </c>
      <c r="F9" s="12"/>
      <c r="G9" s="39">
        <f t="shared" si="1"/>
        <v>2581.6570000000002</v>
      </c>
      <c r="H9" s="12">
        <v>13.243</v>
      </c>
      <c r="I9" s="39">
        <f t="shared" si="2"/>
        <v>2594.9</v>
      </c>
      <c r="J9" s="205">
        <f>+G9/232.188</f>
        <v>11.118821816803626</v>
      </c>
    </row>
    <row r="10" spans="1:10">
      <c r="A10" s="10">
        <v>1983</v>
      </c>
      <c r="B10" s="12">
        <v>62.1</v>
      </c>
      <c r="C10" s="39">
        <v>2451.1999999999998</v>
      </c>
      <c r="D10" s="12" t="s">
        <v>372</v>
      </c>
      <c r="E10" s="39">
        <f t="shared" si="0"/>
        <v>2513.2999999999997</v>
      </c>
      <c r="F10" s="12"/>
      <c r="G10" s="39">
        <f t="shared" si="1"/>
        <v>2446.4959999999996</v>
      </c>
      <c r="H10" s="12">
        <v>11.304</v>
      </c>
      <c r="I10" s="39">
        <f t="shared" si="2"/>
        <v>2457.7999999999997</v>
      </c>
      <c r="J10" s="205">
        <f>+G10/234.307</f>
        <v>10.441412335098823</v>
      </c>
    </row>
    <row r="11" spans="1:10">
      <c r="A11" s="10">
        <v>1984</v>
      </c>
      <c r="B11" s="12">
        <v>55.5</v>
      </c>
      <c r="C11" s="39">
        <v>2480.9</v>
      </c>
      <c r="D11" s="12" t="s">
        <v>372</v>
      </c>
      <c r="E11" s="39">
        <f t="shared" si="0"/>
        <v>2536.4</v>
      </c>
      <c r="F11" s="12"/>
      <c r="G11" s="39">
        <f t="shared" si="1"/>
        <v>2472.04</v>
      </c>
      <c r="H11" s="12">
        <v>9.26</v>
      </c>
      <c r="I11" s="39">
        <f t="shared" si="2"/>
        <v>2481.3000000000002</v>
      </c>
      <c r="J11" s="205">
        <f>+G11/236.348</f>
        <v>10.459322693655118</v>
      </c>
    </row>
    <row r="12" spans="1:10">
      <c r="A12" s="10">
        <v>1985</v>
      </c>
      <c r="B12" s="12">
        <v>55.1</v>
      </c>
      <c r="C12" s="39">
        <v>2603.3000000000002</v>
      </c>
      <c r="D12" s="12" t="s">
        <v>372</v>
      </c>
      <c r="E12" s="39">
        <f t="shared" si="0"/>
        <v>2658.4</v>
      </c>
      <c r="F12" s="12"/>
      <c r="G12" s="39">
        <f t="shared" si="1"/>
        <v>2588.0760000000005</v>
      </c>
      <c r="H12" s="12">
        <v>9.1240000000000006</v>
      </c>
      <c r="I12" s="39">
        <f t="shared" si="2"/>
        <v>2597.2000000000003</v>
      </c>
      <c r="J12" s="205">
        <f>+G12/238.466</f>
        <v>10.85301887900162</v>
      </c>
    </row>
    <row r="13" spans="1:10">
      <c r="A13" s="10">
        <v>1986</v>
      </c>
      <c r="B13" s="12">
        <v>61.2</v>
      </c>
      <c r="C13" s="39">
        <v>2789.1</v>
      </c>
      <c r="D13" s="12" t="s">
        <v>372</v>
      </c>
      <c r="E13" s="39">
        <f t="shared" si="0"/>
        <v>2850.2999999999997</v>
      </c>
      <c r="F13" s="12"/>
      <c r="G13" s="39">
        <f t="shared" si="1"/>
        <v>2761.2979999999998</v>
      </c>
      <c r="H13" s="12">
        <v>8.3019999999999996</v>
      </c>
      <c r="I13" s="39">
        <f t="shared" si="2"/>
        <v>2769.6</v>
      </c>
      <c r="J13" s="205">
        <f>+G13/240.651</f>
        <v>11.474284337069031</v>
      </c>
    </row>
    <row r="14" spans="1:10">
      <c r="A14" s="10">
        <v>1987</v>
      </c>
      <c r="B14" s="12">
        <v>80.7</v>
      </c>
      <c r="C14" s="39">
        <v>2554.1</v>
      </c>
      <c r="D14" s="12">
        <v>1.1599999999999999</v>
      </c>
      <c r="E14" s="39">
        <f t="shared" si="0"/>
        <v>2635.9599999999996</v>
      </c>
      <c r="F14" s="12"/>
      <c r="G14" s="39">
        <f t="shared" si="1"/>
        <v>2565.2449999999994</v>
      </c>
      <c r="H14" s="12">
        <v>7.8150000000000004</v>
      </c>
      <c r="I14" s="39">
        <f t="shared" si="2"/>
        <v>2573.0599999999995</v>
      </c>
      <c r="J14" s="205">
        <f>+G14/242.804</f>
        <v>10.565085418691616</v>
      </c>
    </row>
    <row r="15" spans="1:10">
      <c r="A15" s="10">
        <v>1988</v>
      </c>
      <c r="B15" s="12">
        <v>62.9</v>
      </c>
      <c r="C15" s="39">
        <v>2549.1999999999998</v>
      </c>
      <c r="D15" s="12">
        <v>1.625</v>
      </c>
      <c r="E15" s="39">
        <f t="shared" si="0"/>
        <v>2613.7249999999999</v>
      </c>
      <c r="F15" s="12"/>
      <c r="G15" s="39">
        <f t="shared" si="1"/>
        <v>2543.1759999999999</v>
      </c>
      <c r="H15" s="12">
        <v>8.2490000000000006</v>
      </c>
      <c r="I15" s="39">
        <f t="shared" si="2"/>
        <v>2551.4249999999997</v>
      </c>
      <c r="J15" s="205">
        <f>+G15/245.021</f>
        <v>10.379420539463965</v>
      </c>
    </row>
    <row r="16" spans="1:10">
      <c r="A16" s="10">
        <v>1989</v>
      </c>
      <c r="B16" s="12">
        <v>62.3</v>
      </c>
      <c r="C16" s="39">
        <v>2530.9</v>
      </c>
      <c r="D16" s="12">
        <v>0.87523052475600005</v>
      </c>
      <c r="E16" s="39">
        <f t="shared" si="0"/>
        <v>2594.0752305247561</v>
      </c>
      <c r="F16" s="12"/>
      <c r="G16" s="39">
        <f t="shared" si="1"/>
        <v>2525.5552305247561</v>
      </c>
      <c r="H16" s="12">
        <v>7.12</v>
      </c>
      <c r="I16" s="39">
        <f t="shared" si="2"/>
        <v>2532.675230524756</v>
      </c>
      <c r="J16" s="205">
        <f>+G16/247.342</f>
        <v>10.21078195585366</v>
      </c>
    </row>
    <row r="17" spans="1:10">
      <c r="A17" s="10">
        <v>1990</v>
      </c>
      <c r="B17" s="12">
        <v>61.4</v>
      </c>
      <c r="C17" s="39">
        <v>2768.0909999999999</v>
      </c>
      <c r="D17" s="12">
        <v>0.71625523233599997</v>
      </c>
      <c r="E17" s="39">
        <f t="shared" si="0"/>
        <v>2830.2072552323361</v>
      </c>
      <c r="F17" s="12"/>
      <c r="G17" s="39">
        <f t="shared" si="1"/>
        <v>2731.3302552323362</v>
      </c>
      <c r="H17" s="12">
        <v>6.9279999999999999</v>
      </c>
      <c r="I17" s="39">
        <f t="shared" si="2"/>
        <v>2738.2582552323361</v>
      </c>
      <c r="J17" s="205">
        <f>+G17/250.132</f>
        <v>10.919555495627653</v>
      </c>
    </row>
    <row r="18" spans="1:10">
      <c r="A18" s="10">
        <v>1991</v>
      </c>
      <c r="B18" s="12">
        <v>91.948999999999998</v>
      </c>
      <c r="C18" s="39">
        <v>2698</v>
      </c>
      <c r="D18" s="12">
        <v>0.96542161077599997</v>
      </c>
      <c r="E18" s="39">
        <f t="shared" si="0"/>
        <v>2790.9144216107761</v>
      </c>
      <c r="F18" s="12"/>
      <c r="G18" s="39">
        <f t="shared" si="1"/>
        <v>2690.5114216107763</v>
      </c>
      <c r="H18" s="12">
        <v>9.3030000000000008</v>
      </c>
      <c r="I18" s="39">
        <f t="shared" si="2"/>
        <v>2699.8144216107762</v>
      </c>
      <c r="J18" s="205">
        <f>+G18/253.493</f>
        <v>10.613750366324815</v>
      </c>
    </row>
    <row r="19" spans="1:10">
      <c r="A19" s="10">
        <v>1992</v>
      </c>
      <c r="B19" s="12">
        <v>91.1</v>
      </c>
      <c r="C19" s="39">
        <v>2817.5</v>
      </c>
      <c r="D19" s="12">
        <v>0.81071005730400003</v>
      </c>
      <c r="E19" s="39">
        <f t="shared" si="0"/>
        <v>2909.4107100573037</v>
      </c>
      <c r="F19" s="12"/>
      <c r="G19" s="39">
        <f t="shared" si="1"/>
        <v>2821.4417100573037</v>
      </c>
      <c r="H19" s="12">
        <v>13.069000000000001</v>
      </c>
      <c r="I19" s="39">
        <f t="shared" si="2"/>
        <v>2834.5107100573036</v>
      </c>
      <c r="J19" s="205">
        <f>+G19/256.894</f>
        <v>10.982902325695827</v>
      </c>
    </row>
    <row r="20" spans="1:10">
      <c r="A20" s="10">
        <v>1993</v>
      </c>
      <c r="B20" s="12">
        <v>74.900000000000006</v>
      </c>
      <c r="C20" s="39">
        <v>2892.3</v>
      </c>
      <c r="D20" s="12">
        <v>1.5258475462859999</v>
      </c>
      <c r="E20" s="39">
        <f t="shared" si="0"/>
        <v>2968.7258475462863</v>
      </c>
      <c r="F20" s="12"/>
      <c r="G20" s="39">
        <f t="shared" si="1"/>
        <v>2886.940847546286</v>
      </c>
      <c r="H20" s="12">
        <v>15.385</v>
      </c>
      <c r="I20" s="39">
        <f t="shared" si="2"/>
        <v>2902.3258475462862</v>
      </c>
      <c r="J20" s="205">
        <f>+G20/260.255</f>
        <v>11.092739227089917</v>
      </c>
    </row>
    <row r="21" spans="1:10">
      <c r="A21" s="10">
        <v>1994</v>
      </c>
      <c r="B21" s="12">
        <v>66.400000000000006</v>
      </c>
      <c r="C21" s="39">
        <v>2622.84</v>
      </c>
      <c r="D21" s="12">
        <v>3.5947530159659999</v>
      </c>
      <c r="E21" s="39">
        <f t="shared" si="0"/>
        <v>2692.8347530159663</v>
      </c>
      <c r="F21" s="12"/>
      <c r="G21" s="39">
        <f t="shared" si="1"/>
        <v>2610.2587530159662</v>
      </c>
      <c r="H21" s="12">
        <v>20.611999999999998</v>
      </c>
      <c r="I21" s="39">
        <f t="shared" si="2"/>
        <v>2630.8707530159663</v>
      </c>
      <c r="J21" s="205">
        <f>+G21/263.436</f>
        <v>9.9085119460361017</v>
      </c>
    </row>
    <row r="22" spans="1:10">
      <c r="A22" s="10">
        <v>1995</v>
      </c>
      <c r="B22" s="12">
        <v>61.963999999999999</v>
      </c>
      <c r="C22" s="39">
        <v>2489.6610000000001</v>
      </c>
      <c r="D22" s="12">
        <v>4.9662571806539999</v>
      </c>
      <c r="E22" s="39">
        <f t="shared" si="0"/>
        <v>2556.5912571806539</v>
      </c>
      <c r="F22" s="12"/>
      <c r="G22" s="39">
        <f t="shared" si="1"/>
        <v>2462.9542571806542</v>
      </c>
      <c r="H22" s="12">
        <v>35.807000000000002</v>
      </c>
      <c r="I22" s="39">
        <f t="shared" si="2"/>
        <v>2498.761257180654</v>
      </c>
      <c r="J22" s="205">
        <f>+G22/266.557</f>
        <v>9.2398783644048148</v>
      </c>
    </row>
    <row r="23" spans="1:10">
      <c r="A23" s="10">
        <v>1996</v>
      </c>
      <c r="B23" s="12">
        <v>57.83</v>
      </c>
      <c r="C23" s="39">
        <v>2480.2489999999998</v>
      </c>
      <c r="D23" s="12">
        <v>5.857645380048</v>
      </c>
      <c r="E23" s="39">
        <f t="shared" si="0"/>
        <v>2543.9366453800476</v>
      </c>
      <c r="F23" s="12"/>
      <c r="G23" s="39">
        <f t="shared" si="1"/>
        <v>2471.2136453800476</v>
      </c>
      <c r="H23" s="12">
        <v>28.786999999999999</v>
      </c>
      <c r="I23" s="39">
        <f t="shared" si="2"/>
        <v>2500.0006453800474</v>
      </c>
      <c r="J23" s="205">
        <f>+G23/269.667</f>
        <v>9.1639453302778904</v>
      </c>
    </row>
    <row r="24" spans="1:10">
      <c r="A24" s="10">
        <v>1997</v>
      </c>
      <c r="B24" s="12">
        <v>43.936</v>
      </c>
      <c r="C24" s="39">
        <v>2366.8409999999999</v>
      </c>
      <c r="D24" s="12">
        <v>6.6263617974960001</v>
      </c>
      <c r="E24" s="39">
        <f t="shared" si="0"/>
        <v>2417.403361797496</v>
      </c>
      <c r="F24" s="12"/>
      <c r="G24" s="39">
        <f t="shared" si="1"/>
        <v>2344.0703617974959</v>
      </c>
      <c r="H24" s="12">
        <v>29.033000000000001</v>
      </c>
      <c r="I24" s="39">
        <f t="shared" si="2"/>
        <v>2373.1033617974958</v>
      </c>
      <c r="J24" s="205">
        <f>+G24/272.912</f>
        <v>8.5891069714688104</v>
      </c>
    </row>
    <row r="25" spans="1:10">
      <c r="A25" s="10">
        <v>1998</v>
      </c>
      <c r="B25" s="12">
        <v>44.3</v>
      </c>
      <c r="C25" s="39">
        <v>2310.9499999999998</v>
      </c>
      <c r="D25" s="12">
        <v>8.2004178130559993</v>
      </c>
      <c r="E25" s="39">
        <f t="shared" si="0"/>
        <v>2363.450417813056</v>
      </c>
      <c r="F25" s="12"/>
      <c r="G25" s="39">
        <f t="shared" si="1"/>
        <v>2297.2554178130563</v>
      </c>
      <c r="H25" s="12">
        <v>31.675999999999998</v>
      </c>
      <c r="I25" s="39">
        <f t="shared" si="2"/>
        <v>2328.9314178130562</v>
      </c>
      <c r="J25" s="205">
        <f>+G25/276.115</f>
        <v>8.3199225605746019</v>
      </c>
    </row>
    <row r="26" spans="1:10">
      <c r="A26" s="71">
        <v>1999</v>
      </c>
      <c r="B26" s="56">
        <v>34.518999999999998</v>
      </c>
      <c r="C26" s="84">
        <v>2274.1999999999998</v>
      </c>
      <c r="D26" s="56">
        <v>10.416027649104</v>
      </c>
      <c r="E26" s="39">
        <f t="shared" si="0"/>
        <v>2319.1350276491034</v>
      </c>
      <c r="F26" s="56"/>
      <c r="G26" s="39">
        <f t="shared" si="1"/>
        <v>2241.4640276491032</v>
      </c>
      <c r="H26" s="56">
        <v>35.51</v>
      </c>
      <c r="I26" s="39">
        <f t="shared" si="2"/>
        <v>2276.9740276491034</v>
      </c>
      <c r="J26" s="205">
        <f>+G26/279.295</f>
        <v>8.0254355704509681</v>
      </c>
    </row>
    <row r="27" spans="1:10">
      <c r="A27" s="71" t="s">
        <v>484</v>
      </c>
      <c r="B27" s="56">
        <v>42.161000000000001</v>
      </c>
      <c r="C27" s="84">
        <v>2397.6</v>
      </c>
      <c r="D27" s="56">
        <v>13.095000000000001</v>
      </c>
      <c r="E27" s="39">
        <f t="shared" si="0"/>
        <v>2452.8559999999998</v>
      </c>
      <c r="F27" s="56"/>
      <c r="G27" s="39">
        <f t="shared" si="1"/>
        <v>2353.1849999999999</v>
      </c>
      <c r="H27" s="56">
        <v>31.071000000000002</v>
      </c>
      <c r="I27" s="39">
        <f t="shared" si="2"/>
        <v>2384.2559999999999</v>
      </c>
      <c r="J27" s="205">
        <f>+G27/282.385</f>
        <v>8.3332507038263373</v>
      </c>
    </row>
    <row r="28" spans="1:10">
      <c r="A28" s="71" t="s">
        <v>442</v>
      </c>
      <c r="B28" s="56">
        <v>68.599999999999994</v>
      </c>
      <c r="C28" s="84">
        <v>1994</v>
      </c>
      <c r="D28" s="56">
        <v>14.763</v>
      </c>
      <c r="E28" s="39">
        <f t="shared" si="0"/>
        <v>2077.3629999999998</v>
      </c>
      <c r="F28" s="56"/>
      <c r="G28" s="39">
        <f t="shared" si="1"/>
        <v>2011.7079999999999</v>
      </c>
      <c r="H28" s="56">
        <v>31.454999999999998</v>
      </c>
      <c r="I28" s="39">
        <f t="shared" si="2"/>
        <v>2043.1629999999998</v>
      </c>
      <c r="J28" s="205">
        <f>+G28/285.309</f>
        <v>7.0509798148673886</v>
      </c>
    </row>
    <row r="29" spans="1:10">
      <c r="A29" s="71" t="s">
        <v>443</v>
      </c>
      <c r="B29" s="56">
        <v>34.200000000000003</v>
      </c>
      <c r="C29" s="84">
        <v>1900</v>
      </c>
      <c r="D29" s="56">
        <v>16.776</v>
      </c>
      <c r="E29" s="39">
        <f t="shared" si="0"/>
        <v>1950.9760000000001</v>
      </c>
      <c r="F29" s="56"/>
      <c r="G29" s="39">
        <f t="shared" si="1"/>
        <v>1889.2470000000001</v>
      </c>
      <c r="H29" s="56">
        <v>27.529</v>
      </c>
      <c r="I29" s="39">
        <f t="shared" si="2"/>
        <v>1916.7760000000001</v>
      </c>
      <c r="J29" s="205">
        <f>+G29/288.105</f>
        <v>6.5574946634039675</v>
      </c>
    </row>
    <row r="30" spans="1:10">
      <c r="A30" s="71">
        <v>2003</v>
      </c>
      <c r="B30" s="56">
        <v>34.200000000000003</v>
      </c>
      <c r="C30" s="84">
        <v>1550.0909999999999</v>
      </c>
      <c r="D30" s="56">
        <v>17.776</v>
      </c>
      <c r="E30" s="39">
        <f t="shared" si="0"/>
        <v>1602.067</v>
      </c>
      <c r="F30" s="56"/>
      <c r="G30" s="39">
        <f t="shared" si="1"/>
        <v>1549.46</v>
      </c>
      <c r="H30" s="56">
        <v>29.103000000000002</v>
      </c>
      <c r="I30" s="39">
        <f t="shared" si="2"/>
        <v>1578.5630000000001</v>
      </c>
      <c r="J30" s="205">
        <f>+G30/290.82</f>
        <v>5.3279004195034734</v>
      </c>
    </row>
    <row r="31" spans="1:10">
      <c r="A31" s="71">
        <v>2004</v>
      </c>
      <c r="B31" s="56">
        <v>23.504000000000001</v>
      </c>
      <c r="C31" s="84">
        <v>1566.979</v>
      </c>
      <c r="D31" s="56">
        <v>12.898</v>
      </c>
      <c r="E31" s="39">
        <f t="shared" ref="E31:E36" si="3">SUM(B31:D31)</f>
        <v>1603.3809999999999</v>
      </c>
      <c r="F31" s="56"/>
      <c r="G31" s="39">
        <f t="shared" ref="G31:G36" si="4">+I31-H31</f>
        <v>1553.6789999999999</v>
      </c>
      <c r="H31" s="56">
        <v>33.152000000000001</v>
      </c>
      <c r="I31" s="39">
        <f t="shared" si="2"/>
        <v>1586.8309999999999</v>
      </c>
      <c r="J31" s="205">
        <f>+G31/293.463</f>
        <v>5.2942926365504333</v>
      </c>
    </row>
    <row r="32" spans="1:10">
      <c r="A32" s="71">
        <v>2005</v>
      </c>
      <c r="B32" s="56">
        <v>16.55</v>
      </c>
      <c r="C32" s="84">
        <v>1239.1400000000001</v>
      </c>
      <c r="D32" s="56">
        <v>12.587</v>
      </c>
      <c r="E32" s="39">
        <f t="shared" si="3"/>
        <v>1268.277</v>
      </c>
      <c r="F32" s="56"/>
      <c r="G32" s="39">
        <f t="shared" si="4"/>
        <v>1207.1380000000001</v>
      </c>
      <c r="H32" s="56">
        <v>43.414000000000001</v>
      </c>
      <c r="I32" s="39">
        <f t="shared" si="2"/>
        <v>1250.5520000000001</v>
      </c>
      <c r="J32" s="205">
        <f>+G32/296.186</f>
        <v>4.075607895038929</v>
      </c>
    </row>
    <row r="33" spans="1:10">
      <c r="A33" s="71">
        <v>2006</v>
      </c>
      <c r="B33" s="56">
        <v>17.725000000000001</v>
      </c>
      <c r="C33" s="84">
        <v>1453.7529999999999</v>
      </c>
      <c r="D33" s="56">
        <v>11.178000000000001</v>
      </c>
      <c r="E33" s="39">
        <f t="shared" si="3"/>
        <v>1482.6559999999999</v>
      </c>
      <c r="F33" s="56"/>
      <c r="G33" s="39">
        <f t="shared" si="4"/>
        <v>1389.4289999999999</v>
      </c>
      <c r="H33" s="56">
        <v>41.679000000000002</v>
      </c>
      <c r="I33" s="39">
        <f t="shared" si="2"/>
        <v>1431.1079999999999</v>
      </c>
      <c r="J33" s="205">
        <f>+G33/298.996</f>
        <v>4.6469818994234036</v>
      </c>
    </row>
    <row r="34" spans="1:10">
      <c r="A34" s="71">
        <v>2007</v>
      </c>
      <c r="B34" s="56">
        <v>51.548000000000002</v>
      </c>
      <c r="C34" s="84">
        <v>1420.1980000000001</v>
      </c>
      <c r="D34" s="56">
        <v>11.731999999999999</v>
      </c>
      <c r="E34" s="39">
        <f t="shared" si="3"/>
        <v>1483.4780000000001</v>
      </c>
      <c r="F34" s="56"/>
      <c r="G34" s="39">
        <f t="shared" si="4"/>
        <v>1387.394</v>
      </c>
      <c r="H34" s="56">
        <v>40.853000000000002</v>
      </c>
      <c r="I34" s="39">
        <f t="shared" si="2"/>
        <v>1428.2470000000001</v>
      </c>
      <c r="J34" s="205">
        <f>+G34/302.004</f>
        <v>4.5939590204103258</v>
      </c>
    </row>
    <row r="35" spans="1:10">
      <c r="A35" s="71">
        <v>2008</v>
      </c>
      <c r="B35" s="56">
        <v>55.231000000000002</v>
      </c>
      <c r="C35" s="84">
        <v>1323.4760000000001</v>
      </c>
      <c r="D35" s="56">
        <v>12.096</v>
      </c>
      <c r="E35" s="39">
        <f t="shared" si="3"/>
        <v>1390.8030000000001</v>
      </c>
      <c r="F35" s="56"/>
      <c r="G35" s="39">
        <f t="shared" si="4"/>
        <v>1302.011</v>
      </c>
      <c r="H35" s="56">
        <v>42.911000000000001</v>
      </c>
      <c r="I35" s="39">
        <f t="shared" si="2"/>
        <v>1344.922</v>
      </c>
      <c r="J35" s="205">
        <f>+G35/304.798</f>
        <v>4.271717662189384</v>
      </c>
    </row>
    <row r="36" spans="1:10">
      <c r="A36" s="71">
        <v>2009</v>
      </c>
      <c r="B36" s="56">
        <v>45.881</v>
      </c>
      <c r="C36" s="84">
        <v>1195.413</v>
      </c>
      <c r="D36" s="56">
        <v>13.054</v>
      </c>
      <c r="E36" s="39">
        <f t="shared" si="3"/>
        <v>1254.3480000000002</v>
      </c>
      <c r="F36" s="56"/>
      <c r="G36" s="39">
        <f t="shared" si="4"/>
        <v>1152.2820000000002</v>
      </c>
      <c r="H36" s="56">
        <v>49.863999999999997</v>
      </c>
      <c r="I36" s="39">
        <f t="shared" si="2"/>
        <v>1202.1460000000002</v>
      </c>
      <c r="J36" s="205">
        <f>+G36/307.439</f>
        <v>3.7480020426816378</v>
      </c>
    </row>
    <row r="37" spans="1:10">
      <c r="A37" s="11">
        <v>2010</v>
      </c>
      <c r="B37" s="13">
        <v>52.201999999999998</v>
      </c>
      <c r="C37" s="40">
        <v>1169.1120000000001</v>
      </c>
      <c r="D37" s="13">
        <v>12.002000000000001</v>
      </c>
      <c r="E37" s="40">
        <f>SUM(B37:D37)</f>
        <v>1233.316</v>
      </c>
      <c r="F37" s="13"/>
      <c r="G37" s="40">
        <f>+I37-H37</f>
        <v>1124.0310000000002</v>
      </c>
      <c r="H37" s="13">
        <v>50.021000000000001</v>
      </c>
      <c r="I37" s="40">
        <f>+E37-59.264</f>
        <v>1174.0520000000001</v>
      </c>
      <c r="J37" s="206">
        <f>+G37/310.062</f>
        <v>3.6251814153298376</v>
      </c>
    </row>
    <row r="38" spans="1:10" s="6" customFormat="1" ht="13.25" customHeight="1">
      <c r="A38" s="117" t="s">
        <v>772</v>
      </c>
      <c r="E38" s="67"/>
    </row>
    <row r="39" spans="1:10" s="6" customFormat="1" ht="13.25" customHeight="1">
      <c r="A39" s="117" t="s">
        <v>642</v>
      </c>
      <c r="E39" s="67"/>
    </row>
    <row r="40" spans="1:10" ht="13.25" customHeight="1">
      <c r="A40" s="168" t="s">
        <v>643</v>
      </c>
      <c r="H40" s="6"/>
      <c r="J40" s="313" t="s">
        <v>547</v>
      </c>
    </row>
    <row r="41" spans="1:10" ht="10.25" customHeight="1">
      <c r="A41" s="6"/>
    </row>
  </sheetData>
  <phoneticPr fontId="0" type="noConversion"/>
  <pageMargins left="0.7" right="0.7" top="0.75" bottom="0.75" header="0.3" footer="0.3"/>
  <pageSetup firstPageNumber="73" orientation="portrait" useFirstPageNumber="1" r:id="rId1"/>
  <headerFooter alignWithMargins="0">
    <oddFooter>&amp;C&amp;P
Oil Crops Yearbook/OCS-2018
March 2018
Economic Research Service, USDA</oddFooter>
  </headerFooter>
  <ignoredErrors>
    <ignoredError sqref="E14:E36" formulaRange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G39"/>
  <sheetViews>
    <sheetView zoomScaleNormal="100" zoomScaleSheetLayoutView="100" workbookViewId="0"/>
  </sheetViews>
  <sheetFormatPr baseColWidth="10" defaultColWidth="8.75" defaultRowHeight="11"/>
  <cols>
    <col min="1" max="1" width="14.75" customWidth="1"/>
    <col min="2" max="6" width="19.75" customWidth="1"/>
  </cols>
  <sheetData>
    <row r="1" spans="1:6">
      <c r="A1" s="1" t="s">
        <v>534</v>
      </c>
      <c r="B1" s="1"/>
      <c r="C1" s="1"/>
      <c r="D1" s="1"/>
      <c r="E1" s="1"/>
      <c r="F1" s="1"/>
    </row>
    <row r="2" spans="1:6">
      <c r="A2" t="s">
        <v>318</v>
      </c>
    </row>
    <row r="3" spans="1:6">
      <c r="A3" s="1" t="s">
        <v>319</v>
      </c>
      <c r="B3" s="9" t="s">
        <v>214</v>
      </c>
      <c r="C3" s="9" t="s">
        <v>352</v>
      </c>
      <c r="D3" s="9" t="s">
        <v>368</v>
      </c>
      <c r="E3" s="9" t="s">
        <v>369</v>
      </c>
      <c r="F3" s="9" t="s">
        <v>151</v>
      </c>
    </row>
    <row r="4" spans="1:6" ht="12" customHeight="1">
      <c r="C4" s="312"/>
      <c r="D4" s="312" t="s">
        <v>91</v>
      </c>
      <c r="E4" s="312"/>
      <c r="F4" s="312"/>
    </row>
    <row r="5" spans="1:6" ht="12" customHeight="1">
      <c r="B5" s="38"/>
      <c r="C5" s="38"/>
      <c r="D5" s="38"/>
      <c r="E5" s="38"/>
      <c r="F5" s="38"/>
    </row>
    <row r="6" spans="1:6">
      <c r="A6" s="10">
        <v>1980</v>
      </c>
      <c r="B6" s="21">
        <v>1652.7</v>
      </c>
      <c r="C6" s="19">
        <v>25.273</v>
      </c>
      <c r="D6" s="21">
        <v>223.001</v>
      </c>
      <c r="E6" s="19">
        <v>104.059</v>
      </c>
      <c r="F6" s="21">
        <v>2038.951</v>
      </c>
    </row>
    <row r="7" spans="1:6">
      <c r="A7" s="10">
        <v>1981</v>
      </c>
      <c r="B7" s="21">
        <v>1685.4</v>
      </c>
      <c r="C7" s="19">
        <v>25.071999999999999</v>
      </c>
      <c r="D7" s="21">
        <v>213.56800000000001</v>
      </c>
      <c r="E7" s="19">
        <v>78.382000000000005</v>
      </c>
      <c r="F7" s="21">
        <v>2016.846</v>
      </c>
    </row>
    <row r="8" spans="1:6">
      <c r="A8" s="10">
        <v>1982</v>
      </c>
      <c r="B8" s="21">
        <v>1718</v>
      </c>
      <c r="C8" s="19">
        <v>21.358000000000001</v>
      </c>
      <c r="D8" s="21">
        <v>220.26599999999999</v>
      </c>
      <c r="E8" s="19">
        <v>28.672999999999998</v>
      </c>
      <c r="F8" s="21">
        <v>1997.2059999999999</v>
      </c>
    </row>
    <row r="9" spans="1:6">
      <c r="A9" s="10">
        <v>1983</v>
      </c>
      <c r="B9" s="21">
        <v>1548.8</v>
      </c>
      <c r="C9" s="19">
        <v>34.075000000000003</v>
      </c>
      <c r="D9" s="21">
        <v>211.63499999999999</v>
      </c>
      <c r="E9" s="19">
        <v>41.027000000000001</v>
      </c>
      <c r="F9" s="21">
        <v>1849.8240000000001</v>
      </c>
    </row>
    <row r="10" spans="1:6">
      <c r="A10" s="10">
        <v>1984</v>
      </c>
      <c r="B10" s="21">
        <v>1544.3</v>
      </c>
      <c r="C10" s="19">
        <v>26.17</v>
      </c>
      <c r="D10" s="21">
        <v>196.52699999999999</v>
      </c>
      <c r="E10" s="19">
        <v>38.473999999999997</v>
      </c>
      <c r="F10" s="21">
        <v>1841.5260000000001</v>
      </c>
    </row>
    <row r="11" spans="1:6">
      <c r="A11" s="10">
        <v>1985</v>
      </c>
      <c r="B11" s="21">
        <v>1627.6</v>
      </c>
      <c r="C11" s="19">
        <v>8</v>
      </c>
      <c r="D11" s="21">
        <v>220</v>
      </c>
      <c r="E11" s="19">
        <v>65.307000000000002</v>
      </c>
      <c r="F11" s="21">
        <v>1946.1510000000001</v>
      </c>
    </row>
    <row r="12" spans="1:6">
      <c r="A12" s="10">
        <v>1986</v>
      </c>
      <c r="B12" s="21">
        <v>1741.1</v>
      </c>
      <c r="C12" s="19">
        <v>23.6</v>
      </c>
      <c r="D12" s="21">
        <v>204</v>
      </c>
      <c r="E12" s="19">
        <v>48.256999999999998</v>
      </c>
      <c r="F12" s="21">
        <v>2041.0239999999999</v>
      </c>
    </row>
    <row r="13" spans="1:6">
      <c r="A13" s="10">
        <v>1987</v>
      </c>
      <c r="B13" s="21">
        <v>1614.6</v>
      </c>
      <c r="C13" s="19">
        <v>28</v>
      </c>
      <c r="D13" s="21">
        <v>247.9</v>
      </c>
      <c r="E13" s="19">
        <v>21.978000000000002</v>
      </c>
      <c r="F13" s="21">
        <v>1930.73</v>
      </c>
    </row>
    <row r="14" spans="1:6">
      <c r="A14" s="10">
        <v>1988</v>
      </c>
      <c r="B14" s="21">
        <v>1618.9</v>
      </c>
      <c r="C14" s="19" t="s">
        <v>370</v>
      </c>
      <c r="D14" s="21">
        <v>210.1</v>
      </c>
      <c r="E14" s="19">
        <v>35.000999999999998</v>
      </c>
      <c r="F14" s="21">
        <v>1894.422</v>
      </c>
    </row>
    <row r="15" spans="1:6">
      <c r="A15" s="10">
        <v>1989</v>
      </c>
      <c r="B15" s="21">
        <v>1572.9</v>
      </c>
      <c r="C15" s="19" t="s">
        <v>370</v>
      </c>
      <c r="D15" s="21">
        <v>213.9</v>
      </c>
      <c r="E15" s="19">
        <v>32.031999999999996</v>
      </c>
      <c r="F15" s="21">
        <v>1904.2909999999999</v>
      </c>
    </row>
    <row r="16" spans="1:6">
      <c r="A16" s="10">
        <v>1990</v>
      </c>
      <c r="B16" s="21">
        <v>1790.588</v>
      </c>
      <c r="C16" s="19" t="s">
        <v>370</v>
      </c>
      <c r="D16" s="21">
        <v>217.715</v>
      </c>
      <c r="E16" s="19">
        <v>33.231000000000002</v>
      </c>
      <c r="F16" s="21">
        <v>2158.761</v>
      </c>
    </row>
    <row r="17" spans="1:6">
      <c r="A17" s="10">
        <v>1991</v>
      </c>
      <c r="B17" s="21">
        <v>1852.6</v>
      </c>
      <c r="C17" s="19">
        <v>24.9</v>
      </c>
      <c r="D17" s="21">
        <v>196.3</v>
      </c>
      <c r="E17" s="19">
        <v>42.561</v>
      </c>
      <c r="F17" s="21">
        <v>2159.6</v>
      </c>
    </row>
    <row r="18" spans="1:6">
      <c r="A18" s="10">
        <v>1992</v>
      </c>
      <c r="B18" s="21">
        <v>1925.7</v>
      </c>
      <c r="C18" s="19">
        <v>24.1</v>
      </c>
      <c r="D18" s="21">
        <v>176.1</v>
      </c>
      <c r="E18" s="19">
        <v>36.737000000000002</v>
      </c>
      <c r="F18" s="21">
        <v>2174</v>
      </c>
    </row>
    <row r="19" spans="1:6">
      <c r="A19" s="10">
        <v>1993</v>
      </c>
      <c r="B19" s="21">
        <v>2013.1</v>
      </c>
      <c r="C19" s="19">
        <v>25.8</v>
      </c>
      <c r="D19" s="21">
        <v>160.80000000000001</v>
      </c>
      <c r="E19" s="19">
        <v>30.855</v>
      </c>
      <c r="F19" s="21">
        <v>2238.8000000000002</v>
      </c>
    </row>
    <row r="20" spans="1:6">
      <c r="A20" s="10">
        <v>1994</v>
      </c>
      <c r="B20" s="21">
        <v>1793.126</v>
      </c>
      <c r="C20" s="19" t="s">
        <v>370</v>
      </c>
      <c r="D20" s="19" t="s">
        <v>371</v>
      </c>
      <c r="E20" s="19">
        <v>41.677999999999997</v>
      </c>
      <c r="F20" s="21">
        <v>2002.759</v>
      </c>
    </row>
    <row r="21" spans="1:6">
      <c r="A21" s="10">
        <v>1995</v>
      </c>
      <c r="B21" s="21">
        <v>1683.7550000000001</v>
      </c>
      <c r="C21" s="19" t="s">
        <v>370</v>
      </c>
      <c r="D21" s="19" t="s">
        <v>371</v>
      </c>
      <c r="E21" s="19">
        <v>40.826999999999998</v>
      </c>
      <c r="F21" s="21">
        <v>1846.8689999999999</v>
      </c>
    </row>
    <row r="22" spans="1:6">
      <c r="A22" s="10">
        <v>1996</v>
      </c>
      <c r="B22" s="21">
        <v>1694.193</v>
      </c>
      <c r="C22" s="19" t="s">
        <v>370</v>
      </c>
      <c r="D22" s="21">
        <v>77.305999999999997</v>
      </c>
      <c r="E22" s="19">
        <v>27.992000000000001</v>
      </c>
      <c r="F22" s="21">
        <v>1816.2249999999999</v>
      </c>
    </row>
    <row r="23" spans="1:6">
      <c r="A23" s="10">
        <v>1997</v>
      </c>
      <c r="B23" s="21">
        <v>1649.617</v>
      </c>
      <c r="C23" s="19" t="s">
        <v>370</v>
      </c>
      <c r="D23" s="21">
        <v>60.56</v>
      </c>
      <c r="E23" s="19">
        <v>13.9</v>
      </c>
      <c r="F23" s="21">
        <v>1732.691</v>
      </c>
    </row>
    <row r="24" spans="1:6">
      <c r="A24" s="10">
        <v>1998</v>
      </c>
      <c r="B24" s="21">
        <v>1606.2149999999999</v>
      </c>
      <c r="C24" s="19" t="s">
        <v>370</v>
      </c>
      <c r="D24" s="21">
        <v>54.5</v>
      </c>
      <c r="E24" s="19">
        <v>21.509</v>
      </c>
      <c r="F24" s="21">
        <v>1691.72</v>
      </c>
    </row>
    <row r="25" spans="1:6">
      <c r="A25" s="71">
        <v>1999</v>
      </c>
      <c r="B25" s="75">
        <v>1574.4</v>
      </c>
      <c r="C25" s="76" t="s">
        <v>370</v>
      </c>
      <c r="D25" s="76" t="s">
        <v>371</v>
      </c>
      <c r="E25" s="76">
        <v>21.433</v>
      </c>
      <c r="F25" s="75">
        <v>1664.4</v>
      </c>
    </row>
    <row r="26" spans="1:6">
      <c r="A26" s="71">
        <v>2000</v>
      </c>
      <c r="B26" s="75">
        <v>1465</v>
      </c>
      <c r="C26" s="76" t="s">
        <v>370</v>
      </c>
      <c r="D26" s="21">
        <v>56.1</v>
      </c>
      <c r="E26" s="76">
        <v>12.2</v>
      </c>
      <c r="F26" s="75">
        <v>1546.5</v>
      </c>
    </row>
    <row r="27" spans="1:6">
      <c r="A27" s="71">
        <v>2001</v>
      </c>
      <c r="B27" s="75">
        <v>1297.7460000000001</v>
      </c>
      <c r="C27" s="76" t="s">
        <v>370</v>
      </c>
      <c r="D27" s="76" t="s">
        <v>370</v>
      </c>
      <c r="E27" s="76">
        <v>6.4859999999999998</v>
      </c>
      <c r="F27" s="75">
        <v>1393.94</v>
      </c>
    </row>
    <row r="28" spans="1:6">
      <c r="A28" s="71">
        <v>2002</v>
      </c>
      <c r="B28" s="75">
        <v>1212.133</v>
      </c>
      <c r="C28" s="76" t="s">
        <v>370</v>
      </c>
      <c r="D28" s="76" t="s">
        <v>370</v>
      </c>
      <c r="E28" s="76">
        <v>6.5</v>
      </c>
      <c r="F28" s="75">
        <v>1300.0840000000001</v>
      </c>
    </row>
    <row r="29" spans="1:6">
      <c r="A29" s="71">
        <v>2003</v>
      </c>
      <c r="B29" s="75">
        <v>1137.8820000000001</v>
      </c>
      <c r="C29" s="76" t="s">
        <v>370</v>
      </c>
      <c r="D29" s="76" t="s">
        <v>370</v>
      </c>
      <c r="E29" s="76">
        <v>15.6</v>
      </c>
      <c r="F29" s="75">
        <v>1207.3579999999999</v>
      </c>
    </row>
    <row r="30" spans="1:6">
      <c r="A30" s="71">
        <v>2004</v>
      </c>
      <c r="B30" s="75">
        <v>1227.4079999999999</v>
      </c>
      <c r="C30" s="76" t="s">
        <v>370</v>
      </c>
      <c r="D30" s="76" t="s">
        <v>370</v>
      </c>
      <c r="E30" s="76">
        <v>5.6</v>
      </c>
      <c r="F30" s="75">
        <v>1262.049</v>
      </c>
    </row>
    <row r="31" spans="1:6">
      <c r="A31" s="71">
        <v>2005</v>
      </c>
      <c r="B31" s="75">
        <v>848.23</v>
      </c>
      <c r="C31" s="76" t="s">
        <v>370</v>
      </c>
      <c r="D31" s="76" t="s">
        <v>370</v>
      </c>
      <c r="E31" s="76">
        <v>2.512</v>
      </c>
      <c r="F31" s="75">
        <v>896.25</v>
      </c>
    </row>
    <row r="32" spans="1:6">
      <c r="A32" s="71">
        <v>2006</v>
      </c>
      <c r="B32" s="75">
        <v>961.09299999999996</v>
      </c>
      <c r="C32" s="76" t="s">
        <v>370</v>
      </c>
      <c r="D32" s="76" t="s">
        <v>370</v>
      </c>
      <c r="E32" s="76" t="s">
        <v>370</v>
      </c>
      <c r="F32" s="75">
        <v>1033.414</v>
      </c>
    </row>
    <row r="33" spans="1:7">
      <c r="A33" s="71">
        <v>2007</v>
      </c>
      <c r="B33" s="75">
        <v>887.23900000000003</v>
      </c>
      <c r="C33" s="76" t="s">
        <v>370</v>
      </c>
      <c r="D33" s="76" t="s">
        <v>370</v>
      </c>
      <c r="E33" s="76" t="s">
        <v>370</v>
      </c>
      <c r="F33" s="75">
        <v>956.22400000000005</v>
      </c>
    </row>
    <row r="34" spans="1:7">
      <c r="A34" s="71">
        <v>2008</v>
      </c>
      <c r="B34" s="75" t="s">
        <v>370</v>
      </c>
      <c r="C34" s="76" t="s">
        <v>370</v>
      </c>
      <c r="D34" s="76" t="s">
        <v>370</v>
      </c>
      <c r="E34" s="76" t="s">
        <v>370</v>
      </c>
      <c r="F34" s="75">
        <v>921.49900000000002</v>
      </c>
    </row>
    <row r="35" spans="1:7">
      <c r="A35" s="71">
        <v>2009</v>
      </c>
      <c r="B35" s="75" t="s">
        <v>370</v>
      </c>
      <c r="C35" s="76" t="s">
        <v>370</v>
      </c>
      <c r="D35" s="76" t="s">
        <v>370</v>
      </c>
      <c r="E35" s="76" t="s">
        <v>370</v>
      </c>
      <c r="F35" s="75">
        <v>841.82399999999996</v>
      </c>
    </row>
    <row r="36" spans="1:7">
      <c r="A36" s="11">
        <v>2010</v>
      </c>
      <c r="B36" s="20" t="s">
        <v>370</v>
      </c>
      <c r="C36" s="20" t="s">
        <v>370</v>
      </c>
      <c r="D36" s="20" t="s">
        <v>370</v>
      </c>
      <c r="E36" s="145" t="s">
        <v>465</v>
      </c>
      <c r="F36" s="22">
        <v>803.18100000000004</v>
      </c>
    </row>
    <row r="37" spans="1:7" ht="13.25" customHeight="1">
      <c r="A37" s="117" t="s">
        <v>773</v>
      </c>
    </row>
    <row r="38" spans="1:7" ht="13.25" customHeight="1">
      <c r="A38" s="117" t="s">
        <v>620</v>
      </c>
    </row>
    <row r="39" spans="1:7" ht="10.25" customHeight="1">
      <c r="F39" s="313" t="s">
        <v>547</v>
      </c>
      <c r="G39" s="175"/>
    </row>
  </sheetData>
  <phoneticPr fontId="0" type="noConversion"/>
  <pageMargins left="0.7" right="0.7" top="0.75" bottom="0.75" header="0.3" footer="0.3"/>
  <pageSetup scale="93" firstPageNumber="7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P63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1.75" customWidth="1"/>
    <col min="7" max="12" width="11.75" customWidth="1"/>
  </cols>
  <sheetData>
    <row r="1" spans="1:16">
      <c r="A1" s="1" t="s">
        <v>717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>
      <c r="K2" s="7" t="s">
        <v>349</v>
      </c>
    </row>
    <row r="3" spans="1:16">
      <c r="B3" s="1"/>
      <c r="C3" s="318" t="s">
        <v>119</v>
      </c>
      <c r="D3" s="318"/>
      <c r="E3" s="318"/>
      <c r="F3" s="37"/>
      <c r="G3" s="318"/>
      <c r="H3" s="341" t="s">
        <v>117</v>
      </c>
      <c r="I3" s="318"/>
      <c r="J3" s="318"/>
      <c r="K3" s="7" t="s">
        <v>366</v>
      </c>
      <c r="L3" s="7" t="s">
        <v>367</v>
      </c>
    </row>
    <row r="4" spans="1:16">
      <c r="A4" t="s">
        <v>356</v>
      </c>
      <c r="B4" s="7" t="s">
        <v>347</v>
      </c>
      <c r="C4" s="7" t="s">
        <v>66</v>
      </c>
      <c r="D4" s="188" t="s">
        <v>88</v>
      </c>
      <c r="E4" s="7" t="s">
        <v>3</v>
      </c>
      <c r="F4" s="7"/>
      <c r="G4" s="10" t="s">
        <v>142</v>
      </c>
      <c r="H4" s="187" t="s">
        <v>90</v>
      </c>
      <c r="I4" s="188" t="s">
        <v>3</v>
      </c>
      <c r="J4" s="7" t="s">
        <v>364</v>
      </c>
      <c r="K4" s="7" t="s">
        <v>357</v>
      </c>
      <c r="L4" s="7"/>
    </row>
    <row r="5" spans="1:16">
      <c r="A5" s="1" t="s">
        <v>355</v>
      </c>
      <c r="B5" s="9" t="s">
        <v>348</v>
      </c>
      <c r="C5" s="9" t="s">
        <v>244</v>
      </c>
      <c r="D5" s="318"/>
      <c r="E5" s="1"/>
      <c r="F5" s="1"/>
      <c r="G5" s="1"/>
      <c r="H5" s="1"/>
      <c r="I5" s="1"/>
      <c r="J5" s="9" t="s">
        <v>402</v>
      </c>
      <c r="K5" s="9" t="s">
        <v>365</v>
      </c>
      <c r="L5" s="9"/>
    </row>
    <row r="6" spans="1:16">
      <c r="C6" s="315"/>
      <c r="D6" s="315"/>
      <c r="E6" s="315"/>
      <c r="F6" s="315"/>
      <c r="G6" s="315" t="s">
        <v>765</v>
      </c>
      <c r="H6" s="315"/>
      <c r="I6" s="315"/>
      <c r="J6" s="315"/>
      <c r="K6" s="7" t="s">
        <v>95</v>
      </c>
      <c r="L6" s="7" t="s">
        <v>521</v>
      </c>
    </row>
    <row r="7" spans="1:16">
      <c r="B7" s="136"/>
      <c r="C7" s="171"/>
      <c r="D7" s="319"/>
      <c r="E7" s="171"/>
      <c r="F7" s="171"/>
      <c r="G7" s="171"/>
      <c r="H7" s="171"/>
      <c r="I7" s="171"/>
      <c r="J7" s="171"/>
      <c r="K7" s="7"/>
      <c r="L7" s="7"/>
      <c r="M7" s="136"/>
    </row>
    <row r="8" spans="1:16">
      <c r="A8" s="10">
        <v>1980</v>
      </c>
      <c r="B8" s="12">
        <v>49.906999999999996</v>
      </c>
      <c r="C8" s="39">
        <v>1207</v>
      </c>
      <c r="D8" s="39">
        <v>0</v>
      </c>
      <c r="E8" s="39">
        <f>SUM(B8:D8)</f>
        <v>1256.9069999999999</v>
      </c>
      <c r="F8" s="39"/>
      <c r="G8" s="56">
        <f>I8-H8</f>
        <v>1115.0629999999999</v>
      </c>
      <c r="H8" s="12">
        <v>92.402000000000001</v>
      </c>
      <c r="I8" s="39">
        <f>E8-B9</f>
        <v>1207.4649999999999</v>
      </c>
      <c r="J8" s="39">
        <v>588.08199999999999</v>
      </c>
      <c r="K8" s="99">
        <f>+J8/227.726</f>
        <v>2.5824104406172328</v>
      </c>
      <c r="L8" s="35">
        <v>20.72</v>
      </c>
      <c r="M8" s="39"/>
      <c r="N8" s="39"/>
      <c r="O8" s="39"/>
      <c r="P8" s="39"/>
    </row>
    <row r="9" spans="1:16">
      <c r="A9" s="10">
        <v>1981</v>
      </c>
      <c r="B9" s="12">
        <v>49.442</v>
      </c>
      <c r="C9" s="39">
        <v>1159</v>
      </c>
      <c r="D9" s="39">
        <v>0</v>
      </c>
      <c r="E9" s="39">
        <f t="shared" ref="E9:E44" si="0">SUM(B9:D9)</f>
        <v>1208.442</v>
      </c>
      <c r="F9" s="39"/>
      <c r="G9" s="56">
        <f t="shared" ref="G9:G43" si="1">I9-H9</f>
        <v>1021.7070000000001</v>
      </c>
      <c r="H9" s="12">
        <v>149.69299999999998</v>
      </c>
      <c r="I9" s="39">
        <f t="shared" ref="I9:I44" si="2">E9-B10</f>
        <v>1171.4000000000001</v>
      </c>
      <c r="J9" s="39">
        <v>573.43599999999992</v>
      </c>
      <c r="K9" s="99">
        <f>+J9/229.966</f>
        <v>2.4935686144908376</v>
      </c>
      <c r="L9" s="35">
        <v>20.329999999999998</v>
      </c>
      <c r="M9" s="39"/>
      <c r="N9" s="39"/>
      <c r="O9" s="39"/>
      <c r="P9" s="39"/>
    </row>
    <row r="10" spans="1:16">
      <c r="A10" s="10">
        <v>1982</v>
      </c>
      <c r="B10" s="12">
        <v>37.042000000000002</v>
      </c>
      <c r="C10" s="39">
        <v>1011</v>
      </c>
      <c r="D10" s="39">
        <v>0</v>
      </c>
      <c r="E10" s="39">
        <f t="shared" si="0"/>
        <v>1048.0419999999999</v>
      </c>
      <c r="F10" s="39"/>
      <c r="G10" s="56">
        <f t="shared" si="1"/>
        <v>907.59199999999998</v>
      </c>
      <c r="H10" s="12">
        <v>102.97299999999998</v>
      </c>
      <c r="I10" s="39">
        <f t="shared" si="2"/>
        <v>1010.5649999999999</v>
      </c>
      <c r="J10" s="39">
        <v>585.48</v>
      </c>
      <c r="K10" s="99">
        <f>+J10/232.188</f>
        <v>2.5215773424983206</v>
      </c>
      <c r="L10" s="35">
        <v>21.4</v>
      </c>
      <c r="M10" s="39"/>
      <c r="N10" s="39"/>
      <c r="O10" s="39"/>
      <c r="P10" s="39"/>
    </row>
    <row r="11" spans="1:16">
      <c r="A11" s="10">
        <v>1983</v>
      </c>
      <c r="B11" s="12">
        <v>37.476999999999997</v>
      </c>
      <c r="C11" s="39">
        <v>973</v>
      </c>
      <c r="D11" s="39">
        <v>0</v>
      </c>
      <c r="E11" s="39">
        <f t="shared" si="0"/>
        <v>1010.477</v>
      </c>
      <c r="F11" s="39"/>
      <c r="G11" s="56">
        <f t="shared" si="1"/>
        <v>887.66700000000003</v>
      </c>
      <c r="H11" s="12">
        <v>88.616</v>
      </c>
      <c r="I11" s="39">
        <f t="shared" si="2"/>
        <v>976.28300000000002</v>
      </c>
      <c r="J11" s="39">
        <v>487.38100000000003</v>
      </c>
      <c r="K11" s="99">
        <f>+J11/234.307</f>
        <v>2.080095771786588</v>
      </c>
      <c r="L11" s="35">
        <v>17.600000000000001</v>
      </c>
      <c r="M11" s="39"/>
      <c r="N11" s="39"/>
      <c r="O11" s="39"/>
      <c r="P11" s="39"/>
    </row>
    <row r="12" spans="1:16">
      <c r="A12" s="10">
        <v>1984</v>
      </c>
      <c r="B12" s="12">
        <v>34.194000000000003</v>
      </c>
      <c r="C12" s="39">
        <v>939</v>
      </c>
      <c r="D12" s="39">
        <v>2.181</v>
      </c>
      <c r="E12" s="39">
        <f t="shared" si="0"/>
        <v>975.375</v>
      </c>
      <c r="F12" s="39"/>
      <c r="G12" s="56">
        <f t="shared" si="1"/>
        <v>847.68700000000001</v>
      </c>
      <c r="H12" s="12">
        <v>88.972999999999999</v>
      </c>
      <c r="I12" s="39">
        <f t="shared" si="2"/>
        <v>936.66</v>
      </c>
      <c r="J12" s="39">
        <v>492.91200000000015</v>
      </c>
      <c r="K12" s="99">
        <f>+J12/236.348</f>
        <v>2.0855348892311341</v>
      </c>
      <c r="L12" s="35">
        <v>28.23</v>
      </c>
      <c r="M12" s="39"/>
      <c r="N12" s="39"/>
      <c r="O12" s="39"/>
      <c r="P12" s="39"/>
    </row>
    <row r="13" spans="1:16">
      <c r="A13" s="10">
        <v>1985</v>
      </c>
      <c r="B13" s="12">
        <v>38.715000000000003</v>
      </c>
      <c r="C13" s="39">
        <v>927</v>
      </c>
      <c r="D13" s="39">
        <v>2.1910000000000003</v>
      </c>
      <c r="E13" s="39">
        <f t="shared" si="0"/>
        <v>967.90600000000006</v>
      </c>
      <c r="F13" s="39"/>
      <c r="G13" s="56">
        <f t="shared" si="1"/>
        <v>827.94100000000003</v>
      </c>
      <c r="H13" s="12">
        <v>104.52800000000002</v>
      </c>
      <c r="I13" s="39">
        <f t="shared" si="2"/>
        <v>932.46900000000005</v>
      </c>
      <c r="J13" s="39">
        <v>427.42499999999995</v>
      </c>
      <c r="K13" s="99">
        <f>+J13/238.466</f>
        <v>1.7923938842434559</v>
      </c>
      <c r="L13" s="35">
        <v>19.55</v>
      </c>
      <c r="M13" s="39"/>
      <c r="N13" s="39"/>
      <c r="O13" s="39"/>
      <c r="P13" s="39"/>
    </row>
    <row r="14" spans="1:16">
      <c r="A14" s="10">
        <v>1986</v>
      </c>
      <c r="B14" s="12">
        <v>35.436999999999998</v>
      </c>
      <c r="C14" s="39">
        <v>875</v>
      </c>
      <c r="D14" s="39">
        <v>1.4790000000000001</v>
      </c>
      <c r="E14" s="39">
        <f t="shared" si="0"/>
        <v>911.91600000000005</v>
      </c>
      <c r="F14" s="39"/>
      <c r="G14" s="56">
        <f t="shared" si="1"/>
        <v>785.50000000000011</v>
      </c>
      <c r="H14" s="12">
        <v>104.468</v>
      </c>
      <c r="I14" s="39">
        <f t="shared" si="2"/>
        <v>889.96800000000007</v>
      </c>
      <c r="J14" s="39">
        <v>417.65100000000007</v>
      </c>
      <c r="K14" s="99">
        <f>+J14/240.651</f>
        <v>1.7355049428425398</v>
      </c>
      <c r="L14" s="35">
        <v>13.69</v>
      </c>
      <c r="M14" s="39"/>
      <c r="N14" s="39"/>
      <c r="O14" s="39"/>
      <c r="P14" s="39"/>
    </row>
    <row r="15" spans="1:16">
      <c r="A15" s="10">
        <v>1987</v>
      </c>
      <c r="B15" s="12">
        <v>21.948</v>
      </c>
      <c r="C15" s="39">
        <v>863</v>
      </c>
      <c r="D15" s="39">
        <v>1.0990000000000002</v>
      </c>
      <c r="E15" s="39">
        <f t="shared" si="0"/>
        <v>886.04700000000003</v>
      </c>
      <c r="F15" s="39"/>
      <c r="G15" s="56">
        <f t="shared" si="1"/>
        <v>745.79399999999998</v>
      </c>
      <c r="H15" s="12">
        <v>107.206</v>
      </c>
      <c r="I15" s="39">
        <f t="shared" si="2"/>
        <v>853</v>
      </c>
      <c r="J15" s="39">
        <v>441.58699999999999</v>
      </c>
      <c r="K15" s="99">
        <f>+J15/242.804</f>
        <v>1.8186973855455428</v>
      </c>
      <c r="L15" s="35">
        <v>14.79</v>
      </c>
      <c r="M15" s="39"/>
      <c r="N15" s="39"/>
      <c r="O15" s="39"/>
      <c r="P15" s="39"/>
    </row>
    <row r="16" spans="1:16">
      <c r="A16" s="10">
        <v>1988</v>
      </c>
      <c r="B16" s="12">
        <v>33.046999999999997</v>
      </c>
      <c r="C16" s="39">
        <v>932</v>
      </c>
      <c r="D16" s="39">
        <v>1.0489999999999999</v>
      </c>
      <c r="E16" s="39">
        <f t="shared" si="0"/>
        <v>966.096</v>
      </c>
      <c r="F16" s="39"/>
      <c r="G16" s="56">
        <f t="shared" si="1"/>
        <v>801.71199999999999</v>
      </c>
      <c r="H16" s="12">
        <v>127.03399999999999</v>
      </c>
      <c r="I16" s="39">
        <f t="shared" si="2"/>
        <v>928.74599999999998</v>
      </c>
      <c r="J16" s="39">
        <v>434.29899999999992</v>
      </c>
      <c r="K16" s="99">
        <f>+J16/245.021</f>
        <v>1.7724970512731559</v>
      </c>
      <c r="L16" s="35">
        <v>16.309999999999999</v>
      </c>
      <c r="M16" s="39"/>
      <c r="N16" s="39"/>
      <c r="O16" s="39"/>
      <c r="P16" s="39"/>
    </row>
    <row r="17" spans="1:16">
      <c r="A17" s="10">
        <v>1989</v>
      </c>
      <c r="B17" s="12">
        <v>37.35</v>
      </c>
      <c r="C17" s="39">
        <v>850.07228500000008</v>
      </c>
      <c r="D17" s="39">
        <v>1.4067626843339998</v>
      </c>
      <c r="E17" s="39">
        <f t="shared" si="0"/>
        <v>888.82904768433411</v>
      </c>
      <c r="F17" s="39"/>
      <c r="G17" s="56">
        <f t="shared" si="1"/>
        <v>746.43538547192009</v>
      </c>
      <c r="H17" s="12">
        <v>110.393662212414</v>
      </c>
      <c r="I17" s="39">
        <f t="shared" si="2"/>
        <v>856.82904768433411</v>
      </c>
      <c r="J17" s="39">
        <v>422.67238547192005</v>
      </c>
      <c r="K17" s="99">
        <f>+J17/247.342</f>
        <v>1.7088581214347747</v>
      </c>
      <c r="L17" s="35">
        <v>14.09</v>
      </c>
      <c r="M17" s="39"/>
      <c r="N17" s="39"/>
      <c r="O17" s="39"/>
      <c r="P17" s="39"/>
    </row>
    <row r="18" spans="1:16">
      <c r="A18" s="10">
        <v>1990</v>
      </c>
      <c r="B18" s="12">
        <v>32</v>
      </c>
      <c r="C18" s="39">
        <v>743.05269500000009</v>
      </c>
      <c r="D18" s="39">
        <v>2.9229799999999999</v>
      </c>
      <c r="E18" s="39">
        <f t="shared" si="0"/>
        <v>777.97567500000014</v>
      </c>
      <c r="F18" s="39"/>
      <c r="G18" s="56">
        <f t="shared" si="1"/>
        <v>655.46050500000013</v>
      </c>
      <c r="H18" s="12">
        <v>97.255170000000007</v>
      </c>
      <c r="I18" s="39">
        <f t="shared" si="2"/>
        <v>752.71567500000015</v>
      </c>
      <c r="J18" s="39">
        <v>291.11750500000011</v>
      </c>
      <c r="K18" s="99">
        <f>+J18/250.132</f>
        <v>1.1638555042937333</v>
      </c>
      <c r="L18" s="35">
        <v>13.3</v>
      </c>
      <c r="M18" s="39"/>
      <c r="N18" s="39"/>
      <c r="O18" s="39"/>
      <c r="P18" s="39"/>
    </row>
    <row r="19" spans="1:16">
      <c r="A19" s="10">
        <v>1991</v>
      </c>
      <c r="B19" s="12">
        <v>25.26</v>
      </c>
      <c r="C19" s="39">
        <v>776.995135</v>
      </c>
      <c r="D19" s="39">
        <v>2.7531999999999996</v>
      </c>
      <c r="E19" s="39">
        <f t="shared" si="0"/>
        <v>805.00833499999999</v>
      </c>
      <c r="F19" s="39"/>
      <c r="G19" s="56">
        <f t="shared" si="1"/>
        <v>646.984195</v>
      </c>
      <c r="H19" s="12">
        <v>120.60314</v>
      </c>
      <c r="I19" s="39">
        <f t="shared" si="2"/>
        <v>767.58733499999994</v>
      </c>
      <c r="J19" s="39">
        <v>253.93119500000009</v>
      </c>
      <c r="K19" s="99">
        <f>+J19/253.493</f>
        <v>1.0017286276149642</v>
      </c>
      <c r="L19" s="35">
        <v>13.47</v>
      </c>
      <c r="M19" s="39"/>
      <c r="N19" s="39"/>
      <c r="O19" s="39"/>
      <c r="P19" s="39"/>
    </row>
    <row r="20" spans="1:16">
      <c r="A20" s="10">
        <v>1992</v>
      </c>
      <c r="B20" s="12">
        <v>37.420999999999999</v>
      </c>
      <c r="C20" s="39">
        <v>838.30971</v>
      </c>
      <c r="D20" s="39">
        <v>2.4576739999999999</v>
      </c>
      <c r="E20" s="39">
        <f t="shared" si="0"/>
        <v>878.18838400000004</v>
      </c>
      <c r="F20" s="39"/>
      <c r="G20" s="56">
        <f t="shared" si="1"/>
        <v>719.19815900000003</v>
      </c>
      <c r="H20" s="12">
        <v>136.27022499999998</v>
      </c>
      <c r="I20" s="39">
        <f t="shared" si="2"/>
        <v>855.46838400000001</v>
      </c>
      <c r="J20" s="39">
        <v>239.48515900000015</v>
      </c>
      <c r="K20" s="99">
        <f>+J20/256.894</f>
        <v>0.93223336862674933</v>
      </c>
      <c r="L20" s="35">
        <v>13.3</v>
      </c>
      <c r="M20" s="39"/>
      <c r="N20" s="39"/>
      <c r="O20" s="39"/>
      <c r="P20" s="39"/>
    </row>
    <row r="21" spans="1:16">
      <c r="A21" s="10">
        <v>1993</v>
      </c>
      <c r="B21" s="12">
        <v>22.72</v>
      </c>
      <c r="C21" s="39">
        <v>801.26045299999998</v>
      </c>
      <c r="D21" s="39">
        <v>3.098055</v>
      </c>
      <c r="E21" s="39">
        <f t="shared" si="0"/>
        <v>827.07850800000006</v>
      </c>
      <c r="F21" s="39"/>
      <c r="G21" s="56">
        <f t="shared" si="1"/>
        <v>674.93820100000016</v>
      </c>
      <c r="H21" s="12">
        <v>114.42630699999999</v>
      </c>
      <c r="I21" s="39">
        <f t="shared" si="2"/>
        <v>789.36450800000011</v>
      </c>
      <c r="J21" s="39">
        <v>200.63820100000007</v>
      </c>
      <c r="K21" s="99">
        <f>+J21/260.255</f>
        <v>0.7709292847399668</v>
      </c>
      <c r="L21" s="35">
        <v>15.42</v>
      </c>
      <c r="M21" s="39"/>
      <c r="N21" s="39"/>
      <c r="O21" s="39"/>
      <c r="P21" s="39"/>
    </row>
    <row r="22" spans="1:16">
      <c r="A22" s="10">
        <v>1994</v>
      </c>
      <c r="B22" s="12">
        <v>37.713999999999999</v>
      </c>
      <c r="C22" s="39">
        <v>743.75176700000009</v>
      </c>
      <c r="D22" s="39">
        <v>2.745319190274</v>
      </c>
      <c r="E22" s="39">
        <f t="shared" si="0"/>
        <v>784.21108619027416</v>
      </c>
      <c r="F22" s="39"/>
      <c r="G22" s="56">
        <f t="shared" si="1"/>
        <v>606.60077201482227</v>
      </c>
      <c r="H22" s="12">
        <v>136.99831417545198</v>
      </c>
      <c r="I22" s="39">
        <f t="shared" si="2"/>
        <v>743.59908619027419</v>
      </c>
      <c r="J22" s="39">
        <v>154.60077201482204</v>
      </c>
      <c r="K22" s="99">
        <f>+J22/263.436</f>
        <v>0.58686273711573989</v>
      </c>
      <c r="L22" s="35">
        <v>17.53</v>
      </c>
      <c r="M22" s="39"/>
      <c r="N22" s="39"/>
      <c r="O22" s="39"/>
      <c r="P22" s="39"/>
    </row>
    <row r="23" spans="1:16">
      <c r="A23" s="10">
        <v>1995</v>
      </c>
      <c r="B23" s="12">
        <v>40.612000000000002</v>
      </c>
      <c r="C23" s="39">
        <v>714.64624600000002</v>
      </c>
      <c r="D23" s="39">
        <v>1.4571890033399999</v>
      </c>
      <c r="E23" s="39">
        <f t="shared" si="0"/>
        <v>756.71543500333996</v>
      </c>
      <c r="F23" s="39"/>
      <c r="G23" s="56">
        <f t="shared" si="1"/>
        <v>594.31062084715199</v>
      </c>
      <c r="H23" s="12">
        <v>124.03281415618804</v>
      </c>
      <c r="I23" s="39">
        <f t="shared" si="2"/>
        <v>718.34343500334001</v>
      </c>
      <c r="J23" s="39">
        <v>106.17222921558604</v>
      </c>
      <c r="K23" s="99">
        <f>+J23/266.557</f>
        <v>0.39830966440793542</v>
      </c>
      <c r="L23" s="35">
        <v>20.260000000000002</v>
      </c>
      <c r="M23" s="39"/>
      <c r="N23" s="39"/>
      <c r="O23" s="39"/>
      <c r="P23" s="39"/>
    </row>
    <row r="24" spans="1:16">
      <c r="A24" s="10">
        <v>1996</v>
      </c>
      <c r="B24" s="12">
        <v>38.372</v>
      </c>
      <c r="C24" s="39">
        <v>679.5079320000001</v>
      </c>
      <c r="D24" s="39">
        <v>1.4931948898439997</v>
      </c>
      <c r="E24" s="39">
        <f t="shared" si="0"/>
        <v>719.373126889844</v>
      </c>
      <c r="F24" s="39"/>
      <c r="G24" s="56">
        <f t="shared" si="1"/>
        <v>599.69656941324797</v>
      </c>
      <c r="H24" s="12">
        <v>100.72855747659602</v>
      </c>
      <c r="I24" s="39">
        <f t="shared" si="2"/>
        <v>700.42512688984402</v>
      </c>
      <c r="J24" s="39">
        <v>151.80156941324805</v>
      </c>
      <c r="K24" s="99">
        <f>+J24/269.667</f>
        <v>0.56292230570758772</v>
      </c>
      <c r="L24" s="35">
        <v>21.9</v>
      </c>
      <c r="M24" s="39"/>
      <c r="N24" s="39"/>
      <c r="O24" s="39"/>
      <c r="P24" s="39"/>
    </row>
    <row r="25" spans="1:16">
      <c r="A25" s="10">
        <v>1997</v>
      </c>
      <c r="B25" s="12">
        <v>18.948</v>
      </c>
      <c r="C25" s="39">
        <v>682.48304200000007</v>
      </c>
      <c r="D25" s="39">
        <v>1.22359827933</v>
      </c>
      <c r="E25" s="39">
        <f t="shared" si="0"/>
        <v>702.65464027933001</v>
      </c>
      <c r="F25" s="39"/>
      <c r="G25" s="56">
        <f t="shared" si="1"/>
        <v>590.08195259490594</v>
      </c>
      <c r="H25" s="12">
        <v>90.419687684424019</v>
      </c>
      <c r="I25" s="39">
        <f t="shared" si="2"/>
        <v>680.50164027932999</v>
      </c>
      <c r="J25" s="39">
        <v>209.04795259490606</v>
      </c>
      <c r="K25" s="99">
        <f>+J25/272.912</f>
        <v>0.76599032873199446</v>
      </c>
      <c r="L25" s="35">
        <v>23.42</v>
      </c>
      <c r="M25" s="39"/>
      <c r="N25" s="39"/>
      <c r="O25" s="39"/>
      <c r="P25" s="39"/>
    </row>
    <row r="26" spans="1:16">
      <c r="A26" s="10">
        <v>1998</v>
      </c>
      <c r="B26" s="12">
        <v>22.152999999999999</v>
      </c>
      <c r="C26" s="39">
        <v>743.88144199999999</v>
      </c>
      <c r="D26" s="39">
        <v>2.2460931444420003</v>
      </c>
      <c r="E26" s="39">
        <f t="shared" si="0"/>
        <v>768.28053514444207</v>
      </c>
      <c r="F26" s="39"/>
      <c r="G26" s="56">
        <f t="shared" si="1"/>
        <v>608.48239822002608</v>
      </c>
      <c r="H26" s="12">
        <v>131.445136924416</v>
      </c>
      <c r="I26" s="39">
        <f t="shared" si="2"/>
        <v>739.92753514444212</v>
      </c>
      <c r="J26" s="39">
        <v>195.58539822002606</v>
      </c>
      <c r="K26" s="99">
        <f>+J26/276.115</f>
        <v>0.70834760233969929</v>
      </c>
      <c r="L26" s="35">
        <v>17.86</v>
      </c>
      <c r="M26" s="39"/>
      <c r="N26" s="39"/>
      <c r="O26" s="39"/>
      <c r="P26" s="39"/>
    </row>
    <row r="27" spans="1:16">
      <c r="A27" s="71">
        <v>1999</v>
      </c>
      <c r="B27" s="56">
        <v>28.353000000000002</v>
      </c>
      <c r="C27" s="84">
        <v>735.1751680000001</v>
      </c>
      <c r="D27" s="84">
        <v>1.824009444054</v>
      </c>
      <c r="E27" s="39">
        <f t="shared" si="0"/>
        <v>765.35217744405406</v>
      </c>
      <c r="F27" s="84"/>
      <c r="G27" s="56">
        <f t="shared" si="1"/>
        <v>591.24050537986614</v>
      </c>
      <c r="H27" s="56">
        <v>147.43267206418798</v>
      </c>
      <c r="I27" s="39">
        <f t="shared" si="2"/>
        <v>738.67317744405409</v>
      </c>
      <c r="J27" s="39">
        <v>202.47850537986605</v>
      </c>
      <c r="K27" s="99">
        <f>+J27/279.295</f>
        <v>0.72496287215978106</v>
      </c>
      <c r="L27" s="35">
        <v>14.909999999999998</v>
      </c>
      <c r="M27" s="39"/>
      <c r="N27" s="39"/>
      <c r="O27" s="39"/>
      <c r="P27" s="39"/>
    </row>
    <row r="28" spans="1:16">
      <c r="A28" s="71">
        <v>2000</v>
      </c>
      <c r="B28" s="56">
        <v>26.678999999999998</v>
      </c>
      <c r="C28" s="84">
        <v>718.48378000000002</v>
      </c>
      <c r="D28" s="84">
        <v>2.4835265245980001</v>
      </c>
      <c r="E28" s="39">
        <f t="shared" si="0"/>
        <v>747.646306524598</v>
      </c>
      <c r="F28" s="84"/>
      <c r="G28" s="56">
        <f t="shared" si="1"/>
        <v>557.50655144090194</v>
      </c>
      <c r="H28" s="56">
        <v>173.93975508369599</v>
      </c>
      <c r="I28" s="39">
        <f t="shared" si="2"/>
        <v>731.44630652459796</v>
      </c>
      <c r="J28" s="39">
        <v>221.02555144090203</v>
      </c>
      <c r="K28" s="99">
        <f>+J28/282.385</f>
        <v>0.78270995782673314</v>
      </c>
      <c r="L28" s="35">
        <v>12.25</v>
      </c>
      <c r="M28" s="39"/>
      <c r="N28" s="39"/>
      <c r="O28" s="39"/>
      <c r="P28" s="39"/>
    </row>
    <row r="29" spans="1:16">
      <c r="A29" s="71">
        <v>2001</v>
      </c>
      <c r="B29" s="56">
        <v>16.2</v>
      </c>
      <c r="C29" s="84">
        <v>724.190292</v>
      </c>
      <c r="D29" s="84">
        <v>3.2403181416480002</v>
      </c>
      <c r="E29" s="39">
        <f t="shared" si="0"/>
        <v>743.63061014164805</v>
      </c>
      <c r="F29" s="84"/>
      <c r="G29" s="56">
        <f t="shared" si="1"/>
        <v>626.68004273246208</v>
      </c>
      <c r="H29" s="56">
        <v>103.32856740918599</v>
      </c>
      <c r="I29" s="39">
        <f t="shared" si="2"/>
        <v>730.00861014164809</v>
      </c>
      <c r="J29" s="39">
        <v>325.47404273246201</v>
      </c>
      <c r="K29" s="99">
        <f>+J29/285.309</f>
        <v>1.140777342223561</v>
      </c>
      <c r="L29" s="35">
        <v>14.93</v>
      </c>
      <c r="M29" s="39"/>
      <c r="N29" s="39"/>
      <c r="O29" s="39"/>
      <c r="P29" s="39"/>
    </row>
    <row r="30" spans="1:16">
      <c r="A30" s="71">
        <v>2002</v>
      </c>
      <c r="B30" s="56">
        <v>13.622</v>
      </c>
      <c r="C30" s="84">
        <v>743.72054400000013</v>
      </c>
      <c r="D30" s="84">
        <v>8.3558480732999989</v>
      </c>
      <c r="E30" s="39">
        <f t="shared" si="0"/>
        <v>765.69839207330006</v>
      </c>
      <c r="F30" s="84"/>
      <c r="G30" s="56">
        <f t="shared" si="1"/>
        <v>670.94937082460604</v>
      </c>
      <c r="H30" s="56">
        <v>84.22202124869402</v>
      </c>
      <c r="I30" s="39">
        <f t="shared" si="2"/>
        <v>755.17139207330001</v>
      </c>
      <c r="J30" s="39">
        <v>370.31737082460597</v>
      </c>
      <c r="K30" s="99">
        <f>+J30/288.105</f>
        <v>1.2853555850283958</v>
      </c>
      <c r="L30" s="35">
        <v>14.22</v>
      </c>
      <c r="M30" s="39"/>
      <c r="N30" s="39"/>
      <c r="O30" s="39"/>
      <c r="P30" s="39"/>
    </row>
    <row r="31" spans="1:16">
      <c r="A31" s="71">
        <v>2003</v>
      </c>
      <c r="B31" s="56">
        <v>10.526999999999999</v>
      </c>
      <c r="C31" s="84">
        <v>752.52086000000008</v>
      </c>
      <c r="D31" s="84">
        <v>7.1872947960660012</v>
      </c>
      <c r="E31" s="39">
        <f t="shared" si="0"/>
        <v>770.23515479606613</v>
      </c>
      <c r="F31" s="84"/>
      <c r="G31" s="56">
        <f t="shared" si="1"/>
        <v>639.61561525048023</v>
      </c>
      <c r="H31" s="56">
        <v>117.319539545586</v>
      </c>
      <c r="I31" s="39">
        <f t="shared" si="2"/>
        <v>756.93515479606617</v>
      </c>
      <c r="J31" s="39">
        <v>368.51761525047999</v>
      </c>
      <c r="K31" s="99">
        <f>+J31/290.82</f>
        <v>1.2671673724313322</v>
      </c>
      <c r="L31" s="35">
        <v>20.63</v>
      </c>
      <c r="M31" s="39"/>
      <c r="N31" s="39"/>
      <c r="O31" s="39"/>
      <c r="P31" s="39"/>
    </row>
    <row r="32" spans="1:16">
      <c r="A32" s="71">
        <v>2004</v>
      </c>
      <c r="B32" s="56">
        <v>13.3</v>
      </c>
      <c r="C32" s="84">
        <v>772.47290400000009</v>
      </c>
      <c r="D32" s="84">
        <v>4.9995425636100004</v>
      </c>
      <c r="E32" s="39">
        <f t="shared" si="0"/>
        <v>790.77244656361006</v>
      </c>
      <c r="F32" s="84"/>
      <c r="G32" s="56">
        <f t="shared" si="1"/>
        <v>487.79641512037597</v>
      </c>
      <c r="H32" s="56">
        <v>289.20903144323404</v>
      </c>
      <c r="I32" s="39">
        <f t="shared" si="2"/>
        <v>777.00544656361001</v>
      </c>
      <c r="J32" s="39">
        <v>220.18941512037597</v>
      </c>
      <c r="K32" s="99">
        <f>+J32/293.463</f>
        <v>0.75031406044501681</v>
      </c>
      <c r="L32" s="35">
        <v>26.35</v>
      </c>
      <c r="M32" s="39"/>
      <c r="N32" s="39"/>
      <c r="O32" s="39"/>
      <c r="P32" s="39"/>
    </row>
    <row r="33" spans="1:16">
      <c r="A33" s="71">
        <v>2005</v>
      </c>
      <c r="B33" s="56">
        <v>13.766999999999999</v>
      </c>
      <c r="C33" s="84">
        <v>779.18800399999998</v>
      </c>
      <c r="D33" s="84">
        <v>4.9972762121940004</v>
      </c>
      <c r="E33" s="39">
        <f t="shared" si="0"/>
        <v>797.95228021219407</v>
      </c>
      <c r="F33" s="84"/>
      <c r="G33" s="56">
        <f t="shared" si="1"/>
        <v>694.75367150942805</v>
      </c>
      <c r="H33" s="56">
        <v>93.828608702766005</v>
      </c>
      <c r="I33" s="39">
        <f t="shared" si="2"/>
        <v>788.58228021219406</v>
      </c>
      <c r="J33" s="39">
        <v>459.74267150942802</v>
      </c>
      <c r="K33" s="99">
        <f>+J33/296.186</f>
        <v>1.5522093262660221</v>
      </c>
      <c r="L33" s="35">
        <v>21.14</v>
      </c>
      <c r="M33" s="39"/>
      <c r="N33" s="39"/>
      <c r="O33" s="39"/>
      <c r="P33" s="39"/>
    </row>
    <row r="34" spans="1:16">
      <c r="A34" s="71">
        <v>2006</v>
      </c>
      <c r="B34" s="56">
        <v>9.3699999999999992</v>
      </c>
      <c r="C34" s="84">
        <v>787.99352799999997</v>
      </c>
      <c r="D34" s="84">
        <v>7.2840843157320005</v>
      </c>
      <c r="E34" s="39">
        <f t="shared" si="0"/>
        <v>804.64761231573198</v>
      </c>
      <c r="F34" s="84"/>
      <c r="G34" s="56">
        <f t="shared" si="1"/>
        <v>718.50725803742193</v>
      </c>
      <c r="H34" s="56">
        <v>71.940354278309997</v>
      </c>
      <c r="I34" s="39">
        <f t="shared" si="2"/>
        <v>790.44761231573193</v>
      </c>
      <c r="J34" s="39">
        <v>498.62325803742209</v>
      </c>
      <c r="K34" s="99">
        <f>+J34/298.996</f>
        <v>1.6676586243208007</v>
      </c>
      <c r="L34" s="35">
        <v>21.17</v>
      </c>
      <c r="M34" s="39"/>
      <c r="N34" s="39"/>
      <c r="O34" s="39"/>
      <c r="P34" s="39"/>
    </row>
    <row r="35" spans="1:16">
      <c r="A35" s="71">
        <v>2007</v>
      </c>
      <c r="B35" s="56">
        <v>14.2</v>
      </c>
      <c r="C35" s="84">
        <v>820.78726799999993</v>
      </c>
      <c r="D35" s="84">
        <v>8.633134405349999</v>
      </c>
      <c r="E35" s="39">
        <f t="shared" si="0"/>
        <v>843.62040240534998</v>
      </c>
      <c r="F35" s="84"/>
      <c r="G35" s="56">
        <f t="shared" si="1"/>
        <v>756.84678672630798</v>
      </c>
      <c r="H35" s="56">
        <v>72.869615679042013</v>
      </c>
      <c r="I35" s="39">
        <f t="shared" si="2"/>
        <v>829.71640240534998</v>
      </c>
      <c r="J35" s="39">
        <v>486.71278672630802</v>
      </c>
      <c r="K35" s="99">
        <f>+J35/302.004</f>
        <v>1.6116103982937577</v>
      </c>
      <c r="L35" s="35">
        <v>31.32</v>
      </c>
      <c r="M35" s="39"/>
      <c r="N35" s="39"/>
      <c r="O35" s="39"/>
      <c r="P35" s="39"/>
    </row>
    <row r="36" spans="1:16">
      <c r="A36" s="71">
        <v>2008</v>
      </c>
      <c r="B36" s="56">
        <v>13.904</v>
      </c>
      <c r="C36" s="84">
        <v>873.56340399999999</v>
      </c>
      <c r="D36" s="84">
        <v>6.9303196465020012</v>
      </c>
      <c r="E36" s="39">
        <f t="shared" si="0"/>
        <v>894.39772364650196</v>
      </c>
      <c r="F36" s="84"/>
      <c r="G36" s="56">
        <f t="shared" si="1"/>
        <v>801.13594857445196</v>
      </c>
      <c r="H36" s="56">
        <v>81.120775072050023</v>
      </c>
      <c r="I36" s="39">
        <f t="shared" si="2"/>
        <v>882.256723646502</v>
      </c>
      <c r="J36" s="39">
        <v>317.43394857445196</v>
      </c>
      <c r="K36" s="99">
        <f>+J36/304.798</f>
        <v>1.041456796220618</v>
      </c>
      <c r="L36" s="35">
        <v>39.340000000000003</v>
      </c>
      <c r="M36" s="39"/>
      <c r="N36" s="39"/>
      <c r="O36" s="39"/>
      <c r="P36" s="39"/>
    </row>
    <row r="37" spans="1:16">
      <c r="A37" s="71">
        <v>2009</v>
      </c>
      <c r="B37" s="56">
        <v>12.141</v>
      </c>
      <c r="C37" s="84">
        <v>860.24881600000003</v>
      </c>
      <c r="D37" s="84">
        <v>16.553208075642001</v>
      </c>
      <c r="E37" s="39">
        <f t="shared" si="0"/>
        <v>888.94302407564203</v>
      </c>
      <c r="F37" s="84"/>
      <c r="G37" s="56">
        <f t="shared" si="1"/>
        <v>787.97323087645805</v>
      </c>
      <c r="H37" s="56">
        <v>83.469793199183997</v>
      </c>
      <c r="I37" s="39">
        <f t="shared" si="2"/>
        <v>871.44302407564203</v>
      </c>
      <c r="J37" s="39">
        <v>447.67323087645798</v>
      </c>
      <c r="K37" s="99">
        <f>+J37/307.439</f>
        <v>1.4561367649402253</v>
      </c>
      <c r="L37" s="35">
        <v>26.81</v>
      </c>
      <c r="M37" s="39"/>
      <c r="N37" s="39"/>
      <c r="O37" s="39"/>
      <c r="P37" s="39"/>
    </row>
    <row r="38" spans="1:16">
      <c r="A38" s="71">
        <v>2010</v>
      </c>
      <c r="B38" s="56">
        <v>17.5</v>
      </c>
      <c r="C38" s="84">
        <v>840.12989199999993</v>
      </c>
      <c r="D38" s="84">
        <v>15.375547504925999</v>
      </c>
      <c r="E38" s="39">
        <f t="shared" si="0"/>
        <v>873.0054395049259</v>
      </c>
      <c r="F38" s="84"/>
      <c r="G38" s="56">
        <f t="shared" si="1"/>
        <v>775.81970316725585</v>
      </c>
      <c r="H38" s="56">
        <v>71.580736337670004</v>
      </c>
      <c r="I38" s="39">
        <f t="shared" si="2"/>
        <v>847.40043950492588</v>
      </c>
      <c r="J38" s="39">
        <v>479.76326316725607</v>
      </c>
      <c r="K38" s="99">
        <f>+J38/310.062</f>
        <v>1.5473139667784381</v>
      </c>
      <c r="L38" s="35">
        <v>35.130000000000003</v>
      </c>
      <c r="M38" s="39"/>
      <c r="N38" s="39"/>
      <c r="O38" s="39"/>
      <c r="P38" s="39"/>
    </row>
    <row r="39" spans="1:16">
      <c r="A39" s="71">
        <v>2011</v>
      </c>
      <c r="B39" s="56">
        <v>25.605</v>
      </c>
      <c r="C39" s="84">
        <v>851.819164</v>
      </c>
      <c r="D39" s="84">
        <v>13.405772863475999</v>
      </c>
      <c r="E39" s="39">
        <f t="shared" si="0"/>
        <v>890.82993686347606</v>
      </c>
      <c r="F39" s="84"/>
      <c r="G39" s="56">
        <f t="shared" si="1"/>
        <v>794.16272089824804</v>
      </c>
      <c r="H39" s="56">
        <v>76.66721596522801</v>
      </c>
      <c r="I39" s="39">
        <f t="shared" si="2"/>
        <v>870.82993686347606</v>
      </c>
      <c r="J39" s="99" t="s">
        <v>469</v>
      </c>
      <c r="K39" s="169" t="s">
        <v>469</v>
      </c>
      <c r="L39" s="35">
        <v>54.55</v>
      </c>
      <c r="M39" s="39"/>
      <c r="N39" s="39"/>
      <c r="O39" s="39"/>
      <c r="P39" s="39"/>
    </row>
    <row r="40" spans="1:16">
      <c r="A40" s="71">
        <v>2012</v>
      </c>
      <c r="B40" s="56">
        <v>20</v>
      </c>
      <c r="C40" s="84">
        <v>870.57829600000002</v>
      </c>
      <c r="D40" s="84">
        <v>14.309564266242001</v>
      </c>
      <c r="E40" s="39">
        <f t="shared" si="0"/>
        <v>904.887860266242</v>
      </c>
      <c r="F40" s="84"/>
      <c r="G40" s="56">
        <f t="shared" si="1"/>
        <v>830.15700578213205</v>
      </c>
      <c r="H40" s="56">
        <v>54.730854484109997</v>
      </c>
      <c r="I40" s="39">
        <f t="shared" si="2"/>
        <v>884.887860266242</v>
      </c>
      <c r="J40" s="99" t="s">
        <v>469</v>
      </c>
      <c r="K40" s="169" t="s">
        <v>469</v>
      </c>
      <c r="L40" s="35">
        <v>53.87</v>
      </c>
      <c r="M40" s="39"/>
      <c r="N40" s="39"/>
      <c r="O40" s="39"/>
      <c r="P40" s="39"/>
    </row>
    <row r="41" spans="1:16" s="218" customFormat="1">
      <c r="A41" s="260">
        <v>2013</v>
      </c>
      <c r="B41" s="102">
        <v>20</v>
      </c>
      <c r="C41" s="227">
        <v>867.08425999999997</v>
      </c>
      <c r="D41" s="227">
        <v>14.153479233264001</v>
      </c>
      <c r="E41" s="39">
        <f t="shared" si="0"/>
        <v>901.23773923326394</v>
      </c>
      <c r="F41" s="227"/>
      <c r="G41" s="102">
        <f t="shared" si="1"/>
        <v>819.78101072382196</v>
      </c>
      <c r="H41" s="102">
        <v>61.456728509442009</v>
      </c>
      <c r="I41" s="228">
        <f t="shared" si="2"/>
        <v>881.23773923326394</v>
      </c>
      <c r="J41" s="169" t="s">
        <v>469</v>
      </c>
      <c r="K41" s="169" t="s">
        <v>469</v>
      </c>
      <c r="L41" s="241">
        <v>49.27</v>
      </c>
      <c r="M41" s="228"/>
      <c r="N41" s="228"/>
      <c r="O41" s="228"/>
      <c r="P41" s="228"/>
    </row>
    <row r="42" spans="1:16">
      <c r="A42" s="71">
        <v>2014</v>
      </c>
      <c r="B42" s="102">
        <v>20</v>
      </c>
      <c r="C42" s="227">
        <v>857.47575199999994</v>
      </c>
      <c r="D42" s="227">
        <v>16.192507665600001</v>
      </c>
      <c r="E42" s="39">
        <f t="shared" si="0"/>
        <v>893.66825966559998</v>
      </c>
      <c r="F42" s="84"/>
      <c r="G42" s="56">
        <f t="shared" si="1"/>
        <v>821.88140889860597</v>
      </c>
      <c r="H42" s="102">
        <v>51.786850766994</v>
      </c>
      <c r="I42" s="39">
        <f t="shared" si="2"/>
        <v>873.66825966559998</v>
      </c>
      <c r="J42" s="99" t="s">
        <v>469</v>
      </c>
      <c r="K42" s="169" t="s">
        <v>469</v>
      </c>
      <c r="L42" s="35">
        <v>43.36</v>
      </c>
      <c r="M42" s="39"/>
      <c r="N42" s="39"/>
      <c r="O42" s="39"/>
      <c r="P42" s="39"/>
    </row>
    <row r="43" spans="1:16">
      <c r="A43" s="71">
        <v>2015</v>
      </c>
      <c r="B43" s="102">
        <v>20</v>
      </c>
      <c r="C43" s="227">
        <v>902.10134000000005</v>
      </c>
      <c r="D43" s="227">
        <v>14.241337829208002</v>
      </c>
      <c r="E43" s="39">
        <f t="shared" si="0"/>
        <v>936.34267782920801</v>
      </c>
      <c r="F43" s="84"/>
      <c r="G43" s="56">
        <f t="shared" si="1"/>
        <v>881.13738265053996</v>
      </c>
      <c r="H43" s="102">
        <v>46.586295178667996</v>
      </c>
      <c r="I43" s="39">
        <f t="shared" si="2"/>
        <v>927.72367782920799</v>
      </c>
      <c r="J43" s="99" t="s">
        <v>469</v>
      </c>
      <c r="K43" s="169" t="s">
        <v>469</v>
      </c>
      <c r="L43" s="35">
        <v>30.3</v>
      </c>
      <c r="M43" s="39"/>
      <c r="N43" s="39"/>
      <c r="O43" s="39"/>
      <c r="P43" s="39"/>
    </row>
    <row r="44" spans="1:16">
      <c r="A44" s="71">
        <v>2016</v>
      </c>
      <c r="B44" s="102">
        <v>8.6189999999999998</v>
      </c>
      <c r="C44" s="227">
        <v>932.46078799999998</v>
      </c>
      <c r="D44" s="227">
        <v>10.378692375534001</v>
      </c>
      <c r="E44" s="39">
        <f t="shared" si="0"/>
        <v>951.45848037553401</v>
      </c>
      <c r="F44" s="84"/>
      <c r="G44" s="56">
        <f>I44-H44</f>
        <v>901.39535744796001</v>
      </c>
      <c r="H44" s="302">
        <v>42.063122927574</v>
      </c>
      <c r="I44" s="39">
        <f t="shared" si="2"/>
        <v>943.45848037553401</v>
      </c>
      <c r="J44" s="99" t="s">
        <v>469</v>
      </c>
      <c r="K44" s="169" t="s">
        <v>469</v>
      </c>
      <c r="L44" s="35">
        <v>32.04</v>
      </c>
      <c r="M44" s="39"/>
      <c r="N44" s="39"/>
      <c r="O44" s="39"/>
      <c r="P44" s="39"/>
    </row>
    <row r="45" spans="1:16">
      <c r="A45" s="11">
        <v>2017</v>
      </c>
      <c r="B45" s="270">
        <v>8</v>
      </c>
      <c r="C45" s="226">
        <v>958.62029199999995</v>
      </c>
      <c r="D45" s="226">
        <v>12.802506713262</v>
      </c>
      <c r="E45" s="226">
        <f>SUM(B45:D45)</f>
        <v>979.42279871326195</v>
      </c>
      <c r="F45" s="40"/>
      <c r="G45" s="13">
        <f>I45-H45</f>
        <v>934.61575541830791</v>
      </c>
      <c r="H45" s="270">
        <v>38.048043294953999</v>
      </c>
      <c r="I45" s="226">
        <f>E45-6.759</f>
        <v>972.66379871326194</v>
      </c>
      <c r="J45" s="162" t="s">
        <v>469</v>
      </c>
      <c r="K45" s="170" t="s">
        <v>469</v>
      </c>
      <c r="L45" s="229">
        <v>35.25</v>
      </c>
      <c r="M45" s="39"/>
      <c r="N45" s="39"/>
      <c r="O45" s="39"/>
      <c r="P45" s="39"/>
    </row>
    <row r="46" spans="1:16" ht="13.25" customHeight="1">
      <c r="A46" s="117" t="s">
        <v>461</v>
      </c>
      <c r="C46" s="39"/>
      <c r="D46" s="39"/>
      <c r="K46" s="97"/>
    </row>
    <row r="47" spans="1:16" ht="13.25" customHeight="1">
      <c r="A47" s="117" t="s">
        <v>458</v>
      </c>
      <c r="C47" s="39"/>
      <c r="D47" s="39"/>
      <c r="K47" s="97"/>
    </row>
    <row r="48" spans="1:16" ht="13.25" customHeight="1">
      <c r="A48" s="117" t="s">
        <v>497</v>
      </c>
      <c r="K48" s="97"/>
    </row>
    <row r="49" spans="1:13">
      <c r="A49" t="s">
        <v>498</v>
      </c>
      <c r="K49" s="97"/>
    </row>
    <row r="50" spans="1:13" ht="10.25" customHeight="1">
      <c r="L50" s="313" t="s">
        <v>679</v>
      </c>
      <c r="M50" s="160"/>
    </row>
    <row r="52" spans="1:13">
      <c r="K52" s="97"/>
    </row>
    <row r="53" spans="1:13">
      <c r="K53" s="97"/>
    </row>
    <row r="54" spans="1:13">
      <c r="K54" s="97"/>
    </row>
    <row r="55" spans="1:13">
      <c r="K55" s="97"/>
    </row>
    <row r="56" spans="1:13">
      <c r="K56" s="97"/>
    </row>
    <row r="57" spans="1:13">
      <c r="K57" s="97"/>
    </row>
    <row r="58" spans="1:13">
      <c r="K58" s="97"/>
    </row>
    <row r="59" spans="1:13">
      <c r="K59" s="97"/>
    </row>
    <row r="60" spans="1:13">
      <c r="K60" s="97"/>
    </row>
    <row r="61" spans="1:13">
      <c r="K61" s="97"/>
    </row>
    <row r="62" spans="1:13">
      <c r="K62" s="97"/>
    </row>
    <row r="63" spans="1:13">
      <c r="K63" s="97"/>
    </row>
  </sheetData>
  <phoneticPr fontId="0" type="noConversion"/>
  <pageMargins left="0.7" right="0.7" top="0.75" bottom="0.75" header="0.3" footer="0.3"/>
  <pageSetup scale="81" firstPageNumber="75" orientation="portrait" useFirstPageNumber="1" r:id="rId1"/>
  <headerFooter alignWithMargins="0">
    <oddFooter>&amp;C&amp;P
Oil Crops Yearbook/OCS-2018
March 2018
Economic Research Service, USDA</oddFooter>
  </headerFooter>
  <ignoredErrors>
    <ignoredError sqref="E8:E45" formulaRange="1"/>
  </ignoredErrors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L48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4.75" customWidth="1"/>
    <col min="7" max="11" width="11.75" customWidth="1"/>
  </cols>
  <sheetData>
    <row r="1" spans="1:11">
      <c r="A1" s="1" t="s">
        <v>682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"/>
      <c r="C2" s="332" t="s">
        <v>119</v>
      </c>
      <c r="D2" s="314"/>
      <c r="E2" s="314"/>
      <c r="G2" s="314"/>
      <c r="H2" s="333" t="s">
        <v>117</v>
      </c>
      <c r="I2" s="314"/>
      <c r="J2" s="314"/>
    </row>
    <row r="3" spans="1:11">
      <c r="A3" t="s">
        <v>356</v>
      </c>
      <c r="B3" s="7" t="s">
        <v>347</v>
      </c>
      <c r="C3" s="7" t="s">
        <v>66</v>
      </c>
      <c r="D3" s="7" t="s">
        <v>88</v>
      </c>
      <c r="E3" s="188" t="s">
        <v>3</v>
      </c>
      <c r="G3" s="7" t="s">
        <v>142</v>
      </c>
      <c r="H3" s="7" t="s">
        <v>384</v>
      </c>
      <c r="I3" s="188" t="s">
        <v>3</v>
      </c>
      <c r="J3" s="189" t="s">
        <v>320</v>
      </c>
      <c r="K3" s="7" t="s">
        <v>222</v>
      </c>
    </row>
    <row r="4" spans="1:11">
      <c r="A4" s="1" t="s">
        <v>385</v>
      </c>
      <c r="B4" s="9" t="s">
        <v>348</v>
      </c>
      <c r="C4" s="9"/>
      <c r="D4" s="9"/>
      <c r="E4" s="9"/>
      <c r="F4" s="1"/>
      <c r="G4" s="9"/>
      <c r="H4" s="9" t="s">
        <v>387</v>
      </c>
      <c r="I4" s="9"/>
      <c r="J4" s="194" t="s">
        <v>321</v>
      </c>
      <c r="K4" s="9"/>
    </row>
    <row r="5" spans="1:11">
      <c r="C5" s="315"/>
      <c r="D5" s="315"/>
      <c r="E5" s="315" t="s">
        <v>460</v>
      </c>
      <c r="F5" s="315"/>
      <c r="G5" s="315"/>
      <c r="H5" s="315"/>
      <c r="I5" s="315"/>
      <c r="J5" s="188" t="s">
        <v>95</v>
      </c>
      <c r="K5" s="187" t="s">
        <v>526</v>
      </c>
    </row>
    <row r="6" spans="1:11">
      <c r="D6" s="171"/>
      <c r="E6" s="171"/>
      <c r="F6" s="171"/>
      <c r="G6" s="171"/>
      <c r="H6" s="171"/>
      <c r="I6" s="171"/>
      <c r="J6" s="7"/>
      <c r="K6" s="7"/>
    </row>
    <row r="7" spans="1:11">
      <c r="A7" s="10">
        <v>1980</v>
      </c>
      <c r="B7" s="12">
        <v>177.76</v>
      </c>
      <c r="C7" s="39">
        <v>1145.3</v>
      </c>
      <c r="D7" s="12">
        <v>2.0859999999999999</v>
      </c>
      <c r="E7" s="39">
        <f>SUM(B7:D7)</f>
        <v>1325.146</v>
      </c>
      <c r="F7" s="12"/>
      <c r="G7" s="39">
        <f>+I7-H7</f>
        <v>1017.5</v>
      </c>
      <c r="H7" s="39">
        <v>3</v>
      </c>
      <c r="I7" s="39">
        <f>+E7-B8</f>
        <v>1020.5</v>
      </c>
      <c r="J7" s="207">
        <v>4.4680888436103032</v>
      </c>
      <c r="K7" s="209">
        <v>1.39</v>
      </c>
    </row>
    <row r="8" spans="1:11">
      <c r="A8" s="10">
        <v>1981</v>
      </c>
      <c r="B8" s="12">
        <v>304.64600000000002</v>
      </c>
      <c r="C8" s="39">
        <v>1228</v>
      </c>
      <c r="D8" s="12">
        <v>3.319</v>
      </c>
      <c r="E8" s="39">
        <f t="shared" ref="E8:E27" si="0">SUM(B8:D8)</f>
        <v>1535.9649999999999</v>
      </c>
      <c r="F8" s="12"/>
      <c r="G8" s="39">
        <f>+I8-H8</f>
        <v>974.78099999999995</v>
      </c>
      <c r="H8" s="39">
        <v>132</v>
      </c>
      <c r="I8" s="39">
        <f t="shared" ref="I8:I43" si="1">+E8-B9</f>
        <v>1106.7809999999999</v>
      </c>
      <c r="J8" s="207">
        <v>4.2396745605872175</v>
      </c>
      <c r="K8" s="209">
        <v>1.48</v>
      </c>
    </row>
    <row r="9" spans="1:11">
      <c r="A9" s="10">
        <v>1982</v>
      </c>
      <c r="B9" s="12">
        <v>429.18400000000003</v>
      </c>
      <c r="C9" s="39">
        <v>1257</v>
      </c>
      <c r="D9" s="12">
        <v>3.2450000000000001</v>
      </c>
      <c r="E9" s="39">
        <f t="shared" si="0"/>
        <v>1689.4289999999999</v>
      </c>
      <c r="F9" s="12"/>
      <c r="G9" s="39">
        <f t="shared" ref="G9:G27" si="2">+I9-H9</f>
        <v>1010.607</v>
      </c>
      <c r="H9" s="39">
        <v>212</v>
      </c>
      <c r="I9" s="39">
        <f t="shared" si="1"/>
        <v>1222.607</v>
      </c>
      <c r="J9" s="207">
        <v>4.3525375988423169</v>
      </c>
      <c r="K9" s="209">
        <v>1.48</v>
      </c>
    </row>
    <row r="10" spans="1:11">
      <c r="A10" s="10">
        <v>1983</v>
      </c>
      <c r="B10" s="12">
        <v>466.822</v>
      </c>
      <c r="C10" s="39">
        <v>1299</v>
      </c>
      <c r="D10" s="12">
        <v>3.2250000000000001</v>
      </c>
      <c r="E10" s="39">
        <f t="shared" si="0"/>
        <v>1769.047</v>
      </c>
      <c r="F10" s="12"/>
      <c r="G10" s="39">
        <f t="shared" si="2"/>
        <v>1149.675</v>
      </c>
      <c r="H10" s="39">
        <v>120</v>
      </c>
      <c r="I10" s="39">
        <f t="shared" si="1"/>
        <v>1269.675</v>
      </c>
      <c r="J10" s="207">
        <v>4.9075571792562744</v>
      </c>
      <c r="K10" s="209">
        <v>1.47</v>
      </c>
    </row>
    <row r="11" spans="1:11">
      <c r="A11" s="10">
        <v>1984</v>
      </c>
      <c r="B11" s="12">
        <v>499.37200000000001</v>
      </c>
      <c r="C11" s="39">
        <v>1103</v>
      </c>
      <c r="D11" s="12">
        <v>3.266</v>
      </c>
      <c r="E11" s="39">
        <f t="shared" si="0"/>
        <v>1605.6380000000001</v>
      </c>
      <c r="F11" s="12"/>
      <c r="G11" s="39">
        <f t="shared" si="2"/>
        <v>1176.0880000000002</v>
      </c>
      <c r="H11" s="39">
        <v>133</v>
      </c>
      <c r="I11" s="39">
        <f t="shared" si="1"/>
        <v>1309.0880000000002</v>
      </c>
      <c r="J11" s="207">
        <v>4.9773554250511962</v>
      </c>
      <c r="K11" s="209">
        <v>1.49</v>
      </c>
    </row>
    <row r="12" spans="1:11">
      <c r="A12" s="10">
        <v>1985</v>
      </c>
      <c r="B12" s="12">
        <v>296.55</v>
      </c>
      <c r="C12" s="39">
        <v>1248</v>
      </c>
      <c r="D12" s="12">
        <v>3.6549999999999998</v>
      </c>
      <c r="E12" s="39">
        <f t="shared" si="0"/>
        <v>1548.2049999999999</v>
      </c>
      <c r="F12" s="12"/>
      <c r="G12" s="39">
        <f t="shared" si="2"/>
        <v>1275.6279999999997</v>
      </c>
      <c r="H12" s="39">
        <v>67.063000000000002</v>
      </c>
      <c r="I12" s="39">
        <f t="shared" si="1"/>
        <v>1342.6909999999998</v>
      </c>
      <c r="J12" s="207">
        <v>5.3484687902451498</v>
      </c>
      <c r="K12" s="209">
        <v>1.4</v>
      </c>
    </row>
    <row r="13" spans="1:11">
      <c r="A13" s="10">
        <v>1986</v>
      </c>
      <c r="B13" s="12">
        <v>205.51400000000001</v>
      </c>
      <c r="C13" s="39">
        <v>1202</v>
      </c>
      <c r="D13" s="12">
        <v>4.0190000000000001</v>
      </c>
      <c r="E13" s="39">
        <f t="shared" si="0"/>
        <v>1411.5330000000001</v>
      </c>
      <c r="F13" s="12"/>
      <c r="G13" s="39">
        <f t="shared" si="2"/>
        <v>1202.9790000000003</v>
      </c>
      <c r="H13" s="39">
        <v>15.590999999999999</v>
      </c>
      <c r="I13" s="39">
        <f t="shared" si="1"/>
        <v>1218.5700000000002</v>
      </c>
      <c r="J13" s="207">
        <v>5.000513213616399</v>
      </c>
      <c r="K13" s="209">
        <v>1.45</v>
      </c>
    </row>
    <row r="14" spans="1:11">
      <c r="A14" s="10">
        <v>1987</v>
      </c>
      <c r="B14" s="12">
        <v>192.96299999999999</v>
      </c>
      <c r="C14" s="39">
        <v>1104</v>
      </c>
      <c r="D14" s="12">
        <v>4.7690000000000001</v>
      </c>
      <c r="E14" s="39">
        <f t="shared" si="0"/>
        <v>1301.732</v>
      </c>
      <c r="F14" s="12"/>
      <c r="G14" s="39">
        <f t="shared" si="2"/>
        <v>1141.0429999999999</v>
      </c>
      <c r="H14" s="39">
        <v>17.477</v>
      </c>
      <c r="I14" s="39">
        <f t="shared" si="1"/>
        <v>1158.52</v>
      </c>
      <c r="J14" s="207">
        <v>4.6999952849705933</v>
      </c>
      <c r="K14" s="209">
        <v>1.4</v>
      </c>
    </row>
    <row r="15" spans="1:11">
      <c r="A15" s="10">
        <v>1988</v>
      </c>
      <c r="B15" s="12">
        <v>143.21199999999999</v>
      </c>
      <c r="C15" s="39">
        <v>1207</v>
      </c>
      <c r="D15" s="12">
        <v>5.1760000000000002</v>
      </c>
      <c r="E15" s="39">
        <f t="shared" si="0"/>
        <v>1355.3879999999999</v>
      </c>
      <c r="F15" s="12"/>
      <c r="G15" s="39">
        <f t="shared" si="2"/>
        <v>1124.701</v>
      </c>
      <c r="H15" s="39">
        <v>16</v>
      </c>
      <c r="I15" s="39">
        <f t="shared" si="1"/>
        <v>1140.701</v>
      </c>
      <c r="J15" s="207">
        <v>4.5924257590655495</v>
      </c>
      <c r="K15" s="209">
        <v>1.32</v>
      </c>
    </row>
    <row r="16" spans="1:11">
      <c r="A16" s="10">
        <v>1989</v>
      </c>
      <c r="B16" s="12">
        <v>214.68700000000001</v>
      </c>
      <c r="C16" s="39">
        <v>1295</v>
      </c>
      <c r="D16" s="12">
        <v>2.3250000000000002</v>
      </c>
      <c r="E16" s="39">
        <f t="shared" si="0"/>
        <v>1512.0119999999999</v>
      </c>
      <c r="F16" s="12"/>
      <c r="G16" s="39">
        <f t="shared" si="2"/>
        <v>1167.9749999999999</v>
      </c>
      <c r="H16" s="39">
        <v>87.816000000000003</v>
      </c>
      <c r="I16" s="39">
        <f t="shared" si="1"/>
        <v>1255.7909999999999</v>
      </c>
      <c r="J16" s="207">
        <v>4.7330062823119405</v>
      </c>
      <c r="K16" s="209">
        <v>1.28</v>
      </c>
    </row>
    <row r="17" spans="1:11">
      <c r="A17" s="10">
        <v>1990</v>
      </c>
      <c r="B17" s="12">
        <v>256.221</v>
      </c>
      <c r="C17" s="39">
        <v>1302</v>
      </c>
      <c r="D17" s="12">
        <v>3.2280000000000002</v>
      </c>
      <c r="E17" s="39">
        <f t="shared" si="0"/>
        <v>1561.4490000000001</v>
      </c>
      <c r="F17" s="12"/>
      <c r="G17" s="39">
        <f t="shared" si="2"/>
        <v>988.27600000000007</v>
      </c>
      <c r="H17" s="39">
        <v>157.11699999999999</v>
      </c>
      <c r="I17" s="39">
        <f t="shared" si="1"/>
        <v>1145.393</v>
      </c>
      <c r="J17" s="207">
        <v>3.9580022409855591</v>
      </c>
      <c r="K17" s="209">
        <v>1.02</v>
      </c>
    </row>
    <row r="18" spans="1:11">
      <c r="A18" s="10">
        <v>1991</v>
      </c>
      <c r="B18" s="12">
        <v>416.05599999999998</v>
      </c>
      <c r="C18" s="39">
        <v>1337</v>
      </c>
      <c r="D18" s="12">
        <v>3.03</v>
      </c>
      <c r="E18" s="39">
        <f t="shared" si="0"/>
        <v>1756.086</v>
      </c>
      <c r="F18" s="12"/>
      <c r="G18" s="39">
        <f t="shared" si="2"/>
        <v>1145.213</v>
      </c>
      <c r="H18" s="39">
        <v>71.471000000000004</v>
      </c>
      <c r="I18" s="39">
        <f t="shared" si="1"/>
        <v>1216.684</v>
      </c>
      <c r="J18" s="207">
        <v>4.51966956240764</v>
      </c>
      <c r="K18" s="209">
        <v>0.99</v>
      </c>
    </row>
    <row r="19" spans="1:11">
      <c r="A19" s="10">
        <v>1992</v>
      </c>
      <c r="B19" s="12">
        <v>539.40200000000004</v>
      </c>
      <c r="C19" s="39">
        <v>1365</v>
      </c>
      <c r="D19" s="12">
        <v>2.0880000000000001</v>
      </c>
      <c r="E19" s="39">
        <f t="shared" si="0"/>
        <v>1906.49</v>
      </c>
      <c r="F19" s="12"/>
      <c r="G19" s="39">
        <f t="shared" si="2"/>
        <v>1245.0909999999999</v>
      </c>
      <c r="H19" s="39">
        <v>213.68299999999999</v>
      </c>
      <c r="I19" s="39">
        <f t="shared" si="1"/>
        <v>1458.7739999999999</v>
      </c>
      <c r="J19" s="207">
        <v>4.691897240306897</v>
      </c>
      <c r="K19" s="209">
        <v>0.83</v>
      </c>
    </row>
    <row r="20" spans="1:11">
      <c r="A20" s="10">
        <v>1993</v>
      </c>
      <c r="B20" s="12">
        <v>447.71600000000001</v>
      </c>
      <c r="C20" s="39">
        <v>1315</v>
      </c>
      <c r="D20" s="12">
        <v>3.76</v>
      </c>
      <c r="E20" s="39">
        <f t="shared" si="0"/>
        <v>1766.4759999999999</v>
      </c>
      <c r="F20" s="12"/>
      <c r="G20" s="39">
        <f t="shared" si="2"/>
        <v>1242.848</v>
      </c>
      <c r="H20" s="39">
        <v>288.97000000000003</v>
      </c>
      <c r="I20" s="39">
        <f t="shared" si="1"/>
        <v>1531.818</v>
      </c>
      <c r="J20" s="207">
        <v>4.7786195416556847</v>
      </c>
      <c r="K20" s="209">
        <v>0.74</v>
      </c>
    </row>
    <row r="21" spans="1:11">
      <c r="A21" s="10">
        <v>1994</v>
      </c>
      <c r="B21" s="12">
        <v>234.65799999999999</v>
      </c>
      <c r="C21" s="39">
        <v>1296</v>
      </c>
      <c r="D21" s="12">
        <v>1.4610000000000001</v>
      </c>
      <c r="E21" s="39">
        <f t="shared" si="0"/>
        <v>1532.1189999999999</v>
      </c>
      <c r="F21" s="12"/>
      <c r="G21" s="39">
        <f t="shared" si="2"/>
        <v>1278.0539999999999</v>
      </c>
      <c r="H21" s="39">
        <v>174.61500000000001</v>
      </c>
      <c r="I21" s="39">
        <f t="shared" si="1"/>
        <v>1452.6689999999999</v>
      </c>
      <c r="J21" s="207">
        <v>4.8583911676885467</v>
      </c>
      <c r="K21" s="209">
        <v>0.67</v>
      </c>
    </row>
    <row r="22" spans="1:11">
      <c r="A22" s="10">
        <v>1995</v>
      </c>
      <c r="B22" s="12">
        <v>79.45</v>
      </c>
      <c r="C22" s="39">
        <v>1264</v>
      </c>
      <c r="D22" s="12">
        <v>1.294</v>
      </c>
      <c r="E22" s="39">
        <f t="shared" si="0"/>
        <v>1344.7440000000001</v>
      </c>
      <c r="F22" s="12"/>
      <c r="G22" s="39">
        <f t="shared" si="2"/>
        <v>1240.1600000000003</v>
      </c>
      <c r="H22" s="39">
        <v>85.956000000000003</v>
      </c>
      <c r="I22" s="39">
        <f t="shared" si="1"/>
        <v>1326.1160000000002</v>
      </c>
      <c r="J22" s="207">
        <v>4.6526901222949082</v>
      </c>
      <c r="K22" s="209">
        <v>0.76</v>
      </c>
    </row>
    <row r="23" spans="1:11">
      <c r="A23" s="10">
        <v>1996</v>
      </c>
      <c r="B23" s="12">
        <v>18.628</v>
      </c>
      <c r="C23" s="39">
        <v>1174</v>
      </c>
      <c r="D23" s="12">
        <v>10.567</v>
      </c>
      <c r="E23" s="39">
        <f t="shared" si="0"/>
        <v>1203.1949999999999</v>
      </c>
      <c r="F23" s="12"/>
      <c r="G23" s="39">
        <f t="shared" si="2"/>
        <v>1141.7069999999999</v>
      </c>
      <c r="H23" s="39">
        <v>47.780999999999999</v>
      </c>
      <c r="I23" s="39">
        <f t="shared" si="1"/>
        <v>1189.4879999999998</v>
      </c>
      <c r="J23" s="207">
        <v>4.2001290946018015</v>
      </c>
      <c r="K23" s="209">
        <v>1.0035000000000001</v>
      </c>
    </row>
    <row r="24" spans="1:11">
      <c r="A24" s="10">
        <v>1997</v>
      </c>
      <c r="B24" s="12">
        <v>13.707000000000001</v>
      </c>
      <c r="C24" s="39">
        <v>1151</v>
      </c>
      <c r="D24" s="12">
        <v>24.154</v>
      </c>
      <c r="E24" s="39">
        <f t="shared" si="0"/>
        <v>1188.8610000000001</v>
      </c>
      <c r="F24" s="12"/>
      <c r="G24" s="39">
        <f t="shared" si="2"/>
        <v>1130.489</v>
      </c>
      <c r="H24" s="39">
        <v>37.584000000000003</v>
      </c>
      <c r="I24" s="39">
        <f t="shared" si="1"/>
        <v>1168.0730000000001</v>
      </c>
      <c r="J24" s="207">
        <v>4.047968091847145</v>
      </c>
      <c r="K24" s="209">
        <v>1.0706</v>
      </c>
    </row>
    <row r="25" spans="1:11">
      <c r="A25" s="10">
        <v>1998</v>
      </c>
      <c r="B25" s="12">
        <v>20.788</v>
      </c>
      <c r="C25" s="39">
        <v>1168</v>
      </c>
      <c r="D25" s="12">
        <v>70.430000000000007</v>
      </c>
      <c r="E25" s="39">
        <f t="shared" si="0"/>
        <v>1259.2180000000001</v>
      </c>
      <c r="F25" s="12"/>
      <c r="G25" s="39">
        <f t="shared" si="2"/>
        <v>1210.105</v>
      </c>
      <c r="H25" s="39">
        <v>23.202999999999999</v>
      </c>
      <c r="I25" s="39">
        <f t="shared" si="1"/>
        <v>1233.308</v>
      </c>
      <c r="J25" s="207">
        <v>4.354610682941745</v>
      </c>
      <c r="K25" s="209">
        <v>1.776</v>
      </c>
    </row>
    <row r="26" spans="1:11">
      <c r="A26" s="71">
        <v>1999</v>
      </c>
      <c r="B26" s="56">
        <v>25.91</v>
      </c>
      <c r="C26" s="39">
        <v>1277</v>
      </c>
      <c r="D26" s="12">
        <v>39.872</v>
      </c>
      <c r="E26" s="39">
        <f t="shared" si="0"/>
        <v>1342.7820000000002</v>
      </c>
      <c r="F26" s="56"/>
      <c r="G26" s="39">
        <f t="shared" si="2"/>
        <v>1306.7470000000001</v>
      </c>
      <c r="H26" s="39">
        <v>10.952999999999999</v>
      </c>
      <c r="I26" s="39">
        <f t="shared" si="1"/>
        <v>1317.7</v>
      </c>
      <c r="J26" s="207">
        <v>4.6523278513773176</v>
      </c>
      <c r="K26" s="209">
        <v>1.252</v>
      </c>
    </row>
    <row r="27" spans="1:11">
      <c r="A27" s="71">
        <v>2000</v>
      </c>
      <c r="B27" s="56">
        <v>25.082000000000001</v>
      </c>
      <c r="C27" s="39">
        <v>1256</v>
      </c>
      <c r="D27" s="12">
        <v>30.178999999999998</v>
      </c>
      <c r="E27" s="39">
        <f t="shared" si="0"/>
        <v>1311.2610000000002</v>
      </c>
      <c r="F27" s="56"/>
      <c r="G27" s="39">
        <f t="shared" si="2"/>
        <v>1265.9880000000003</v>
      </c>
      <c r="H27" s="39">
        <v>21.158000000000001</v>
      </c>
      <c r="I27" s="39">
        <f t="shared" si="1"/>
        <v>1287.1460000000002</v>
      </c>
      <c r="J27" s="207">
        <v>4.4806088365842243</v>
      </c>
      <c r="K27" s="209">
        <v>1.1768000000000001</v>
      </c>
    </row>
    <row r="28" spans="1:11">
      <c r="A28" s="71">
        <v>2001</v>
      </c>
      <c r="B28" s="56">
        <v>24.114999999999998</v>
      </c>
      <c r="C28" s="39">
        <v>1231.838</v>
      </c>
      <c r="D28" s="12">
        <v>76.311000000000007</v>
      </c>
      <c r="E28" s="39">
        <f t="shared" ref="E28:E33" si="3">SUM(B28:D28)</f>
        <v>1332.2639999999999</v>
      </c>
      <c r="F28" s="56"/>
      <c r="G28" s="39">
        <f t="shared" ref="G28:G33" si="4">+I28-H28</f>
        <v>1264.5549999999998</v>
      </c>
      <c r="H28" s="39">
        <v>11.794</v>
      </c>
      <c r="I28" s="39">
        <f t="shared" si="1"/>
        <v>1276.3489999999999</v>
      </c>
      <c r="J28" s="207">
        <v>4.4163617009916676</v>
      </c>
      <c r="K28" s="209">
        <v>1.663</v>
      </c>
    </row>
    <row r="29" spans="1:11">
      <c r="A29" s="71">
        <v>2002</v>
      </c>
      <c r="B29" s="56">
        <v>55.914999999999999</v>
      </c>
      <c r="C29" s="39">
        <v>1355.1479999999999</v>
      </c>
      <c r="D29" s="12">
        <v>33.393000000000001</v>
      </c>
      <c r="E29" s="39">
        <f t="shared" si="3"/>
        <v>1444.4559999999999</v>
      </c>
      <c r="F29" s="56"/>
      <c r="G29" s="39">
        <f t="shared" si="4"/>
        <v>1271.7280000000001</v>
      </c>
      <c r="H29" s="39">
        <v>14.907999999999999</v>
      </c>
      <c r="I29" s="39">
        <f t="shared" si="1"/>
        <v>1286.636</v>
      </c>
      <c r="J29" s="207">
        <v>4.3984659569551079</v>
      </c>
      <c r="K29" s="209">
        <v>1.1059000000000001</v>
      </c>
    </row>
    <row r="30" spans="1:11">
      <c r="A30" s="71">
        <v>2003</v>
      </c>
      <c r="B30" s="56">
        <v>157.82</v>
      </c>
      <c r="C30" s="39">
        <v>1242.3579999999999</v>
      </c>
      <c r="D30" s="12">
        <v>31.277999999999999</v>
      </c>
      <c r="E30" s="39">
        <f t="shared" si="3"/>
        <v>1431.4559999999999</v>
      </c>
      <c r="F30" s="56"/>
      <c r="G30" s="39">
        <f t="shared" si="4"/>
        <v>1302.1229999999998</v>
      </c>
      <c r="H30" s="39">
        <v>35.892000000000003</v>
      </c>
      <c r="I30" s="39">
        <f t="shared" si="1"/>
        <v>1338.0149999999999</v>
      </c>
      <c r="J30" s="207">
        <v>4.4476833837655274</v>
      </c>
      <c r="K30" s="209">
        <v>1.145</v>
      </c>
    </row>
    <row r="31" spans="1:11">
      <c r="A31" s="71">
        <v>2004</v>
      </c>
      <c r="B31" s="56">
        <v>93.441000000000003</v>
      </c>
      <c r="C31" s="39">
        <v>1246.6780000000001</v>
      </c>
      <c r="D31" s="12">
        <v>52.308</v>
      </c>
      <c r="E31" s="39">
        <f t="shared" si="3"/>
        <v>1392.4270000000001</v>
      </c>
      <c r="F31" s="56"/>
      <c r="G31" s="39">
        <f t="shared" si="4"/>
        <v>1323.7280000000003</v>
      </c>
      <c r="H31" s="39">
        <v>23.829000000000001</v>
      </c>
      <c r="I31" s="39">
        <f t="shared" si="1"/>
        <v>1347.5570000000002</v>
      </c>
      <c r="J31" s="207">
        <v>4.4938976224052709</v>
      </c>
      <c r="K31" s="209">
        <v>1.8166</v>
      </c>
    </row>
    <row r="32" spans="1:11">
      <c r="A32" s="71">
        <v>2005</v>
      </c>
      <c r="B32" s="56">
        <v>44.87</v>
      </c>
      <c r="C32" s="39">
        <v>1347.2270000000001</v>
      </c>
      <c r="D32" s="12">
        <v>39.148000000000003</v>
      </c>
      <c r="E32" s="39">
        <f t="shared" si="3"/>
        <v>1431.2449999999999</v>
      </c>
      <c r="F32" s="56"/>
      <c r="G32" s="39">
        <f t="shared" si="4"/>
        <v>1350.9960000000001</v>
      </c>
      <c r="H32" s="39">
        <v>21.6</v>
      </c>
      <c r="I32" s="39">
        <f t="shared" si="1"/>
        <v>1372.596</v>
      </c>
      <c r="J32" s="207">
        <v>4.5368426189220656</v>
      </c>
      <c r="K32" s="209">
        <v>1.5484</v>
      </c>
    </row>
    <row r="33" spans="1:12">
      <c r="A33" s="71">
        <v>2006</v>
      </c>
      <c r="B33" s="56">
        <v>58.649000000000001</v>
      </c>
      <c r="C33" s="39">
        <v>1443.6189999999999</v>
      </c>
      <c r="D33" s="12">
        <v>37.578000000000003</v>
      </c>
      <c r="E33" s="39">
        <f t="shared" si="3"/>
        <v>1539.846</v>
      </c>
      <c r="F33" s="56"/>
      <c r="G33" s="39">
        <f t="shared" si="4"/>
        <v>1407.5409999999999</v>
      </c>
      <c r="H33" s="39">
        <v>23.76</v>
      </c>
      <c r="I33" s="39">
        <f t="shared" si="1"/>
        <v>1431.3009999999999</v>
      </c>
      <c r="J33" s="207">
        <v>4.7225587671445277</v>
      </c>
      <c r="K33" s="209">
        <v>1.2363999999999999</v>
      </c>
    </row>
    <row r="34" spans="1:12">
      <c r="A34" s="71">
        <v>2007</v>
      </c>
      <c r="B34" s="56">
        <v>108.545</v>
      </c>
      <c r="C34" s="39">
        <v>1532.89</v>
      </c>
      <c r="D34" s="12">
        <v>35.259</v>
      </c>
      <c r="E34" s="39">
        <f t="shared" ref="E34:E42" si="5">SUM(B34:D34)</f>
        <v>1676.6940000000002</v>
      </c>
      <c r="F34" s="56"/>
      <c r="G34" s="39">
        <f t="shared" ref="G34:G42" si="6">+I34-H34</f>
        <v>1431.9950000000001</v>
      </c>
      <c r="H34" s="39">
        <v>89.567999999999998</v>
      </c>
      <c r="I34" s="39">
        <f t="shared" si="1"/>
        <v>1521.5630000000001</v>
      </c>
      <c r="J34" s="207">
        <v>4.7342591360003388</v>
      </c>
      <c r="K34" s="209">
        <v>1.3682000000000001</v>
      </c>
    </row>
    <row r="35" spans="1:12">
      <c r="A35" s="71">
        <v>2008</v>
      </c>
      <c r="B35" s="56">
        <v>155.131</v>
      </c>
      <c r="C35" s="39">
        <v>1644.078</v>
      </c>
      <c r="D35" s="12">
        <v>31.613</v>
      </c>
      <c r="E35" s="39">
        <f t="shared" si="5"/>
        <v>1830.8220000000001</v>
      </c>
      <c r="F35" s="56"/>
      <c r="G35" s="39">
        <f t="shared" si="6"/>
        <v>1512.9400742755081</v>
      </c>
      <c r="H35" s="39">
        <v>198.91992572449203</v>
      </c>
      <c r="I35" s="39">
        <f t="shared" si="1"/>
        <v>1711.8600000000001</v>
      </c>
      <c r="J35" s="207">
        <f>+G35/304.483</f>
        <v>4.9688819220629989</v>
      </c>
      <c r="K35" s="209">
        <v>1.4631000000000001</v>
      </c>
    </row>
    <row r="36" spans="1:12">
      <c r="A36" s="71">
        <v>2009</v>
      </c>
      <c r="B36" s="56">
        <v>118.962</v>
      </c>
      <c r="C36" s="39">
        <v>1573.481</v>
      </c>
      <c r="D36" s="12">
        <v>33.225000000000001</v>
      </c>
      <c r="E36" s="39">
        <f t="shared" si="5"/>
        <v>1725.6679999999999</v>
      </c>
      <c r="F36" s="56"/>
      <c r="G36" s="39">
        <f t="shared" si="6"/>
        <v>1528.3419051741898</v>
      </c>
      <c r="H36" s="39">
        <v>64.304094825810012</v>
      </c>
      <c r="I36" s="39">
        <f t="shared" si="1"/>
        <v>1592.646</v>
      </c>
      <c r="J36" s="207">
        <f>+G36/307.439</f>
        <v>4.9712037352911951</v>
      </c>
      <c r="K36" s="209">
        <v>1.2426999999999999</v>
      </c>
    </row>
    <row r="37" spans="1:12">
      <c r="A37" s="71">
        <v>2010</v>
      </c>
      <c r="B37" s="56">
        <v>133.02199999999999</v>
      </c>
      <c r="C37" s="39">
        <v>1563.972</v>
      </c>
      <c r="D37" s="12">
        <v>19.781191357200001</v>
      </c>
      <c r="E37" s="39">
        <f t="shared" si="5"/>
        <v>1716.7751913571999</v>
      </c>
      <c r="F37" s="56"/>
      <c r="G37" s="39">
        <f t="shared" si="6"/>
        <v>1509.8917848965159</v>
      </c>
      <c r="H37" s="39">
        <v>125.18840646068399</v>
      </c>
      <c r="I37" s="39">
        <f t="shared" si="1"/>
        <v>1635.0801913572</v>
      </c>
      <c r="J37" s="207">
        <f>+G37/309.348193</f>
        <v>4.8808812175493008</v>
      </c>
      <c r="K37" s="209">
        <v>1.728</v>
      </c>
    </row>
    <row r="38" spans="1:12">
      <c r="A38" s="71">
        <v>2011</v>
      </c>
      <c r="B38" s="56">
        <v>81.694999999999993</v>
      </c>
      <c r="C38" s="39">
        <v>1809.7539999999999</v>
      </c>
      <c r="D38" s="12">
        <v>24.229236704400002</v>
      </c>
      <c r="E38" s="39">
        <f t="shared" si="5"/>
        <v>1915.6782367043998</v>
      </c>
      <c r="F38" s="56"/>
      <c r="G38" s="39">
        <f t="shared" si="6"/>
        <v>1668.4559094641138</v>
      </c>
      <c r="H38" s="39">
        <v>140.36632724028598</v>
      </c>
      <c r="I38" s="39">
        <f t="shared" si="1"/>
        <v>1808.8222367043998</v>
      </c>
      <c r="J38" s="207">
        <f>+G38/311.663358</f>
        <v>5.3533913006998848</v>
      </c>
      <c r="K38" s="209">
        <v>1.9618</v>
      </c>
    </row>
    <row r="39" spans="1:12">
      <c r="A39" s="71">
        <v>2012</v>
      </c>
      <c r="B39" s="56">
        <v>106.85599999999999</v>
      </c>
      <c r="C39" s="39">
        <v>1859.5540000000001</v>
      </c>
      <c r="D39" s="12">
        <v>33.920975478599999</v>
      </c>
      <c r="E39" s="39">
        <f t="shared" si="5"/>
        <v>2000.3309754786001</v>
      </c>
      <c r="F39" s="56"/>
      <c r="G39" s="39">
        <f t="shared" si="6"/>
        <v>1739.8726484152321</v>
      </c>
      <c r="H39" s="39">
        <v>107.43132706336802</v>
      </c>
      <c r="I39" s="39">
        <f t="shared" si="1"/>
        <v>1847.3039754786</v>
      </c>
      <c r="J39" s="207">
        <f>+G39/313.998379</f>
        <v>5.5410243006866988</v>
      </c>
      <c r="K39" s="209">
        <v>1.6029</v>
      </c>
    </row>
    <row r="40" spans="1:12">
      <c r="A40" s="71">
        <v>2013</v>
      </c>
      <c r="B40" s="56">
        <v>153.02699999999999</v>
      </c>
      <c r="C40" s="39">
        <v>1862.5160000000001</v>
      </c>
      <c r="D40" s="12">
        <v>22.887503755200001</v>
      </c>
      <c r="E40" s="39">
        <f t="shared" si="5"/>
        <v>2038.4305037552001</v>
      </c>
      <c r="F40" s="56"/>
      <c r="G40" s="39">
        <f t="shared" si="6"/>
        <v>1683.3529640844022</v>
      </c>
      <c r="H40" s="39">
        <v>202.050539670798</v>
      </c>
      <c r="I40" s="39">
        <f t="shared" si="1"/>
        <v>1885.4035037552001</v>
      </c>
      <c r="J40" s="207">
        <f>+G40/316.204908</f>
        <v>5.3236142814215972</v>
      </c>
      <c r="K40" s="209">
        <v>1.556</v>
      </c>
    </row>
    <row r="41" spans="1:12">
      <c r="A41" s="71">
        <v>2014</v>
      </c>
      <c r="B41" s="56">
        <v>153.02699999999999</v>
      </c>
      <c r="C41" s="39">
        <v>1856</v>
      </c>
      <c r="D41" s="12">
        <v>42.073447172400002</v>
      </c>
      <c r="E41" s="39">
        <f t="shared" si="5"/>
        <v>2051.1004471724</v>
      </c>
      <c r="F41" s="56"/>
      <c r="G41" s="39">
        <f t="shared" si="6"/>
        <v>1787.7845531348619</v>
      </c>
      <c r="H41" s="39">
        <v>158.58789403753801</v>
      </c>
      <c r="I41" s="39">
        <f t="shared" si="1"/>
        <v>1946.3724471723999</v>
      </c>
      <c r="J41" s="207">
        <f>+G41/318.563456</f>
        <v>5.6120202096717025</v>
      </c>
      <c r="K41" s="209">
        <v>2.1642999999999999</v>
      </c>
    </row>
    <row r="42" spans="1:12">
      <c r="A42" s="71">
        <v>2015</v>
      </c>
      <c r="B42" s="56">
        <v>104.72799999999999</v>
      </c>
      <c r="C42" s="39">
        <v>1849.318</v>
      </c>
      <c r="D42" s="12">
        <v>75.437535133799997</v>
      </c>
      <c r="E42" s="39">
        <f t="shared" si="5"/>
        <v>2029.4835351338002</v>
      </c>
      <c r="F42" s="56"/>
      <c r="G42" s="39">
        <f t="shared" si="6"/>
        <v>1823.2915628456003</v>
      </c>
      <c r="H42" s="39">
        <v>51.109972288199998</v>
      </c>
      <c r="I42" s="39">
        <f t="shared" si="1"/>
        <v>1874.4015351338003</v>
      </c>
      <c r="J42" s="207">
        <f>+G42/320.896618</f>
        <v>5.6818659361676422</v>
      </c>
      <c r="K42" s="209">
        <v>2.0886</v>
      </c>
    </row>
    <row r="43" spans="1:12">
      <c r="A43" s="71">
        <v>2016</v>
      </c>
      <c r="B43" s="56">
        <v>155.08199999999999</v>
      </c>
      <c r="C43" s="39">
        <v>1839.133</v>
      </c>
      <c r="D43" s="12">
        <v>97.273434195000007</v>
      </c>
      <c r="E43" s="39">
        <f>SUM(B43:D43)</f>
        <v>2091.4884341950001</v>
      </c>
      <c r="F43" s="56"/>
      <c r="G43" s="39">
        <f>+I43-H43</f>
        <v>1870.271471583</v>
      </c>
      <c r="H43" s="39">
        <v>55.216962612000003</v>
      </c>
      <c r="I43" s="39">
        <f t="shared" si="1"/>
        <v>1925.4884341950001</v>
      </c>
      <c r="J43" s="207">
        <f>+G43/323.345274</f>
        <v>5.7841311501061243</v>
      </c>
      <c r="K43" s="209">
        <v>2.0815000000000001</v>
      </c>
    </row>
    <row r="44" spans="1:12">
      <c r="A44" s="11">
        <v>2017</v>
      </c>
      <c r="B44" s="270">
        <v>166</v>
      </c>
      <c r="C44" s="226">
        <v>1843.511</v>
      </c>
      <c r="D44" s="270">
        <v>91.349173956599998</v>
      </c>
      <c r="E44" s="40">
        <f>SUM(B44:D44)</f>
        <v>2100.8601739566002</v>
      </c>
      <c r="F44" s="13"/>
      <c r="G44" s="40">
        <v>1868.1243748601999</v>
      </c>
      <c r="H44" s="226">
        <v>63.991799096400001</v>
      </c>
      <c r="I44" s="226">
        <v>1932.1161739565998</v>
      </c>
      <c r="J44" s="208">
        <v>5.7353834254739517</v>
      </c>
      <c r="K44" s="301">
        <v>2.3277999999999999</v>
      </c>
    </row>
    <row r="45" spans="1:12" ht="13.25" customHeight="1">
      <c r="A45" s="117" t="s">
        <v>386</v>
      </c>
      <c r="G45" s="39"/>
    </row>
    <row r="46" spans="1:12" ht="13.25" customHeight="1">
      <c r="A46" s="117" t="s">
        <v>649</v>
      </c>
      <c r="G46" s="39"/>
    </row>
    <row r="47" spans="1:12" ht="13.25" customHeight="1">
      <c r="A47" t="s">
        <v>650</v>
      </c>
      <c r="K47" s="313" t="s">
        <v>679</v>
      </c>
      <c r="L47" s="160"/>
    </row>
    <row r="48" spans="1:12" ht="10.25" customHeight="1"/>
  </sheetData>
  <phoneticPr fontId="0" type="noConversion"/>
  <pageMargins left="0.7" right="0.7" top="0.75" bottom="0.75" header="0.3" footer="0.3"/>
  <pageSetup scale="87" firstPageNumber="76" orientation="portrait" useFirstPageNumber="1" r:id="rId1"/>
  <headerFooter alignWithMargins="0">
    <oddFooter>&amp;C&amp;P
Oil Crops Yearbook/OCS-2018
March 2018
Economic Research Service, USDA</oddFooter>
  </headerFooter>
  <ignoredErrors>
    <ignoredError sqref="E7:E4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49"/>
  <sheetViews>
    <sheetView zoomScaleNormal="100" zoomScaleSheetLayoutView="100" workbookViewId="0">
      <pane ySplit="5" topLeftCell="A9" activePane="bottomLeft" state="frozen"/>
      <selection pane="bottomLeft"/>
    </sheetView>
  </sheetViews>
  <sheetFormatPr baseColWidth="10" defaultColWidth="8.75" defaultRowHeight="11"/>
  <cols>
    <col min="1" max="1" width="10.25" customWidth="1"/>
    <col min="2" max="5" width="13.75" customWidth="1"/>
    <col min="6" max="6" width="0.75" customWidth="1"/>
    <col min="7" max="11" width="13.75" customWidth="1"/>
    <col min="13" max="13" width="21" bestFit="1" customWidth="1"/>
  </cols>
  <sheetData>
    <row r="1" spans="1:13">
      <c r="A1" s="150" t="s">
        <v>689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>
      <c r="A2" t="s">
        <v>179</v>
      </c>
      <c r="B2" s="314"/>
      <c r="C2" s="339" t="s">
        <v>119</v>
      </c>
      <c r="D2" s="314"/>
      <c r="E2" s="314"/>
      <c r="G2" s="314"/>
      <c r="H2" s="314" t="s">
        <v>117</v>
      </c>
      <c r="I2" s="314"/>
      <c r="K2" s="9" t="s">
        <v>118</v>
      </c>
    </row>
    <row r="3" spans="1:13">
      <c r="A3" t="s">
        <v>100</v>
      </c>
      <c r="B3" s="7" t="s">
        <v>141</v>
      </c>
      <c r="J3" s="7" t="s">
        <v>143</v>
      </c>
      <c r="K3" s="7" t="s">
        <v>182</v>
      </c>
    </row>
    <row r="4" spans="1:13">
      <c r="A4" t="s">
        <v>140</v>
      </c>
      <c r="B4" s="38" t="s">
        <v>180</v>
      </c>
      <c r="C4" s="38" t="s">
        <v>181</v>
      </c>
      <c r="D4" s="38" t="s">
        <v>88</v>
      </c>
      <c r="E4" s="38" t="s">
        <v>3</v>
      </c>
      <c r="G4" s="38" t="s">
        <v>142</v>
      </c>
      <c r="H4" s="38" t="s">
        <v>90</v>
      </c>
      <c r="I4" s="193" t="s">
        <v>3</v>
      </c>
      <c r="J4" s="38" t="s">
        <v>180</v>
      </c>
      <c r="K4" s="7" t="s">
        <v>183</v>
      </c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184</v>
      </c>
    </row>
    <row r="6" spans="1:13">
      <c r="C6" s="315"/>
      <c r="D6" s="315"/>
      <c r="E6" s="348" t="s">
        <v>202</v>
      </c>
      <c r="F6" s="315"/>
      <c r="G6" s="315"/>
      <c r="H6" s="315"/>
      <c r="I6" s="315"/>
      <c r="J6" s="315"/>
      <c r="K6" s="7" t="s">
        <v>289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3">
      <c r="A8" s="10">
        <v>1980</v>
      </c>
      <c r="B8" s="39">
        <v>226</v>
      </c>
      <c r="C8" s="39">
        <v>24312</v>
      </c>
      <c r="D8" s="39">
        <v>0</v>
      </c>
      <c r="E8" s="39">
        <f>+B8+C8+D8</f>
        <v>24538</v>
      </c>
      <c r="F8" s="39"/>
      <c r="G8" s="39">
        <f t="shared" ref="G8:G20" si="0">+I8-H8</f>
        <v>17591</v>
      </c>
      <c r="H8" s="39">
        <v>6784</v>
      </c>
      <c r="I8" s="39">
        <f t="shared" ref="I8:I20" si="1">+E8-J8</f>
        <v>24375</v>
      </c>
      <c r="J8" s="39">
        <v>163</v>
      </c>
      <c r="K8" s="33">
        <v>235.13</v>
      </c>
      <c r="L8" s="88"/>
      <c r="M8" s="88"/>
    </row>
    <row r="9" spans="1:13">
      <c r="A9" s="10">
        <v>1981</v>
      </c>
      <c r="B9" s="39">
        <f t="shared" ref="B9:B27" si="2">+J8</f>
        <v>163</v>
      </c>
      <c r="C9" s="39">
        <v>24634</v>
      </c>
      <c r="D9" s="39">
        <v>0</v>
      </c>
      <c r="E9" s="39">
        <f t="shared" ref="E9:E30" si="3">+B9+C9+D9</f>
        <v>24797</v>
      </c>
      <c r="F9" s="39"/>
      <c r="G9" s="39">
        <f t="shared" si="0"/>
        <v>17714</v>
      </c>
      <c r="H9" s="39">
        <v>6908</v>
      </c>
      <c r="I9" s="39">
        <f t="shared" si="1"/>
        <v>24622</v>
      </c>
      <c r="J9" s="39">
        <v>175</v>
      </c>
      <c r="K9" s="33">
        <v>196.62</v>
      </c>
      <c r="L9" s="88"/>
      <c r="M9" s="88"/>
    </row>
    <row r="10" spans="1:13">
      <c r="A10" s="10">
        <v>1982</v>
      </c>
      <c r="B10" s="39">
        <f t="shared" si="2"/>
        <v>175</v>
      </c>
      <c r="C10" s="39">
        <v>26714</v>
      </c>
      <c r="D10" s="39">
        <v>0</v>
      </c>
      <c r="E10" s="39">
        <f t="shared" si="3"/>
        <v>26889</v>
      </c>
      <c r="F10" s="39"/>
      <c r="G10" s="39">
        <f t="shared" si="0"/>
        <v>19306</v>
      </c>
      <c r="H10" s="39">
        <v>7109</v>
      </c>
      <c r="I10" s="39">
        <f t="shared" si="1"/>
        <v>26415</v>
      </c>
      <c r="J10" s="39">
        <v>474</v>
      </c>
      <c r="K10" s="33">
        <v>200.94</v>
      </c>
      <c r="L10" s="88"/>
      <c r="M10" s="88"/>
    </row>
    <row r="11" spans="1:13">
      <c r="A11" s="10">
        <v>1983</v>
      </c>
      <c r="B11" s="39">
        <f t="shared" si="2"/>
        <v>474</v>
      </c>
      <c r="C11" s="39">
        <v>22756</v>
      </c>
      <c r="D11" s="39">
        <v>0</v>
      </c>
      <c r="E11" s="39">
        <f t="shared" si="3"/>
        <v>23230</v>
      </c>
      <c r="F11" s="39"/>
      <c r="G11" s="39">
        <f t="shared" si="0"/>
        <v>17615</v>
      </c>
      <c r="H11" s="39">
        <v>5360</v>
      </c>
      <c r="I11" s="39">
        <f t="shared" si="1"/>
        <v>22975</v>
      </c>
      <c r="J11" s="39">
        <v>255</v>
      </c>
      <c r="K11" s="33">
        <v>203.21</v>
      </c>
      <c r="L11" s="88"/>
      <c r="M11" s="88"/>
    </row>
    <row r="12" spans="1:13">
      <c r="A12" s="10">
        <v>1984</v>
      </c>
      <c r="B12" s="39">
        <f t="shared" si="2"/>
        <v>255</v>
      </c>
      <c r="C12" s="39">
        <v>24529</v>
      </c>
      <c r="D12" s="39">
        <v>0</v>
      </c>
      <c r="E12" s="39">
        <f t="shared" si="3"/>
        <v>24784</v>
      </c>
      <c r="F12" s="39"/>
      <c r="G12" s="39">
        <f t="shared" si="0"/>
        <v>19518</v>
      </c>
      <c r="H12" s="39">
        <v>4879</v>
      </c>
      <c r="I12" s="39">
        <f t="shared" si="1"/>
        <v>24397</v>
      </c>
      <c r="J12" s="39">
        <v>387</v>
      </c>
      <c r="K12" s="33">
        <v>136.4</v>
      </c>
      <c r="L12" s="88"/>
      <c r="M12" s="88"/>
    </row>
    <row r="13" spans="1:13">
      <c r="A13" s="10">
        <v>1985</v>
      </c>
      <c r="B13" s="39">
        <f t="shared" si="2"/>
        <v>387</v>
      </c>
      <c r="C13" s="39">
        <v>24951</v>
      </c>
      <c r="D13" s="39">
        <v>0</v>
      </c>
      <c r="E13" s="39">
        <f t="shared" si="3"/>
        <v>25338</v>
      </c>
      <c r="F13" s="39"/>
      <c r="G13" s="39">
        <f t="shared" si="0"/>
        <v>19090</v>
      </c>
      <c r="H13" s="39">
        <v>6036</v>
      </c>
      <c r="I13" s="39">
        <f t="shared" si="1"/>
        <v>25126</v>
      </c>
      <c r="J13" s="39">
        <v>212</v>
      </c>
      <c r="K13" s="33">
        <v>166.2</v>
      </c>
      <c r="L13" s="88"/>
      <c r="M13" s="88"/>
    </row>
    <row r="14" spans="1:13">
      <c r="A14" s="10">
        <v>1986</v>
      </c>
      <c r="B14" s="39">
        <f t="shared" si="2"/>
        <v>212</v>
      </c>
      <c r="C14" s="39">
        <v>27758</v>
      </c>
      <c r="D14" s="39">
        <v>0</v>
      </c>
      <c r="E14" s="39">
        <f t="shared" si="3"/>
        <v>27970</v>
      </c>
      <c r="F14" s="39"/>
      <c r="G14" s="39">
        <f t="shared" si="0"/>
        <v>20435</v>
      </c>
      <c r="H14" s="39">
        <v>7295</v>
      </c>
      <c r="I14" s="39">
        <f t="shared" si="1"/>
        <v>27730</v>
      </c>
      <c r="J14" s="39">
        <v>240</v>
      </c>
      <c r="K14" s="33">
        <v>177.31</v>
      </c>
      <c r="L14" s="88"/>
      <c r="M14" s="88"/>
    </row>
    <row r="15" spans="1:13">
      <c r="A15" s="10">
        <v>1987</v>
      </c>
      <c r="B15" s="39">
        <f t="shared" si="2"/>
        <v>240</v>
      </c>
      <c r="C15" s="39">
        <v>28060</v>
      </c>
      <c r="D15" s="39">
        <v>0</v>
      </c>
      <c r="E15" s="39">
        <f t="shared" si="3"/>
        <v>28300</v>
      </c>
      <c r="F15" s="39"/>
      <c r="G15" s="39">
        <f t="shared" si="0"/>
        <v>21323</v>
      </c>
      <c r="H15" s="39">
        <v>6824</v>
      </c>
      <c r="I15" s="39">
        <f t="shared" si="1"/>
        <v>28147</v>
      </c>
      <c r="J15" s="39">
        <v>153</v>
      </c>
      <c r="K15" s="33">
        <v>239.35</v>
      </c>
      <c r="L15" s="88"/>
      <c r="M15" s="88"/>
    </row>
    <row r="16" spans="1:13">
      <c r="A16" s="10">
        <v>1988</v>
      </c>
      <c r="B16" s="39">
        <f t="shared" si="2"/>
        <v>153</v>
      </c>
      <c r="C16" s="39">
        <v>24943</v>
      </c>
      <c r="D16" s="39">
        <v>17</v>
      </c>
      <c r="E16" s="39">
        <f t="shared" si="3"/>
        <v>25113</v>
      </c>
      <c r="F16" s="39"/>
      <c r="G16" s="39">
        <f t="shared" si="0"/>
        <v>19497</v>
      </c>
      <c r="H16" s="39">
        <v>5443</v>
      </c>
      <c r="I16" s="39">
        <f t="shared" si="1"/>
        <v>24940</v>
      </c>
      <c r="J16" s="39">
        <v>173</v>
      </c>
      <c r="K16" s="33">
        <v>252.4</v>
      </c>
      <c r="L16" s="88"/>
      <c r="M16" s="88"/>
    </row>
    <row r="17" spans="1:13">
      <c r="A17" s="10">
        <v>1989</v>
      </c>
      <c r="B17" s="39">
        <f t="shared" si="2"/>
        <v>173</v>
      </c>
      <c r="C17" s="39">
        <v>27718.7</v>
      </c>
      <c r="D17" s="39">
        <v>36.779331835638004</v>
      </c>
      <c r="E17" s="39">
        <f t="shared" si="3"/>
        <v>27928.479331835639</v>
      </c>
      <c r="F17" s="39"/>
      <c r="G17" s="39">
        <f t="shared" si="0"/>
        <v>22193.708355922441</v>
      </c>
      <c r="H17" s="39">
        <v>5416.4709759132002</v>
      </c>
      <c r="I17" s="39">
        <f t="shared" si="1"/>
        <v>27610.179331835639</v>
      </c>
      <c r="J17" s="39">
        <v>318.3</v>
      </c>
      <c r="K17" s="33">
        <v>186.48</v>
      </c>
      <c r="L17" s="88"/>
      <c r="M17" s="88"/>
    </row>
    <row r="18" spans="1:13">
      <c r="A18" s="10">
        <v>1990</v>
      </c>
      <c r="B18" s="39">
        <f t="shared" si="2"/>
        <v>318.3</v>
      </c>
      <c r="C18" s="39">
        <v>28325.200000000001</v>
      </c>
      <c r="D18" s="39">
        <v>49.638329783028006</v>
      </c>
      <c r="E18" s="39">
        <f t="shared" si="3"/>
        <v>28693.138329783029</v>
      </c>
      <c r="F18" s="39"/>
      <c r="G18" s="39">
        <f t="shared" si="0"/>
        <v>22775.031716275229</v>
      </c>
      <c r="H18" s="39">
        <v>5633.1066135077999</v>
      </c>
      <c r="I18" s="39">
        <f t="shared" si="1"/>
        <v>28408.138329783029</v>
      </c>
      <c r="J18" s="39">
        <v>285</v>
      </c>
      <c r="K18" s="33">
        <v>181.38</v>
      </c>
      <c r="L18" s="88"/>
      <c r="M18" s="88"/>
    </row>
    <row r="19" spans="1:13">
      <c r="A19" s="10">
        <v>1991</v>
      </c>
      <c r="B19" s="39">
        <f t="shared" si="2"/>
        <v>285</v>
      </c>
      <c r="C19" s="39">
        <v>29830.799999999999</v>
      </c>
      <c r="D19" s="39">
        <v>68.861405648573992</v>
      </c>
      <c r="E19" s="39">
        <f t="shared" si="3"/>
        <v>30184.661405648574</v>
      </c>
      <c r="F19" s="39"/>
      <c r="G19" s="39">
        <f t="shared" si="0"/>
        <v>22853.535142301371</v>
      </c>
      <c r="H19" s="39">
        <v>7101.1262633472015</v>
      </c>
      <c r="I19" s="39">
        <f t="shared" si="1"/>
        <v>29954.661405648574</v>
      </c>
      <c r="J19" s="39">
        <v>230</v>
      </c>
      <c r="K19" s="33">
        <v>189.21</v>
      </c>
      <c r="L19" s="88"/>
      <c r="M19" s="88"/>
    </row>
    <row r="20" spans="1:13">
      <c r="A20" s="10">
        <v>1992</v>
      </c>
      <c r="B20" s="39">
        <f t="shared" si="2"/>
        <v>230</v>
      </c>
      <c r="C20" s="39">
        <v>30364.194000000003</v>
      </c>
      <c r="D20" s="39">
        <v>94.648846034043018</v>
      </c>
      <c r="E20" s="39">
        <f t="shared" si="3"/>
        <v>30688.842846034047</v>
      </c>
      <c r="F20" s="39"/>
      <c r="G20" s="39">
        <f t="shared" si="0"/>
        <v>24086.211071734746</v>
      </c>
      <c r="H20" s="39">
        <v>6398.1947742992998</v>
      </c>
      <c r="I20" s="39">
        <f t="shared" si="1"/>
        <v>30484.405846034046</v>
      </c>
      <c r="J20" s="39">
        <v>204.43700000000001</v>
      </c>
      <c r="K20" s="33">
        <v>193.75</v>
      </c>
      <c r="L20" s="88"/>
      <c r="M20" s="88"/>
    </row>
    <row r="21" spans="1:13">
      <c r="A21" s="10">
        <v>1993</v>
      </c>
      <c r="B21" s="39">
        <f t="shared" si="2"/>
        <v>204.43700000000001</v>
      </c>
      <c r="C21" s="39">
        <v>30514.129000000001</v>
      </c>
      <c r="D21" s="39">
        <v>74.635889379849004</v>
      </c>
      <c r="E21" s="39">
        <f t="shared" si="3"/>
        <v>30793.201889379852</v>
      </c>
      <c r="F21" s="39"/>
      <c r="G21" s="39">
        <f t="shared" ref="G21:G27" si="4">+I21-H21</f>
        <v>25162.650019629851</v>
      </c>
      <c r="H21" s="39">
        <v>5480.9658697500008</v>
      </c>
      <c r="I21" s="39">
        <f t="shared" ref="I21:I27" si="5">+E21-J21</f>
        <v>30643.615889379853</v>
      </c>
      <c r="J21" s="39">
        <v>149.58600000000001</v>
      </c>
      <c r="K21" s="33">
        <v>192.86</v>
      </c>
      <c r="L21" s="88"/>
      <c r="M21" s="88"/>
    </row>
    <row r="22" spans="1:13">
      <c r="A22" s="10">
        <v>1994</v>
      </c>
      <c r="B22" s="39">
        <f t="shared" si="2"/>
        <v>149.58600000000001</v>
      </c>
      <c r="C22" s="39">
        <v>33269.410000000003</v>
      </c>
      <c r="D22" s="39">
        <v>70.64862656531399</v>
      </c>
      <c r="E22" s="39">
        <f t="shared" si="3"/>
        <v>33489.644626565321</v>
      </c>
      <c r="F22" s="39"/>
      <c r="G22" s="39">
        <f t="shared" si="4"/>
        <v>26426.930730003318</v>
      </c>
      <c r="H22" s="39">
        <v>6839.3348965620016</v>
      </c>
      <c r="I22" s="39">
        <f t="shared" si="5"/>
        <v>33266.26562656532</v>
      </c>
      <c r="J22" s="39">
        <v>223.37900000000002</v>
      </c>
      <c r="K22" s="33">
        <v>162.6</v>
      </c>
      <c r="L22" s="88"/>
      <c r="M22" s="88"/>
    </row>
    <row r="23" spans="1:13">
      <c r="A23" s="10">
        <v>1995</v>
      </c>
      <c r="B23" s="39">
        <f t="shared" si="2"/>
        <v>223.37900000000002</v>
      </c>
      <c r="C23" s="39">
        <v>32527.040000000001</v>
      </c>
      <c r="D23" s="39">
        <v>99.704516069150984</v>
      </c>
      <c r="E23" s="39">
        <f t="shared" si="3"/>
        <v>32850.12351606915</v>
      </c>
      <c r="F23" s="39"/>
      <c r="G23" s="39">
        <f t="shared" si="4"/>
        <v>26548.748873658253</v>
      </c>
      <c r="H23" s="39">
        <v>6088.9696424108997</v>
      </c>
      <c r="I23" s="39">
        <f t="shared" si="5"/>
        <v>32637.718516069152</v>
      </c>
      <c r="J23" s="39">
        <v>212.405</v>
      </c>
      <c r="K23" s="33">
        <v>235.9</v>
      </c>
      <c r="L23" s="88"/>
      <c r="M23" s="88"/>
    </row>
    <row r="24" spans="1:13">
      <c r="A24" s="10">
        <v>1996</v>
      </c>
      <c r="B24" s="39">
        <f t="shared" si="2"/>
        <v>212.405</v>
      </c>
      <c r="C24" s="39">
        <v>34211.215000000004</v>
      </c>
      <c r="D24" s="39">
        <v>119.20565208906899</v>
      </c>
      <c r="E24" s="39">
        <f t="shared" si="3"/>
        <v>34542.825652089072</v>
      </c>
      <c r="F24" s="39"/>
      <c r="G24" s="39">
        <f t="shared" si="4"/>
        <v>27222.094393573771</v>
      </c>
      <c r="H24" s="39">
        <v>7111.2312585153013</v>
      </c>
      <c r="I24" s="39">
        <f t="shared" si="5"/>
        <v>34333.325652089072</v>
      </c>
      <c r="J24" s="39">
        <v>209.5</v>
      </c>
      <c r="K24" s="33">
        <v>270.89999999999998</v>
      </c>
      <c r="L24" s="88"/>
      <c r="M24" s="88"/>
    </row>
    <row r="25" spans="1:13">
      <c r="A25" s="10">
        <v>1997</v>
      </c>
      <c r="B25" s="39">
        <f t="shared" si="2"/>
        <v>209.5</v>
      </c>
      <c r="C25" s="39">
        <v>38176.416000000005</v>
      </c>
      <c r="D25" s="39">
        <v>66.181418643689994</v>
      </c>
      <c r="E25" s="39">
        <f t="shared" si="3"/>
        <v>38452.097418643694</v>
      </c>
      <c r="F25" s="39"/>
      <c r="G25" s="39">
        <f t="shared" si="4"/>
        <v>28619.357623617791</v>
      </c>
      <c r="H25" s="39">
        <v>9614.672795025901</v>
      </c>
      <c r="I25" s="39">
        <f t="shared" si="5"/>
        <v>38234.030418643692</v>
      </c>
      <c r="J25" s="39">
        <v>218.06700000000001</v>
      </c>
      <c r="K25" s="33">
        <v>185.3</v>
      </c>
      <c r="L25" s="88"/>
      <c r="M25" s="88"/>
    </row>
    <row r="26" spans="1:13">
      <c r="A26" s="10">
        <v>1998</v>
      </c>
      <c r="B26" s="39">
        <f t="shared" si="2"/>
        <v>218.06700000000001</v>
      </c>
      <c r="C26" s="39">
        <v>37796.553</v>
      </c>
      <c r="D26" s="39">
        <v>111.73103331698699</v>
      </c>
      <c r="E26" s="39">
        <f t="shared" si="3"/>
        <v>38126.351033316991</v>
      </c>
      <c r="F26" s="39"/>
      <c r="G26" s="39">
        <f t="shared" si="4"/>
        <v>30102.743509943888</v>
      </c>
      <c r="H26" s="39">
        <v>7693.3835233730997</v>
      </c>
      <c r="I26" s="39">
        <f t="shared" si="5"/>
        <v>37796.127033316989</v>
      </c>
      <c r="J26" s="39">
        <v>330.22399999999999</v>
      </c>
      <c r="K26" s="33">
        <v>138.55000000000001</v>
      </c>
      <c r="L26" s="88"/>
      <c r="M26" s="88"/>
    </row>
    <row r="27" spans="1:13">
      <c r="A27" s="10">
        <v>1999</v>
      </c>
      <c r="B27" s="39">
        <f t="shared" si="2"/>
        <v>330.22399999999999</v>
      </c>
      <c r="C27" s="39">
        <v>37591.152999999998</v>
      </c>
      <c r="D27" s="39">
        <v>71.143200441684016</v>
      </c>
      <c r="E27" s="39">
        <f t="shared" si="3"/>
        <v>37992.520200441686</v>
      </c>
      <c r="F27" s="39"/>
      <c r="G27" s="39">
        <f t="shared" si="4"/>
        <v>30080.358195430188</v>
      </c>
      <c r="H27" s="39">
        <v>7619.2800050115002</v>
      </c>
      <c r="I27" s="39">
        <f t="shared" si="5"/>
        <v>37699.638200441688</v>
      </c>
      <c r="J27" s="39">
        <v>292.88200000000001</v>
      </c>
      <c r="K27" s="33">
        <v>167.7</v>
      </c>
      <c r="L27" s="88"/>
      <c r="M27" s="88"/>
    </row>
    <row r="28" spans="1:13">
      <c r="A28" s="10">
        <v>2000</v>
      </c>
      <c r="B28" s="84">
        <f t="shared" ref="B28:B33" si="6">+J27</f>
        <v>292.88200000000001</v>
      </c>
      <c r="C28" s="84">
        <v>39385.067000000003</v>
      </c>
      <c r="D28" s="84">
        <v>54.861085914894005</v>
      </c>
      <c r="E28" s="39">
        <f t="shared" si="3"/>
        <v>39732.810085914898</v>
      </c>
      <c r="F28" s="84"/>
      <c r="G28" s="84">
        <f t="shared" ref="G28:G33" si="7">+I28-H28</f>
        <v>31264.490589662797</v>
      </c>
      <c r="H28" s="84">
        <v>8085.0224962521006</v>
      </c>
      <c r="I28" s="84">
        <f t="shared" ref="I28:I33" si="8">+E28-J28</f>
        <v>39349.513085914899</v>
      </c>
      <c r="J28" s="84">
        <v>383.29700000000003</v>
      </c>
      <c r="K28" s="85">
        <v>173.61</v>
      </c>
      <c r="L28" s="88"/>
      <c r="M28" s="88"/>
    </row>
    <row r="29" spans="1:13">
      <c r="A29" s="71">
        <v>2001</v>
      </c>
      <c r="B29" s="84">
        <f t="shared" si="6"/>
        <v>383.29700000000003</v>
      </c>
      <c r="C29" s="84">
        <v>40291.832000000002</v>
      </c>
      <c r="D29" s="84">
        <v>147.58826105721602</v>
      </c>
      <c r="E29" s="39">
        <f t="shared" si="3"/>
        <v>40822.717261057216</v>
      </c>
      <c r="F29" s="84"/>
      <c r="G29" s="84">
        <f t="shared" si="7"/>
        <v>32567.438195617819</v>
      </c>
      <c r="H29" s="84">
        <v>8015.3060654394003</v>
      </c>
      <c r="I29" s="84">
        <f t="shared" si="8"/>
        <v>40582.744261057218</v>
      </c>
      <c r="J29" s="84">
        <v>239.97300000000001</v>
      </c>
      <c r="K29" s="85">
        <v>167.72</v>
      </c>
      <c r="L29" s="88"/>
      <c r="M29" s="88"/>
    </row>
    <row r="30" spans="1:13">
      <c r="A30" s="71">
        <v>2002</v>
      </c>
      <c r="B30" s="84">
        <f t="shared" si="6"/>
        <v>239.97300000000001</v>
      </c>
      <c r="C30" s="84">
        <v>38194.363999999994</v>
      </c>
      <c r="D30" s="84">
        <v>173.14371127424704</v>
      </c>
      <c r="E30" s="39">
        <f t="shared" si="3"/>
        <v>38607.480711274242</v>
      </c>
      <c r="F30" s="84"/>
      <c r="G30" s="84">
        <f t="shared" si="7"/>
        <v>32073.560882858641</v>
      </c>
      <c r="H30" s="84">
        <v>6313.9708284155995</v>
      </c>
      <c r="I30" s="84">
        <f t="shared" si="8"/>
        <v>38387.531711274241</v>
      </c>
      <c r="J30" s="84">
        <v>219.94899999999998</v>
      </c>
      <c r="K30" s="85">
        <v>181.58</v>
      </c>
      <c r="L30" s="88"/>
      <c r="M30" s="88"/>
    </row>
    <row r="31" spans="1:13">
      <c r="A31" s="71">
        <v>2003</v>
      </c>
      <c r="B31" s="84">
        <f t="shared" si="6"/>
        <v>219.94899999999998</v>
      </c>
      <c r="C31" s="84">
        <v>36324.455000000002</v>
      </c>
      <c r="D31" s="84">
        <v>285.230620186029</v>
      </c>
      <c r="E31" s="39">
        <f t="shared" ref="E31:E36" si="9">+B31+C31+D31</f>
        <v>36829.634620186029</v>
      </c>
      <c r="F31" s="84"/>
      <c r="G31" s="84">
        <f t="shared" si="7"/>
        <v>31449.478319528032</v>
      </c>
      <c r="H31" s="84">
        <v>5169.4193006579972</v>
      </c>
      <c r="I31" s="84">
        <f t="shared" si="8"/>
        <v>36618.897620186028</v>
      </c>
      <c r="J31" s="84">
        <v>210.73700000000002</v>
      </c>
      <c r="K31" s="85">
        <v>256.05</v>
      </c>
      <c r="L31" s="88"/>
      <c r="M31" s="88"/>
    </row>
    <row r="32" spans="1:13">
      <c r="A32" s="71">
        <v>2004</v>
      </c>
      <c r="B32" s="84">
        <f t="shared" si="6"/>
        <v>210.73700000000002</v>
      </c>
      <c r="C32" s="84">
        <v>40715.440999999999</v>
      </c>
      <c r="D32" s="84">
        <v>147.16075398670802</v>
      </c>
      <c r="E32" s="39">
        <f t="shared" si="9"/>
        <v>41073.338753986711</v>
      </c>
      <c r="F32" s="84"/>
      <c r="G32" s="84">
        <f t="shared" si="7"/>
        <v>33561.139775323005</v>
      </c>
      <c r="H32" s="84">
        <v>7340.4029786637057</v>
      </c>
      <c r="I32" s="84">
        <f t="shared" si="8"/>
        <v>40901.542753986709</v>
      </c>
      <c r="J32" s="84">
        <v>171.79599999999999</v>
      </c>
      <c r="K32" s="85">
        <v>182.9</v>
      </c>
      <c r="L32" s="88"/>
      <c r="M32" s="88"/>
    </row>
    <row r="33" spans="1:11">
      <c r="A33" s="71">
        <v>2005</v>
      </c>
      <c r="B33" s="84">
        <f t="shared" si="6"/>
        <v>171.79599999999999</v>
      </c>
      <c r="C33" s="84">
        <v>41243.914000000004</v>
      </c>
      <c r="D33" s="84">
        <v>140.796088536789</v>
      </c>
      <c r="E33" s="39">
        <f t="shared" si="9"/>
        <v>41556.506088536793</v>
      </c>
      <c r="F33" s="84"/>
      <c r="G33" s="84">
        <f t="shared" si="7"/>
        <v>33194.939385345788</v>
      </c>
      <c r="H33" s="84">
        <v>8047.8017031910049</v>
      </c>
      <c r="I33" s="84">
        <f t="shared" si="8"/>
        <v>41242.741088536794</v>
      </c>
      <c r="J33" s="84">
        <v>313.76499999999999</v>
      </c>
      <c r="K33" s="85">
        <v>174.17</v>
      </c>
    </row>
    <row r="34" spans="1:11">
      <c r="A34" s="71">
        <v>2006</v>
      </c>
      <c r="B34" s="84">
        <f t="shared" ref="B34:B39" si="10">+J33</f>
        <v>313.76499999999999</v>
      </c>
      <c r="C34" s="84">
        <v>43031.546570000006</v>
      </c>
      <c r="D34" s="84">
        <v>156.36249016825502</v>
      </c>
      <c r="E34" s="39">
        <f t="shared" si="9"/>
        <v>43501.674060168261</v>
      </c>
      <c r="F34" s="84"/>
      <c r="G34" s="84">
        <f t="shared" ref="G34:G39" si="11">+I34-H34</f>
        <v>34354.753536586861</v>
      </c>
      <c r="H34" s="84">
        <v>8803.9515235814033</v>
      </c>
      <c r="I34" s="84">
        <f t="shared" ref="I34:I39" si="12">+E34-J34</f>
        <v>43158.705060168264</v>
      </c>
      <c r="J34" s="84">
        <v>342.96899999999999</v>
      </c>
      <c r="K34" s="85">
        <v>205.44</v>
      </c>
    </row>
    <row r="35" spans="1:11">
      <c r="A35" s="71">
        <v>2007</v>
      </c>
      <c r="B35" s="84">
        <f t="shared" si="10"/>
        <v>342.96899999999999</v>
      </c>
      <c r="C35" s="84">
        <f>'tab7'!C20</f>
        <v>42284.076460000004</v>
      </c>
      <c r="D35" s="84">
        <f>'tab7'!D20</f>
        <v>140.62193001265501</v>
      </c>
      <c r="E35" s="39">
        <f t="shared" si="9"/>
        <v>42767.667390012655</v>
      </c>
      <c r="F35" s="84"/>
      <c r="G35" s="84">
        <f t="shared" si="11"/>
        <v>33231.85553778601</v>
      </c>
      <c r="H35" s="84">
        <f>'tab7'!H20</f>
        <v>9241.9678522266495</v>
      </c>
      <c r="I35" s="84">
        <f t="shared" si="12"/>
        <v>42473.823390012658</v>
      </c>
      <c r="J35" s="84">
        <f>'tab7'!J19</f>
        <v>293.84400000000005</v>
      </c>
      <c r="K35" s="85">
        <v>335.94</v>
      </c>
    </row>
    <row r="36" spans="1:11">
      <c r="A36" s="71">
        <v>2008</v>
      </c>
      <c r="B36" s="84">
        <f t="shared" si="10"/>
        <v>293.84400000000005</v>
      </c>
      <c r="C36" s="84">
        <v>39102.433099999995</v>
      </c>
      <c r="D36" s="84">
        <v>87.724852550370031</v>
      </c>
      <c r="E36" s="39">
        <f t="shared" si="9"/>
        <v>39484.001952550359</v>
      </c>
      <c r="F36" s="84"/>
      <c r="G36" s="84">
        <f t="shared" si="11"/>
        <v>30752.203793197361</v>
      </c>
      <c r="H36" s="84">
        <f>'tab7'!H34</f>
        <v>8497.0671593529969</v>
      </c>
      <c r="I36" s="84">
        <f t="shared" si="12"/>
        <v>39249.27095255036</v>
      </c>
      <c r="J36" s="84">
        <f>'tab7'!J33</f>
        <v>234.73099999999999</v>
      </c>
      <c r="K36" s="85">
        <v>331.17</v>
      </c>
    </row>
    <row r="37" spans="1:11">
      <c r="A37" s="71">
        <v>2009</v>
      </c>
      <c r="B37" s="84">
        <f t="shared" si="10"/>
        <v>234.73099999999999</v>
      </c>
      <c r="C37" s="84">
        <v>41706.522250000002</v>
      </c>
      <c r="D37" s="84">
        <v>160.003937078181</v>
      </c>
      <c r="E37" s="39">
        <f t="shared" ref="E37:E42" si="13">+B37+C37+D37</f>
        <v>42101.257187078183</v>
      </c>
      <c r="F37" s="84"/>
      <c r="G37" s="84">
        <f t="shared" si="11"/>
        <v>30640.234987746197</v>
      </c>
      <c r="H37" s="84">
        <f>'tab7'!H48</f>
        <v>11159.468199331988</v>
      </c>
      <c r="I37" s="84">
        <f t="shared" si="12"/>
        <v>41799.703187078187</v>
      </c>
      <c r="J37" s="84">
        <f>'tab7'!J47</f>
        <v>301.55399999999997</v>
      </c>
      <c r="K37" s="85">
        <v>311.27</v>
      </c>
    </row>
    <row r="38" spans="1:11">
      <c r="A38" s="71">
        <v>2010</v>
      </c>
      <c r="B38" s="84">
        <f t="shared" si="10"/>
        <v>301.55399999999997</v>
      </c>
      <c r="C38" s="84">
        <v>39250.930509999998</v>
      </c>
      <c r="D38" s="84">
        <v>179.6542058556</v>
      </c>
      <c r="E38" s="39">
        <f t="shared" si="13"/>
        <v>39732.138715855595</v>
      </c>
      <c r="F38" s="84"/>
      <c r="G38" s="84">
        <f t="shared" si="11"/>
        <v>30301.193532282487</v>
      </c>
      <c r="H38" s="84">
        <v>9080.9451835731088</v>
      </c>
      <c r="I38" s="84">
        <f t="shared" si="12"/>
        <v>39382.138715855595</v>
      </c>
      <c r="J38" s="84">
        <f>'tab7'!J61</f>
        <v>350</v>
      </c>
      <c r="K38" s="85">
        <v>345.52</v>
      </c>
    </row>
    <row r="39" spans="1:11">
      <c r="A39" s="71">
        <v>2011</v>
      </c>
      <c r="B39" s="84">
        <f t="shared" si="10"/>
        <v>350</v>
      </c>
      <c r="C39" s="84">
        <v>41035.722435549993</v>
      </c>
      <c r="D39" s="84">
        <v>215.849014134957</v>
      </c>
      <c r="E39" s="39">
        <f t="shared" si="13"/>
        <v>41601.571449684947</v>
      </c>
      <c r="F39" s="84"/>
      <c r="G39" s="84">
        <f t="shared" si="11"/>
        <v>31551.853705135592</v>
      </c>
      <c r="H39" s="84">
        <v>9749.6833304243519</v>
      </c>
      <c r="I39" s="84">
        <f t="shared" si="12"/>
        <v>41301.537035559944</v>
      </c>
      <c r="J39" s="84">
        <v>300.03441412499996</v>
      </c>
      <c r="K39" s="85">
        <v>395.53</v>
      </c>
    </row>
    <row r="40" spans="1:11">
      <c r="A40" s="71">
        <v>2012</v>
      </c>
      <c r="B40" s="84">
        <f>+J39</f>
        <v>300.03441412499996</v>
      </c>
      <c r="C40" s="84">
        <v>39875.164675500004</v>
      </c>
      <c r="D40" s="84">
        <v>244.78521801734703</v>
      </c>
      <c r="E40" s="39">
        <f t="shared" si="13"/>
        <v>40419.984307642357</v>
      </c>
      <c r="F40" s="84"/>
      <c r="G40" s="84">
        <f t="shared" ref="G40:G45" si="14">+I40-H40</f>
        <v>28999.028080074357</v>
      </c>
      <c r="H40" s="84">
        <v>11146</v>
      </c>
      <c r="I40" s="84">
        <f t="shared" ref="I40:I45" si="15">+E40-J40</f>
        <v>40145.028080074357</v>
      </c>
      <c r="J40" s="84">
        <v>274.95622756800003</v>
      </c>
      <c r="K40" s="85">
        <v>468.11</v>
      </c>
    </row>
    <row r="41" spans="1:11">
      <c r="A41" s="71">
        <v>2013</v>
      </c>
      <c r="B41" s="84">
        <f>J40</f>
        <v>274.95622756800003</v>
      </c>
      <c r="C41" s="84">
        <v>40684.650893000005</v>
      </c>
      <c r="D41" s="84">
        <v>382.64782108858202</v>
      </c>
      <c r="E41" s="39">
        <f t="shared" si="13"/>
        <v>41342.254941656589</v>
      </c>
      <c r="F41" s="84"/>
      <c r="G41" s="84">
        <f t="shared" si="14"/>
        <v>29514.121747508303</v>
      </c>
      <c r="H41" s="84">
        <v>11578.133194148284</v>
      </c>
      <c r="I41" s="84">
        <f t="shared" si="15"/>
        <v>41092.254941656589</v>
      </c>
      <c r="J41" s="84">
        <v>250</v>
      </c>
      <c r="K41" s="85">
        <v>489.94</v>
      </c>
    </row>
    <row r="42" spans="1:11">
      <c r="A42" s="71">
        <v>2014</v>
      </c>
      <c r="B42" s="84">
        <f>J41</f>
        <v>250</v>
      </c>
      <c r="C42" s="227">
        <v>45062</v>
      </c>
      <c r="D42" s="227">
        <v>332.95030271640906</v>
      </c>
      <c r="E42" s="39">
        <f t="shared" si="13"/>
        <v>45644.95030271641</v>
      </c>
      <c r="F42" s="84"/>
      <c r="G42" s="84">
        <f t="shared" si="14"/>
        <v>32277.093526243123</v>
      </c>
      <c r="H42" s="227">
        <v>13107.392776473285</v>
      </c>
      <c r="I42" s="84">
        <f t="shared" si="15"/>
        <v>45384.48630271641</v>
      </c>
      <c r="J42" s="227">
        <v>260.464</v>
      </c>
      <c r="K42" s="232">
        <v>368.49</v>
      </c>
    </row>
    <row r="43" spans="1:11">
      <c r="A43" s="71">
        <v>2015</v>
      </c>
      <c r="B43" s="84">
        <f>J42</f>
        <v>260.464</v>
      </c>
      <c r="C43" s="227">
        <f>'tab7'!C76</f>
        <v>44671.661999999989</v>
      </c>
      <c r="D43" s="227">
        <f>'tab7'!D76</f>
        <v>403.42275683539208</v>
      </c>
      <c r="E43" s="39">
        <f>+B43+C43+D43</f>
        <v>45335.548756835378</v>
      </c>
      <c r="F43" s="84"/>
      <c r="G43" s="84">
        <f t="shared" si="14"/>
        <v>33117.813108550698</v>
      </c>
      <c r="H43" s="227">
        <f>'tab7'!H76</f>
        <v>11953.849648284682</v>
      </c>
      <c r="I43" s="84">
        <f t="shared" si="15"/>
        <v>45071.66275683538</v>
      </c>
      <c r="J43" s="227">
        <f>'tab7'!J75</f>
        <v>263.88600000000002</v>
      </c>
      <c r="K43" s="232">
        <v>324.56</v>
      </c>
    </row>
    <row r="44" spans="1:11">
      <c r="A44" s="71">
        <v>2016</v>
      </c>
      <c r="B44" s="84">
        <f>J43</f>
        <v>263.88600000000002</v>
      </c>
      <c r="C44" s="227">
        <f>'tab7'!C90</f>
        <v>44787.017</v>
      </c>
      <c r="D44" s="227">
        <f>'tab7'!D90</f>
        <v>349.49540109002407</v>
      </c>
      <c r="E44" s="39">
        <f>+B44+C44+D44</f>
        <v>45400.398401090024</v>
      </c>
      <c r="F44" s="84"/>
      <c r="G44" s="84">
        <f t="shared" si="14"/>
        <v>33398.855525847233</v>
      </c>
      <c r="H44" s="227">
        <f>'tab7'!H90</f>
        <v>11600.912875242791</v>
      </c>
      <c r="I44" s="84">
        <f t="shared" si="15"/>
        <v>44999.768401090027</v>
      </c>
      <c r="J44" s="227">
        <f>'tab7'!J89</f>
        <v>400.63</v>
      </c>
      <c r="K44" s="232">
        <v>316.88</v>
      </c>
    </row>
    <row r="45" spans="1:11">
      <c r="A45" s="130" t="s">
        <v>661</v>
      </c>
      <c r="B45" s="40">
        <f>J44</f>
        <v>400.63</v>
      </c>
      <c r="C45" s="226">
        <v>46299</v>
      </c>
      <c r="D45" s="226">
        <v>300</v>
      </c>
      <c r="E45" s="40">
        <f>+B45+C45+D45</f>
        <v>46999.63</v>
      </c>
      <c r="F45" s="40"/>
      <c r="G45" s="40">
        <f t="shared" si="14"/>
        <v>34299.629999999997</v>
      </c>
      <c r="H45" s="226">
        <v>12400</v>
      </c>
      <c r="I45" s="40">
        <f t="shared" si="15"/>
        <v>46699.63</v>
      </c>
      <c r="J45" s="226">
        <v>300</v>
      </c>
      <c r="K45" s="353" t="s">
        <v>733</v>
      </c>
    </row>
    <row r="46" spans="1:11" ht="13.25" customHeight="1">
      <c r="A46" s="117" t="s">
        <v>424</v>
      </c>
    </row>
    <row r="47" spans="1:11" ht="13.25" customHeight="1">
      <c r="A47" s="117" t="s">
        <v>596</v>
      </c>
    </row>
    <row r="48" spans="1:11" ht="13.25" customHeight="1">
      <c r="A48" s="159" t="s">
        <v>597</v>
      </c>
    </row>
    <row r="49" spans="11:11">
      <c r="K49" s="305" t="s">
        <v>679</v>
      </c>
    </row>
  </sheetData>
  <phoneticPr fontId="0" type="noConversion"/>
  <pageMargins left="0.7" right="0.7" top="0.75" bottom="0.75" header="0.3" footer="0.3"/>
  <pageSetup scale="80" firstPageNumber="31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M49"/>
  <sheetViews>
    <sheetView zoomScaleNormal="100" zoomScaleSheetLayoutView="100" workbookViewId="0">
      <pane ySplit="6" topLeftCell="A7" activePane="bottomLeft" state="frozen"/>
      <selection pane="bottomLeft"/>
    </sheetView>
  </sheetViews>
  <sheetFormatPr baseColWidth="10" defaultColWidth="8.75" defaultRowHeight="11"/>
  <cols>
    <col min="1" max="5" width="11.75" customWidth="1"/>
    <col min="6" max="6" width="6.75" customWidth="1"/>
    <col min="7" max="12" width="11.75" customWidth="1"/>
  </cols>
  <sheetData>
    <row r="1" spans="1:12">
      <c r="A1" s="1" t="s">
        <v>681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K2" s="7" t="s">
        <v>349</v>
      </c>
    </row>
    <row r="3" spans="1:12">
      <c r="B3" s="318"/>
      <c r="C3" s="318" t="s">
        <v>119</v>
      </c>
      <c r="D3" s="318"/>
      <c r="E3" s="318"/>
      <c r="F3" s="37"/>
      <c r="G3" s="318"/>
      <c r="H3" s="341" t="s">
        <v>117</v>
      </c>
      <c r="I3" s="318"/>
      <c r="J3" s="318"/>
      <c r="K3" s="7" t="s">
        <v>366</v>
      </c>
      <c r="L3" s="7" t="s">
        <v>367</v>
      </c>
    </row>
    <row r="4" spans="1:12">
      <c r="A4" t="s">
        <v>356</v>
      </c>
      <c r="B4" s="199" t="s">
        <v>347</v>
      </c>
      <c r="C4" s="7" t="s">
        <v>66</v>
      </c>
      <c r="D4" s="317" t="s">
        <v>88</v>
      </c>
      <c r="E4" s="7" t="s">
        <v>3</v>
      </c>
      <c r="F4" s="7"/>
      <c r="G4" s="7" t="s">
        <v>142</v>
      </c>
      <c r="H4" s="7" t="s">
        <v>90</v>
      </c>
      <c r="I4" s="7" t="s">
        <v>3</v>
      </c>
      <c r="J4" s="7" t="s">
        <v>364</v>
      </c>
      <c r="K4" s="7" t="s">
        <v>357</v>
      </c>
      <c r="L4" s="7"/>
    </row>
    <row r="5" spans="1:12">
      <c r="A5" s="1" t="s">
        <v>355</v>
      </c>
      <c r="B5" s="200" t="s">
        <v>348</v>
      </c>
      <c r="C5" s="1"/>
      <c r="D5" s="1"/>
      <c r="E5" s="1"/>
      <c r="F5" s="1"/>
      <c r="G5" s="1"/>
      <c r="H5" s="1"/>
      <c r="I5" s="1"/>
      <c r="J5" s="9" t="s">
        <v>402</v>
      </c>
      <c r="K5" s="9" t="s">
        <v>365</v>
      </c>
      <c r="L5" s="9"/>
    </row>
    <row r="6" spans="1:12" ht="12" customHeight="1">
      <c r="C6" s="315"/>
      <c r="D6" s="315"/>
      <c r="E6" s="315"/>
      <c r="F6" s="315"/>
      <c r="G6" s="315" t="s">
        <v>764</v>
      </c>
      <c r="H6" s="315"/>
      <c r="I6" s="315"/>
      <c r="J6" s="315"/>
      <c r="K6" s="7" t="s">
        <v>95</v>
      </c>
      <c r="L6" s="7" t="s">
        <v>521</v>
      </c>
    </row>
    <row r="7" spans="1:12" ht="12" customHeight="1">
      <c r="B7" s="171"/>
      <c r="C7" s="171"/>
      <c r="D7" s="319"/>
      <c r="E7" s="171"/>
      <c r="F7" s="171"/>
      <c r="G7" s="171"/>
      <c r="H7" s="171"/>
      <c r="I7" s="171"/>
      <c r="J7" s="171"/>
      <c r="K7" s="7"/>
      <c r="L7" s="7"/>
    </row>
    <row r="8" spans="1:12">
      <c r="A8" s="10">
        <v>1980</v>
      </c>
      <c r="B8" s="25">
        <v>56.6</v>
      </c>
      <c r="C8" s="25">
        <v>1042.6400000000001</v>
      </c>
      <c r="D8" s="25">
        <v>0</v>
      </c>
      <c r="E8" s="25">
        <f>SUM(B8:D8)</f>
        <v>1099.24</v>
      </c>
      <c r="F8" s="25"/>
      <c r="G8" s="25">
        <f>+I8-H8</f>
        <v>955.33999999999992</v>
      </c>
      <c r="H8" s="25">
        <v>88</v>
      </c>
      <c r="I8" s="25">
        <f>E8-B9</f>
        <v>1043.3399999999999</v>
      </c>
      <c r="J8" s="25">
        <v>241</v>
      </c>
      <c r="K8" s="99">
        <f>+J8/227.726</f>
        <v>1.0582893477248976</v>
      </c>
      <c r="L8" s="35">
        <v>21.55</v>
      </c>
    </row>
    <row r="9" spans="1:12">
      <c r="A9" s="10">
        <v>1981</v>
      </c>
      <c r="B9" s="25">
        <v>55.9</v>
      </c>
      <c r="C9" s="25">
        <v>1130.0739999999998</v>
      </c>
      <c r="D9" s="25">
        <v>0</v>
      </c>
      <c r="E9" s="25">
        <f t="shared" ref="E9:E44" si="0">SUM(B9:D9)</f>
        <v>1185.9739999999999</v>
      </c>
      <c r="F9" s="25"/>
      <c r="G9" s="25">
        <f t="shared" ref="G9:G28" si="1">+I9-H9</f>
        <v>990.07399999999984</v>
      </c>
      <c r="H9" s="25">
        <v>142</v>
      </c>
      <c r="I9" s="25">
        <f t="shared" ref="I9:I44" si="2">E9-B10</f>
        <v>1132.0739999999998</v>
      </c>
      <c r="J9" s="25">
        <v>223</v>
      </c>
      <c r="K9" s="99">
        <f>+J9/229.966</f>
        <v>0.96970856561404728</v>
      </c>
      <c r="L9" s="35">
        <v>30.25</v>
      </c>
    </row>
    <row r="10" spans="1:12">
      <c r="A10" s="10">
        <v>1982</v>
      </c>
      <c r="B10" s="25">
        <v>53.9</v>
      </c>
      <c r="C10" s="25">
        <v>1109.9669999999999</v>
      </c>
      <c r="D10" s="25">
        <v>0</v>
      </c>
      <c r="E10" s="25">
        <f t="shared" si="0"/>
        <v>1163.867</v>
      </c>
      <c r="F10" s="25"/>
      <c r="G10" s="25">
        <f t="shared" si="1"/>
        <v>1030.1779999999999</v>
      </c>
      <c r="H10" s="25">
        <v>74.88900000000001</v>
      </c>
      <c r="I10" s="25">
        <f t="shared" si="2"/>
        <v>1105.067</v>
      </c>
      <c r="J10" s="25">
        <v>303.892</v>
      </c>
      <c r="K10" s="99">
        <f>+J10/232.188</f>
        <v>1.3088187158681759</v>
      </c>
      <c r="L10" s="35">
        <v>20.719916666666666</v>
      </c>
    </row>
    <row r="11" spans="1:12">
      <c r="A11" s="10">
        <v>1983</v>
      </c>
      <c r="B11" s="25">
        <v>58.8</v>
      </c>
      <c r="C11" s="25">
        <v>1260.163</v>
      </c>
      <c r="D11" s="25">
        <v>0</v>
      </c>
      <c r="E11" s="25">
        <f t="shared" si="0"/>
        <v>1318.963</v>
      </c>
      <c r="F11" s="25"/>
      <c r="G11" s="25">
        <f>+I11-H11</f>
        <v>1172.6679999999999</v>
      </c>
      <c r="H11" s="25">
        <v>103.79500000000002</v>
      </c>
      <c r="I11" s="25">
        <f t="shared" si="2"/>
        <v>1276.463</v>
      </c>
      <c r="J11" s="25">
        <v>495.51679999999999</v>
      </c>
      <c r="K11" s="99">
        <f>+J11/234.307</f>
        <v>2.1148185927010292</v>
      </c>
      <c r="L11" s="35">
        <v>18.820805555555555</v>
      </c>
    </row>
    <row r="12" spans="1:12">
      <c r="A12" s="10">
        <v>1984</v>
      </c>
      <c r="B12" s="25">
        <v>42.5</v>
      </c>
      <c r="C12" s="25">
        <v>1337.81</v>
      </c>
      <c r="D12" s="25">
        <v>7.9129999999999994</v>
      </c>
      <c r="E12" s="25">
        <f t="shared" si="0"/>
        <v>1388.223</v>
      </c>
      <c r="F12" s="25"/>
      <c r="G12" s="25">
        <f t="shared" si="1"/>
        <v>1298.836</v>
      </c>
      <c r="H12" s="25">
        <v>53.186999999999998</v>
      </c>
      <c r="I12" s="25">
        <f t="shared" si="2"/>
        <v>1352.0229999999999</v>
      </c>
      <c r="J12" s="25">
        <v>410.29100000000011</v>
      </c>
      <c r="K12" s="99">
        <f>+J12/236.348</f>
        <v>1.7359613789835331</v>
      </c>
      <c r="L12" s="35">
        <v>28.503125000000001</v>
      </c>
    </row>
    <row r="13" spans="1:12">
      <c r="A13" s="10">
        <v>1985</v>
      </c>
      <c r="B13" s="25">
        <v>36.200000000000003</v>
      </c>
      <c r="C13" s="25">
        <v>1610.713</v>
      </c>
      <c r="D13" s="25">
        <v>7.8890000000000002</v>
      </c>
      <c r="E13" s="25">
        <f t="shared" si="0"/>
        <v>1654.8019999999999</v>
      </c>
      <c r="F13" s="25"/>
      <c r="G13" s="25">
        <f>+I13-H13</f>
        <v>1539.7449999999999</v>
      </c>
      <c r="H13" s="25">
        <v>74.557000000000002</v>
      </c>
      <c r="I13" s="25">
        <f t="shared" si="2"/>
        <v>1614.3019999999999</v>
      </c>
      <c r="J13" s="25">
        <v>471.11299999999994</v>
      </c>
      <c r="K13" s="99">
        <f>+J13/238.466</f>
        <v>1.9755981984853184</v>
      </c>
      <c r="L13" s="35">
        <v>20.136458333333334</v>
      </c>
    </row>
    <row r="14" spans="1:12">
      <c r="A14" s="10">
        <v>1986</v>
      </c>
      <c r="B14" s="25">
        <v>40.5</v>
      </c>
      <c r="C14" s="25">
        <v>1523.066</v>
      </c>
      <c r="D14" s="25">
        <v>4.8279999999999994</v>
      </c>
      <c r="E14" s="25">
        <f t="shared" si="0"/>
        <v>1568.394</v>
      </c>
      <c r="F14" s="25"/>
      <c r="G14" s="25">
        <f t="shared" si="1"/>
        <v>1478.057</v>
      </c>
      <c r="H14" s="25">
        <v>57.537000000000013</v>
      </c>
      <c r="I14" s="25">
        <f t="shared" si="2"/>
        <v>1535.5940000000001</v>
      </c>
      <c r="J14" s="25">
        <v>437.50499999999994</v>
      </c>
      <c r="K14" s="99">
        <f>+J14/240.651</f>
        <v>1.8180061582956228</v>
      </c>
      <c r="L14" s="35">
        <v>13.48958333333333</v>
      </c>
    </row>
    <row r="15" spans="1:12">
      <c r="A15" s="10">
        <v>1987</v>
      </c>
      <c r="B15" s="25">
        <v>32.799999999999997</v>
      </c>
      <c r="C15" s="25">
        <v>1257.9789999999998</v>
      </c>
      <c r="D15" s="25">
        <v>4.9450000000000003</v>
      </c>
      <c r="E15" s="25">
        <f t="shared" si="0"/>
        <v>1295.7239999999997</v>
      </c>
      <c r="F15" s="25"/>
      <c r="G15" s="25">
        <f t="shared" si="1"/>
        <v>1192.0439999999999</v>
      </c>
      <c r="H15" s="25">
        <v>64.080000000000013</v>
      </c>
      <c r="I15" s="25">
        <f t="shared" si="2"/>
        <v>1256.1239999999998</v>
      </c>
      <c r="J15" s="25">
        <v>226.04100000000005</v>
      </c>
      <c r="K15" s="99">
        <f>+J15/242.804</f>
        <v>0.93096077494604723</v>
      </c>
      <c r="L15" s="35">
        <v>15.606472222222223</v>
      </c>
    </row>
    <row r="16" spans="1:12">
      <c r="A16" s="10">
        <v>1988</v>
      </c>
      <c r="B16" s="25">
        <v>39.6</v>
      </c>
      <c r="C16" s="25">
        <v>1296.213</v>
      </c>
      <c r="D16" s="25">
        <v>2.3449999999999998</v>
      </c>
      <c r="E16" s="25">
        <f t="shared" si="0"/>
        <v>1338.1579999999999</v>
      </c>
      <c r="F16" s="25"/>
      <c r="G16" s="25">
        <f t="shared" si="1"/>
        <v>1156.7670000000001</v>
      </c>
      <c r="H16" s="25">
        <v>133.09099999999998</v>
      </c>
      <c r="I16" s="25">
        <f t="shared" si="2"/>
        <v>1289.8579999999999</v>
      </c>
      <c r="J16" s="25">
        <v>205.30899999999997</v>
      </c>
      <c r="K16" s="99">
        <f>+J16/245.021</f>
        <v>0.83792409630194953</v>
      </c>
      <c r="L16" s="35">
        <v>17.762541666666667</v>
      </c>
    </row>
    <row r="17" spans="1:12">
      <c r="A17" s="10">
        <v>1989</v>
      </c>
      <c r="B17" s="25">
        <v>48.3</v>
      </c>
      <c r="C17" s="25">
        <v>1156.913</v>
      </c>
      <c r="D17" s="25">
        <v>0.26470896354000001</v>
      </c>
      <c r="E17" s="25">
        <f t="shared" si="0"/>
        <v>1205.47770896354</v>
      </c>
      <c r="F17" s="25"/>
      <c r="G17" s="25">
        <f t="shared" si="1"/>
        <v>965.28289001238784</v>
      </c>
      <c r="H17" s="25">
        <v>201.794818951152</v>
      </c>
      <c r="I17" s="25">
        <f t="shared" si="2"/>
        <v>1167.0777089635399</v>
      </c>
      <c r="J17" s="25">
        <v>63.101890012387862</v>
      </c>
      <c r="K17" s="99">
        <f>+J17/247.342</f>
        <v>0.25511999584537953</v>
      </c>
      <c r="L17" s="35">
        <v>16.088888888888892</v>
      </c>
    </row>
    <row r="18" spans="1:12">
      <c r="A18" s="10">
        <v>1990</v>
      </c>
      <c r="B18" s="25">
        <v>38.4</v>
      </c>
      <c r="C18" s="25">
        <v>1206.7470000000001</v>
      </c>
      <c r="D18" s="25">
        <v>6.234327094968001</v>
      </c>
      <c r="E18" s="25">
        <f t="shared" si="0"/>
        <v>1251.3813270949681</v>
      </c>
      <c r="F18" s="25"/>
      <c r="G18" s="25">
        <f t="shared" si="1"/>
        <v>962.54561133128414</v>
      </c>
      <c r="H18" s="25">
        <v>251.59371576368403</v>
      </c>
      <c r="I18" s="25">
        <f t="shared" si="2"/>
        <v>1214.1393270949682</v>
      </c>
      <c r="J18" s="25">
        <v>154.24861133128394</v>
      </c>
      <c r="K18" s="99">
        <f>+J18/250.132</f>
        <v>0.61666884417541112</v>
      </c>
      <c r="L18" s="35">
        <v>21.263333333333332</v>
      </c>
    </row>
    <row r="19" spans="1:12">
      <c r="A19" s="10">
        <v>1991</v>
      </c>
      <c r="B19" s="25">
        <v>37.241999999999997</v>
      </c>
      <c r="C19" s="25">
        <v>1251.3</v>
      </c>
      <c r="D19" s="25">
        <v>10.794252128438</v>
      </c>
      <c r="E19" s="25">
        <f t="shared" si="0"/>
        <v>1299.336252128438</v>
      </c>
      <c r="F19" s="25"/>
      <c r="G19" s="25">
        <f t="shared" si="1"/>
        <v>975.46847739085194</v>
      </c>
      <c r="H19" s="25">
        <v>285.167774737586</v>
      </c>
      <c r="I19" s="25">
        <f t="shared" si="2"/>
        <v>1260.6362521284379</v>
      </c>
      <c r="J19" s="25">
        <v>363.86847739085215</v>
      </c>
      <c r="K19" s="99">
        <f>+J19/253.493</f>
        <v>1.435418245832635</v>
      </c>
      <c r="L19" s="35">
        <v>14.265875000000001</v>
      </c>
    </row>
    <row r="20" spans="1:12">
      <c r="A20" s="10">
        <v>1992</v>
      </c>
      <c r="B20" s="25">
        <v>38.700000000000003</v>
      </c>
      <c r="C20" s="25">
        <v>1526.7</v>
      </c>
      <c r="D20" s="25">
        <v>5.5068920000000006</v>
      </c>
      <c r="E20" s="25">
        <f t="shared" si="0"/>
        <v>1570.9068920000002</v>
      </c>
      <c r="F20" s="25"/>
      <c r="G20" s="25">
        <f t="shared" si="1"/>
        <v>1205.0472930000003</v>
      </c>
      <c r="H20" s="25">
        <v>332.58659899999998</v>
      </c>
      <c r="I20" s="25">
        <f t="shared" si="2"/>
        <v>1537.6338920000003</v>
      </c>
      <c r="J20" s="25">
        <v>609.84729300000004</v>
      </c>
      <c r="K20" s="99">
        <f>+J20/256.894</f>
        <v>2.3739257942964804</v>
      </c>
      <c r="L20" s="35">
        <v>15.539791666666668</v>
      </c>
    </row>
    <row r="21" spans="1:12">
      <c r="A21" s="10">
        <v>1993</v>
      </c>
      <c r="B21" s="25">
        <v>33.273000000000003</v>
      </c>
      <c r="C21" s="25">
        <v>1425.2</v>
      </c>
      <c r="D21" s="25">
        <v>11.819735999999999</v>
      </c>
      <c r="E21" s="25">
        <f t="shared" si="0"/>
        <v>1470.2927359999999</v>
      </c>
      <c r="F21" s="25"/>
      <c r="G21" s="25">
        <f t="shared" si="1"/>
        <v>1127.0699839999997</v>
      </c>
      <c r="H21" s="25">
        <v>310.02275199999997</v>
      </c>
      <c r="I21" s="25">
        <f t="shared" si="2"/>
        <v>1437.0927359999998</v>
      </c>
      <c r="J21" s="25">
        <v>564.96998399999995</v>
      </c>
      <c r="K21" s="99">
        <f>+J21/260.255</f>
        <v>2.1708323913085241</v>
      </c>
      <c r="L21" s="35">
        <v>16.201666666666668</v>
      </c>
    </row>
    <row r="22" spans="1:12">
      <c r="A22" s="10">
        <v>1994</v>
      </c>
      <c r="B22" s="25">
        <v>33.200000000000003</v>
      </c>
      <c r="C22" s="25">
        <v>1557.2</v>
      </c>
      <c r="D22" s="25">
        <v>16.05078</v>
      </c>
      <c r="E22" s="25">
        <f t="shared" si="0"/>
        <v>1606.4507800000001</v>
      </c>
      <c r="F22" s="25"/>
      <c r="G22" s="25">
        <f t="shared" si="1"/>
        <v>1275.4760690000003</v>
      </c>
      <c r="H22" s="25">
        <v>294.703711</v>
      </c>
      <c r="I22" s="25">
        <f t="shared" si="2"/>
        <v>1570.1797800000002</v>
      </c>
      <c r="J22" s="25">
        <v>639.17606899999976</v>
      </c>
      <c r="K22" s="99">
        <f>+J22/263.436</f>
        <v>2.4263049431360932</v>
      </c>
      <c r="L22" s="35">
        <v>18.420499999999997</v>
      </c>
    </row>
    <row r="23" spans="1:12">
      <c r="A23" s="10">
        <v>1995</v>
      </c>
      <c r="B23" s="25">
        <v>36.271000000000001</v>
      </c>
      <c r="C23" s="25">
        <v>1536.2570000000001</v>
      </c>
      <c r="D23" s="25">
        <v>18.049033000000001</v>
      </c>
      <c r="E23" s="25">
        <f t="shared" si="0"/>
        <v>1590.577033</v>
      </c>
      <c r="F23" s="25"/>
      <c r="G23" s="25">
        <f t="shared" si="1"/>
        <v>1268.2285649999999</v>
      </c>
      <c r="H23" s="25">
        <v>279.29146800000001</v>
      </c>
      <c r="I23" s="25">
        <f t="shared" si="2"/>
        <v>1547.520033</v>
      </c>
      <c r="J23" s="25">
        <v>710.52456499999994</v>
      </c>
      <c r="K23" s="99">
        <f>+J23/266.557</f>
        <v>2.6655633316701488</v>
      </c>
      <c r="L23" s="35">
        <v>21.347291666666663</v>
      </c>
    </row>
    <row r="24" spans="1:12">
      <c r="A24" s="10">
        <v>1996</v>
      </c>
      <c r="B24" s="25">
        <v>43.057000000000002</v>
      </c>
      <c r="C24" s="25">
        <v>1519.6</v>
      </c>
      <c r="D24" s="25">
        <v>5.3267690000000005</v>
      </c>
      <c r="E24" s="25">
        <f t="shared" si="0"/>
        <v>1567.9837689999999</v>
      </c>
      <c r="F24" s="25"/>
      <c r="G24" s="25">
        <f t="shared" si="1"/>
        <v>1305.424485</v>
      </c>
      <c r="H24" s="25">
        <v>229.24128400000001</v>
      </c>
      <c r="I24" s="25">
        <f t="shared" si="2"/>
        <v>1534.665769</v>
      </c>
      <c r="J24" s="25">
        <v>784.40548499999989</v>
      </c>
      <c r="K24" s="99">
        <f>+J24/269.667</f>
        <v>2.9087930113807028</v>
      </c>
      <c r="L24" s="35">
        <v>22.033333333333335</v>
      </c>
    </row>
    <row r="25" spans="1:12">
      <c r="A25" s="10">
        <v>1997</v>
      </c>
      <c r="B25" s="25">
        <v>33.317999999999998</v>
      </c>
      <c r="C25" s="25">
        <v>1416.2230000000004</v>
      </c>
      <c r="D25" s="25">
        <v>5.7592214426000004</v>
      </c>
      <c r="E25" s="25">
        <f t="shared" si="0"/>
        <v>1455.3002214426003</v>
      </c>
      <c r="F25" s="25"/>
      <c r="G25" s="25">
        <f t="shared" si="1"/>
        <v>1223.0754429308204</v>
      </c>
      <c r="H25" s="25">
        <v>184.86077851178001</v>
      </c>
      <c r="I25" s="25">
        <f t="shared" si="2"/>
        <v>1407.9362214426003</v>
      </c>
      <c r="J25" s="25">
        <v>580.32344293081997</v>
      </c>
      <c r="K25" s="99">
        <f>+J25/272.912</f>
        <v>2.1264123341253591</v>
      </c>
      <c r="L25" s="35">
        <v>23.454166666666666</v>
      </c>
    </row>
    <row r="26" spans="1:12">
      <c r="A26" s="10">
        <v>1998</v>
      </c>
      <c r="B26" s="25">
        <v>47.363999999999997</v>
      </c>
      <c r="C26" s="25">
        <v>1536.7909999999999</v>
      </c>
      <c r="D26" s="25">
        <v>2.2793873458859997</v>
      </c>
      <c r="E26" s="25">
        <f t="shared" si="0"/>
        <v>1586.4343873458861</v>
      </c>
      <c r="F26" s="25"/>
      <c r="G26" s="25">
        <f t="shared" si="1"/>
        <v>1300.838662770394</v>
      </c>
      <c r="H26" s="25">
        <v>246.47472457549202</v>
      </c>
      <c r="I26" s="25">
        <f t="shared" si="2"/>
        <v>1547.313387345886</v>
      </c>
      <c r="J26" s="25">
        <v>868.33866277039419</v>
      </c>
      <c r="K26" s="99">
        <f>+J26/276.115</f>
        <v>3.1448442234952618</v>
      </c>
      <c r="L26" s="35">
        <v>19.051666666666669</v>
      </c>
    </row>
    <row r="27" spans="1:12">
      <c r="A27" s="71">
        <v>1999</v>
      </c>
      <c r="B27" s="25">
        <v>39.121000000000002</v>
      </c>
      <c r="C27" s="60">
        <v>1729.2600000000002</v>
      </c>
      <c r="D27" s="60">
        <v>6.7996076081220007</v>
      </c>
      <c r="E27" s="25">
        <f t="shared" si="0"/>
        <v>1775.1806076081223</v>
      </c>
      <c r="F27" s="60"/>
      <c r="G27" s="25">
        <f t="shared" si="1"/>
        <v>1424.8409544453702</v>
      </c>
      <c r="H27" s="60">
        <v>317.06965316275205</v>
      </c>
      <c r="I27" s="25">
        <f t="shared" si="2"/>
        <v>1741.9106076081223</v>
      </c>
      <c r="J27" s="60">
        <v>996.31295444537</v>
      </c>
      <c r="K27" s="99">
        <f>+J27/279.295</f>
        <v>3.5672423582426105</v>
      </c>
      <c r="L27" s="83">
        <v>15.112499999999999</v>
      </c>
    </row>
    <row r="28" spans="1:12">
      <c r="A28" s="71">
        <v>2000</v>
      </c>
      <c r="B28" s="25">
        <v>33.270000000000003</v>
      </c>
      <c r="C28" s="60">
        <v>1824.9999999999998</v>
      </c>
      <c r="D28" s="60">
        <v>7.42643455365</v>
      </c>
      <c r="E28" s="25">
        <f t="shared" si="0"/>
        <v>1865.6964345536499</v>
      </c>
      <c r="F28" s="60"/>
      <c r="G28" s="25">
        <f t="shared" si="1"/>
        <v>1581.3553811645218</v>
      </c>
      <c r="H28" s="60">
        <v>247.64105338912799</v>
      </c>
      <c r="I28" s="25">
        <f t="shared" si="2"/>
        <v>1828.9964345536498</v>
      </c>
      <c r="J28" s="60">
        <v>1125.094381164522</v>
      </c>
      <c r="K28" s="99">
        <f>+J28/282.385</f>
        <v>3.9842568874569189</v>
      </c>
      <c r="L28" s="83">
        <v>11.657499999999999</v>
      </c>
    </row>
    <row r="29" spans="1:12">
      <c r="A29" s="71">
        <v>2001</v>
      </c>
      <c r="B29" s="25">
        <v>36.700000000000003</v>
      </c>
      <c r="C29" s="60">
        <v>1791.6869999999999</v>
      </c>
      <c r="D29" s="60">
        <v>31.133017111266003</v>
      </c>
      <c r="E29" s="25">
        <f t="shared" si="0"/>
        <v>1859.520017111266</v>
      </c>
      <c r="F29" s="60"/>
      <c r="G29" s="25">
        <f t="shared" ref="G29:G34" si="3">+I29-H29</f>
        <v>1454.808993891766</v>
      </c>
      <c r="H29" s="60">
        <v>364.45102321950003</v>
      </c>
      <c r="I29" s="25">
        <f t="shared" si="2"/>
        <v>1819.2600171112661</v>
      </c>
      <c r="J29" s="60">
        <v>868.68999389176588</v>
      </c>
      <c r="K29" s="99">
        <f>+J29/285.309</f>
        <v>3.0447339337061425</v>
      </c>
      <c r="L29" s="83">
        <v>13.713333333333333</v>
      </c>
    </row>
    <row r="30" spans="1:12">
      <c r="A30" s="71">
        <v>2002</v>
      </c>
      <c r="B30" s="25">
        <v>40.26</v>
      </c>
      <c r="C30" s="60">
        <v>1974.1110000000001</v>
      </c>
      <c r="D30" s="60">
        <v>8.7088014416340016</v>
      </c>
      <c r="E30" s="25">
        <f t="shared" si="0"/>
        <v>2023.0798014416341</v>
      </c>
      <c r="F30" s="60"/>
      <c r="G30" s="25">
        <f t="shared" si="3"/>
        <v>1486.3612354224001</v>
      </c>
      <c r="H30" s="60">
        <v>511.45256601923398</v>
      </c>
      <c r="I30" s="25">
        <f t="shared" si="2"/>
        <v>1997.813801441634</v>
      </c>
      <c r="J30" s="60">
        <v>973.59023542239993</v>
      </c>
      <c r="K30" s="99">
        <f>+J30/288.105</f>
        <v>3.3792896180989564</v>
      </c>
      <c r="L30" s="83">
        <v>14.799999999999999</v>
      </c>
    </row>
    <row r="31" spans="1:12">
      <c r="A31" s="71">
        <v>2003</v>
      </c>
      <c r="B31" s="25">
        <v>25.265999999999998</v>
      </c>
      <c r="C31" s="60">
        <v>1965.7079999999999</v>
      </c>
      <c r="D31" s="60">
        <v>4.6857895790579995</v>
      </c>
      <c r="E31" s="25">
        <f t="shared" si="0"/>
        <v>1995.659789579058</v>
      </c>
      <c r="F31" s="60"/>
      <c r="G31" s="25">
        <f t="shared" si="3"/>
        <v>1552.3566775052323</v>
      </c>
      <c r="H31" s="60">
        <v>419.70311207382599</v>
      </c>
      <c r="I31" s="25">
        <f t="shared" si="2"/>
        <v>1972.0597895790581</v>
      </c>
      <c r="J31" s="60">
        <v>1107.6326775052321</v>
      </c>
      <c r="K31" s="99">
        <f>+J31/290.82</f>
        <v>3.808653729128781</v>
      </c>
      <c r="L31" s="83">
        <v>20.341666666666665</v>
      </c>
    </row>
    <row r="32" spans="1:12">
      <c r="A32" s="71">
        <v>2004</v>
      </c>
      <c r="B32" s="25">
        <v>23.6</v>
      </c>
      <c r="C32" s="60">
        <v>1817.691</v>
      </c>
      <c r="D32" s="60">
        <v>0.96644455538399998</v>
      </c>
      <c r="E32" s="25">
        <f t="shared" si="0"/>
        <v>1842.2574445553839</v>
      </c>
      <c r="F32" s="60"/>
      <c r="G32" s="25">
        <f t="shared" si="3"/>
        <v>1564.5349549963098</v>
      </c>
      <c r="H32" s="60">
        <v>255.37848955907401</v>
      </c>
      <c r="I32" s="25">
        <f t="shared" si="2"/>
        <v>1819.9134445553839</v>
      </c>
      <c r="J32" s="60">
        <v>1163.2779549963097</v>
      </c>
      <c r="K32" s="99">
        <f>+J32/293.463</f>
        <v>3.9639680470666137</v>
      </c>
      <c r="L32" s="83">
        <v>19.741666666666667</v>
      </c>
    </row>
    <row r="33" spans="1:13">
      <c r="A33" s="71">
        <v>2005</v>
      </c>
      <c r="B33" s="25">
        <v>22.344000000000001</v>
      </c>
      <c r="C33" s="60">
        <v>1812.5000000000002</v>
      </c>
      <c r="D33" s="60">
        <v>1.0410136899120002</v>
      </c>
      <c r="E33" s="25">
        <f t="shared" si="0"/>
        <v>1835.8850136899123</v>
      </c>
      <c r="F33" s="60"/>
      <c r="G33" s="25">
        <f t="shared" si="3"/>
        <v>1517.7210791812004</v>
      </c>
      <c r="H33" s="60">
        <v>293.45193450871199</v>
      </c>
      <c r="I33" s="25">
        <f t="shared" si="2"/>
        <v>1811.1730136899123</v>
      </c>
      <c r="J33" s="60">
        <v>1115.7740791812</v>
      </c>
      <c r="K33" s="99">
        <f>+J33/296.186</f>
        <v>3.7671398350401439</v>
      </c>
      <c r="L33" s="83">
        <v>19.139999999999997</v>
      </c>
    </row>
    <row r="34" spans="1:13">
      <c r="A34" s="71">
        <v>2006</v>
      </c>
      <c r="B34" s="25">
        <v>24.712</v>
      </c>
      <c r="C34" s="60">
        <v>1861.2999999999997</v>
      </c>
      <c r="D34" s="60">
        <v>6.519677934294001</v>
      </c>
      <c r="E34" s="25">
        <f t="shared" si="0"/>
        <v>1892.5316779342936</v>
      </c>
      <c r="F34" s="60"/>
      <c r="G34" s="25">
        <f t="shared" si="3"/>
        <v>1583.0290713755737</v>
      </c>
      <c r="H34" s="60">
        <v>274.90260655871998</v>
      </c>
      <c r="I34" s="25">
        <f t="shared" si="2"/>
        <v>1857.9316779342937</v>
      </c>
      <c r="J34" s="60">
        <v>1160.452071375574</v>
      </c>
      <c r="K34" s="99">
        <f>+J34/298.996</f>
        <v>3.881162528514007</v>
      </c>
      <c r="L34" s="83">
        <v>18.740833333333331</v>
      </c>
    </row>
    <row r="35" spans="1:13">
      <c r="A35" s="71">
        <v>2007</v>
      </c>
      <c r="B35" s="25">
        <v>34.6</v>
      </c>
      <c r="C35" s="60">
        <v>1788.9390000000001</v>
      </c>
      <c r="D35" s="60">
        <v>7.4656415512979999</v>
      </c>
      <c r="E35" s="25">
        <f t="shared" si="0"/>
        <v>1831.0046415512979</v>
      </c>
      <c r="F35" s="60"/>
      <c r="G35" s="25">
        <f t="shared" ref="G35:G41" si="4">+I35-H35</f>
        <v>1403.931995104268</v>
      </c>
      <c r="H35" s="60">
        <v>388.19064644702996</v>
      </c>
      <c r="I35" s="25">
        <f t="shared" si="2"/>
        <v>1792.1226415512979</v>
      </c>
      <c r="J35" s="60">
        <v>889.44699510426767</v>
      </c>
      <c r="K35" s="99">
        <f>+J35/302.004</f>
        <v>2.945149716905298</v>
      </c>
      <c r="L35" s="83">
        <v>30.757500000000004</v>
      </c>
    </row>
    <row r="36" spans="1:13">
      <c r="A36" s="71">
        <v>2008</v>
      </c>
      <c r="B36" s="25">
        <v>38.881999999999998</v>
      </c>
      <c r="C36" s="60">
        <v>1793.7999999999997</v>
      </c>
      <c r="D36" s="60">
        <v>30.284713839618</v>
      </c>
      <c r="E36" s="25">
        <f t="shared" si="0"/>
        <v>1862.9667138396178</v>
      </c>
      <c r="F36" s="60"/>
      <c r="G36" s="25">
        <f t="shared" si="4"/>
        <v>1648.1578205958319</v>
      </c>
      <c r="H36" s="60">
        <v>185.30589324378602</v>
      </c>
      <c r="I36" s="25">
        <f t="shared" si="2"/>
        <v>1833.4637138396179</v>
      </c>
      <c r="J36" s="60">
        <v>896.26082059583189</v>
      </c>
      <c r="K36" s="99">
        <f>+J36/304.798</f>
        <v>2.9405075512169763</v>
      </c>
      <c r="L36" s="83">
        <v>38.055833333333339</v>
      </c>
    </row>
    <row r="37" spans="1:13">
      <c r="A37" s="71">
        <v>2009</v>
      </c>
      <c r="B37" s="25">
        <v>29.503</v>
      </c>
      <c r="C37" s="60">
        <v>1837.3</v>
      </c>
      <c r="D37" s="60">
        <v>35.888933511521998</v>
      </c>
      <c r="E37" s="25">
        <f t="shared" si="0"/>
        <v>1902.6919335115219</v>
      </c>
      <c r="F37" s="60"/>
      <c r="G37" s="25">
        <f t="shared" si="4"/>
        <v>1710.1766933281838</v>
      </c>
      <c r="H37" s="60">
        <v>161.81524018333801</v>
      </c>
      <c r="I37" s="25">
        <f t="shared" si="2"/>
        <v>1871.9919335115219</v>
      </c>
      <c r="J37" s="60">
        <v>211.57369332818405</v>
      </c>
      <c r="K37" s="99">
        <f>+J37/307.439</f>
        <v>0.68818104836466432</v>
      </c>
      <c r="L37" s="83">
        <v>27.522499999999997</v>
      </c>
    </row>
    <row r="38" spans="1:13">
      <c r="A38" s="71">
        <v>2010</v>
      </c>
      <c r="B38" s="25">
        <v>30.7</v>
      </c>
      <c r="C38" s="60">
        <v>1859.34608</v>
      </c>
      <c r="D38" s="60">
        <v>23.258830443281997</v>
      </c>
      <c r="E38" s="25">
        <f t="shared" si="0"/>
        <v>1913.3049104432821</v>
      </c>
      <c r="F38" s="60"/>
      <c r="G38" s="25">
        <f t="shared" si="4"/>
        <v>1692.9546697296</v>
      </c>
      <c r="H38" s="60">
        <v>182.74824071368201</v>
      </c>
      <c r="I38" s="25">
        <f t="shared" si="2"/>
        <v>1875.702910443282</v>
      </c>
      <c r="J38" s="60">
        <v>1050.0342197296</v>
      </c>
      <c r="K38" s="99">
        <f>+J38/309.348193</f>
        <v>3.3943441193128288</v>
      </c>
      <c r="L38" s="83">
        <v>35.302500000000002</v>
      </c>
    </row>
    <row r="39" spans="1:13">
      <c r="A39" s="71">
        <v>2011</v>
      </c>
      <c r="B39" s="25">
        <v>37.601999999999997</v>
      </c>
      <c r="C39" s="60">
        <v>2050.1001679999999</v>
      </c>
      <c r="D39" s="60">
        <v>28.790562143825998</v>
      </c>
      <c r="E39" s="25">
        <f t="shared" si="0"/>
        <v>2116.4927301438256</v>
      </c>
      <c r="F39" s="60"/>
      <c r="G39" s="25">
        <f t="shared" si="4"/>
        <v>1954.1203600709175</v>
      </c>
      <c r="H39" s="60">
        <v>132.37237007290801</v>
      </c>
      <c r="I39" s="25">
        <f t="shared" si="2"/>
        <v>2086.4927301438256</v>
      </c>
      <c r="J39" s="99" t="s">
        <v>268</v>
      </c>
      <c r="K39" s="99" t="s">
        <v>268</v>
      </c>
      <c r="L39" s="83">
        <v>53.396666666666668</v>
      </c>
    </row>
    <row r="40" spans="1:13">
      <c r="A40" s="71">
        <v>2012</v>
      </c>
      <c r="B40" s="25">
        <v>30</v>
      </c>
      <c r="C40" s="60">
        <v>2055.283488</v>
      </c>
      <c r="D40" s="60">
        <v>51.365293971264002</v>
      </c>
      <c r="E40" s="25">
        <f t="shared" si="0"/>
        <v>2136.6487819712638</v>
      </c>
      <c r="F40" s="60"/>
      <c r="G40" s="25">
        <f t="shared" si="4"/>
        <v>1940.4232197277679</v>
      </c>
      <c r="H40" s="60">
        <v>166.225562243496</v>
      </c>
      <c r="I40" s="25">
        <f>E40-B41</f>
        <v>2106.6487819712638</v>
      </c>
      <c r="J40" s="99" t="s">
        <v>268</v>
      </c>
      <c r="K40" s="99" t="s">
        <v>268</v>
      </c>
      <c r="L40" s="83">
        <v>47.990833333333335</v>
      </c>
    </row>
    <row r="41" spans="1:13">
      <c r="A41" s="71">
        <v>2013</v>
      </c>
      <c r="B41" s="25">
        <v>30</v>
      </c>
      <c r="C41" s="60">
        <v>2042.8225439999999</v>
      </c>
      <c r="D41" s="60">
        <v>49.489934471586004</v>
      </c>
      <c r="E41" s="25">
        <f t="shared" si="0"/>
        <v>2122.3124784715856</v>
      </c>
      <c r="F41" s="60"/>
      <c r="G41" s="25">
        <f t="shared" si="4"/>
        <v>1935.4579839139014</v>
      </c>
      <c r="H41" s="60">
        <v>156.85449455768401</v>
      </c>
      <c r="I41" s="25">
        <f t="shared" si="2"/>
        <v>2092.3124784715856</v>
      </c>
      <c r="J41" s="99" t="s">
        <v>268</v>
      </c>
      <c r="K41" s="99" t="s">
        <v>268</v>
      </c>
      <c r="L41" s="83">
        <v>42.519166666666671</v>
      </c>
    </row>
    <row r="42" spans="1:13">
      <c r="A42" s="71">
        <v>2014</v>
      </c>
      <c r="B42" s="25">
        <v>30</v>
      </c>
      <c r="C42" s="60">
        <v>1922.1753600000004</v>
      </c>
      <c r="D42" s="60">
        <v>51.677933621706003</v>
      </c>
      <c r="E42" s="25">
        <f t="shared" si="0"/>
        <v>2003.8532936217064</v>
      </c>
      <c r="F42" s="60"/>
      <c r="G42" s="25">
        <f>+I42-H42</f>
        <v>1883.9429573949183</v>
      </c>
      <c r="H42" s="231">
        <v>89.910336226788004</v>
      </c>
      <c r="I42" s="25">
        <f t="shared" si="2"/>
        <v>1973.8532936217064</v>
      </c>
      <c r="J42" s="99" t="s">
        <v>268</v>
      </c>
      <c r="K42" s="99" t="s">
        <v>268</v>
      </c>
      <c r="L42" s="83">
        <v>38.910833333333336</v>
      </c>
    </row>
    <row r="43" spans="1:13">
      <c r="A43" s="71">
        <v>2015</v>
      </c>
      <c r="B43" s="25">
        <v>30</v>
      </c>
      <c r="C43" s="60">
        <v>1927.5174400000001</v>
      </c>
      <c r="D43" s="60">
        <v>45.307188926621997</v>
      </c>
      <c r="E43" s="25">
        <f t="shared" si="0"/>
        <v>2002.8246289266222</v>
      </c>
      <c r="F43" s="60"/>
      <c r="G43" s="25">
        <f>+I43-H43</f>
        <v>1830.281096480214</v>
      </c>
      <c r="H43" s="231">
        <v>142.77653244640803</v>
      </c>
      <c r="I43" s="25">
        <f t="shared" si="2"/>
        <v>1973.0576289266221</v>
      </c>
      <c r="J43" s="99" t="s">
        <v>268</v>
      </c>
      <c r="K43" s="99" t="s">
        <v>268</v>
      </c>
      <c r="L43" s="83">
        <v>28.418333333333337</v>
      </c>
    </row>
    <row r="44" spans="1:13">
      <c r="A44" s="71">
        <v>2016</v>
      </c>
      <c r="B44" s="25">
        <v>29.767000000000003</v>
      </c>
      <c r="C44" s="231">
        <v>2143.2270000000003</v>
      </c>
      <c r="D44" s="231">
        <v>62.274325805874</v>
      </c>
      <c r="E44" s="25">
        <f t="shared" si="0"/>
        <v>2235.2683258058742</v>
      </c>
      <c r="F44" s="60"/>
      <c r="G44" s="25">
        <f>+I44-H44</f>
        <v>1929.456829937084</v>
      </c>
      <c r="H44" s="231">
        <v>264.87749586878999</v>
      </c>
      <c r="I44" s="25">
        <f t="shared" si="2"/>
        <v>2194.334325805874</v>
      </c>
      <c r="J44" s="99" t="s">
        <v>268</v>
      </c>
      <c r="K44" s="99" t="s">
        <v>268</v>
      </c>
      <c r="L44" s="83">
        <v>32.962499999999999</v>
      </c>
    </row>
    <row r="45" spans="1:13">
      <c r="A45" s="11">
        <v>2017</v>
      </c>
      <c r="B45" s="230">
        <v>40.933999999999997</v>
      </c>
      <c r="C45" s="230">
        <v>2052.788</v>
      </c>
      <c r="D45" s="230">
        <v>64.842564930822007</v>
      </c>
      <c r="E45" s="230">
        <f>SUM(B45:D45)</f>
        <v>2158.5645649308221</v>
      </c>
      <c r="F45" s="26"/>
      <c r="G45" s="26">
        <f>+I45-H45</f>
        <v>1944.8351704044801</v>
      </c>
      <c r="H45" s="230">
        <v>180.69139452634204</v>
      </c>
      <c r="I45" s="26">
        <f>E45-33.038</f>
        <v>2125.5265649308221</v>
      </c>
      <c r="J45" s="161" t="s">
        <v>268</v>
      </c>
      <c r="K45" s="98" t="s">
        <v>268</v>
      </c>
      <c r="L45" s="229">
        <v>34.432499999999997</v>
      </c>
    </row>
    <row r="46" spans="1:13" ht="13.25" customHeight="1">
      <c r="A46" s="117" t="s">
        <v>774</v>
      </c>
    </row>
    <row r="47" spans="1:13" ht="13.25" customHeight="1">
      <c r="A47" s="117" t="s">
        <v>645</v>
      </c>
    </row>
    <row r="48" spans="1:13" ht="10.25" customHeight="1">
      <c r="A48" s="117" t="s">
        <v>646</v>
      </c>
      <c r="L48" s="160"/>
      <c r="M48" s="160"/>
    </row>
    <row r="49" spans="12:12">
      <c r="L49" s="313" t="s">
        <v>679</v>
      </c>
    </row>
  </sheetData>
  <phoneticPr fontId="0" type="noConversion"/>
  <pageMargins left="0.7" right="0.7" top="0.75" bottom="0.75" header="0.3" footer="0.3"/>
  <pageSetup scale="79" firstPageNumber="77" orientation="portrait" useFirstPageNumber="1" r:id="rId1"/>
  <headerFooter alignWithMargins="0">
    <oddFooter>&amp;C&amp;P
Oil Crops Yearbook/OCS-2018
March 2018
Economic Research Service, USDA</oddFooter>
  </headerFooter>
  <ignoredErrors>
    <ignoredError sqref="E8:E44" formulaRange="1"/>
  </ignoredErrors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O71"/>
  <sheetViews>
    <sheetView zoomScaleNormal="100" zoomScaleSheetLayoutView="100" workbookViewId="0">
      <pane ySplit="6" topLeftCell="A7" activePane="bottomLeft" state="frozen"/>
      <selection pane="bottomLeft"/>
    </sheetView>
  </sheetViews>
  <sheetFormatPr baseColWidth="10" defaultColWidth="8.75" defaultRowHeight="11"/>
  <cols>
    <col min="1" max="1" width="15.75" customWidth="1"/>
    <col min="2" max="6" width="9.75" customWidth="1"/>
    <col min="7" max="7" width="8.75" customWidth="1"/>
    <col min="8" max="8" width="15.75" customWidth="1"/>
    <col min="9" max="13" width="9.75" customWidth="1"/>
  </cols>
  <sheetData>
    <row r="1" spans="1:13">
      <c r="A1" s="150" t="s">
        <v>718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3" t="s">
        <v>462</v>
      </c>
      <c r="D2" s="3"/>
      <c r="E2" s="24"/>
      <c r="J2" s="3" t="s">
        <v>462</v>
      </c>
      <c r="K2" s="3"/>
      <c r="L2" s="24"/>
    </row>
    <row r="3" spans="1:13">
      <c r="B3" s="7" t="s">
        <v>137</v>
      </c>
      <c r="C3" s="267" t="s">
        <v>243</v>
      </c>
      <c r="D3" s="267" t="s">
        <v>243</v>
      </c>
      <c r="E3" s="7" t="s">
        <v>3</v>
      </c>
      <c r="F3" s="7" t="s">
        <v>246</v>
      </c>
      <c r="I3" s="7" t="s">
        <v>137</v>
      </c>
      <c r="J3" s="267" t="s">
        <v>243</v>
      </c>
      <c r="K3" s="267" t="s">
        <v>243</v>
      </c>
      <c r="L3" s="7" t="s">
        <v>3</v>
      </c>
      <c r="M3" s="7" t="s">
        <v>246</v>
      </c>
    </row>
    <row r="4" spans="1:13">
      <c r="B4" s="7" t="s">
        <v>138</v>
      </c>
      <c r="C4" s="267" t="s">
        <v>228</v>
      </c>
      <c r="D4" s="267" t="s">
        <v>245</v>
      </c>
      <c r="E4" s="7" t="s">
        <v>287</v>
      </c>
      <c r="F4" s="7" t="s">
        <v>247</v>
      </c>
      <c r="I4" s="7" t="s">
        <v>138</v>
      </c>
      <c r="J4" s="267" t="s">
        <v>228</v>
      </c>
      <c r="K4" s="267" t="s">
        <v>245</v>
      </c>
      <c r="L4" s="7" t="s">
        <v>287</v>
      </c>
      <c r="M4" s="7" t="s">
        <v>247</v>
      </c>
    </row>
    <row r="5" spans="1:13">
      <c r="A5" s="1"/>
      <c r="B5" s="9"/>
      <c r="C5" s="9" t="s">
        <v>244</v>
      </c>
      <c r="D5" s="9" t="s">
        <v>146</v>
      </c>
      <c r="E5" s="9"/>
      <c r="F5" s="9"/>
      <c r="G5" s="1"/>
      <c r="H5" s="1"/>
      <c r="I5" s="9"/>
      <c r="J5" s="9" t="s">
        <v>244</v>
      </c>
      <c r="K5" s="9" t="s">
        <v>146</v>
      </c>
      <c r="L5" s="9"/>
      <c r="M5" s="9"/>
    </row>
    <row r="6" spans="1:13">
      <c r="C6" s="312"/>
      <c r="D6" s="312"/>
      <c r="E6" s="312"/>
      <c r="F6" s="312"/>
      <c r="G6" s="312"/>
      <c r="H6" s="338" t="s">
        <v>242</v>
      </c>
      <c r="I6" s="312"/>
      <c r="J6" s="312"/>
      <c r="K6" s="312"/>
      <c r="L6" s="312"/>
      <c r="M6" s="312"/>
    </row>
    <row r="7" spans="1:13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3" s="218" customFormat="1" ht="10.25" customHeight="1">
      <c r="A8" s="221" t="s">
        <v>572</v>
      </c>
      <c r="H8" s="222" t="s">
        <v>670</v>
      </c>
      <c r="I8" s="222"/>
      <c r="J8" s="222"/>
      <c r="K8" s="222"/>
      <c r="L8" s="222"/>
      <c r="M8" s="222"/>
    </row>
    <row r="9" spans="1:13" s="218" customFormat="1" ht="10.25" customHeight="1">
      <c r="A9" s="218" t="s">
        <v>229</v>
      </c>
      <c r="H9" s="222" t="s">
        <v>229</v>
      </c>
      <c r="I9" s="222"/>
      <c r="J9" s="222"/>
      <c r="K9" s="222"/>
      <c r="L9" s="222"/>
      <c r="M9" s="222"/>
    </row>
    <row r="10" spans="1:13" s="218" customFormat="1" ht="10.25" customHeight="1">
      <c r="A10" s="218" t="s">
        <v>230</v>
      </c>
      <c r="H10" s="222" t="s">
        <v>230</v>
      </c>
      <c r="I10" s="222"/>
      <c r="J10" s="222"/>
      <c r="K10" s="222"/>
      <c r="L10" s="222"/>
      <c r="M10" s="222"/>
    </row>
    <row r="11" spans="1:13" ht="10.25" customHeight="1">
      <c r="A11" t="s">
        <v>231</v>
      </c>
      <c r="B11" s="280">
        <v>2.504</v>
      </c>
      <c r="C11" s="280">
        <v>41.362000000000002</v>
      </c>
      <c r="D11" s="280">
        <v>15.215</v>
      </c>
      <c r="E11" s="280">
        <f>F11-B11</f>
        <v>59.913000000000004</v>
      </c>
      <c r="F11" s="280">
        <v>62.417000000000002</v>
      </c>
      <c r="G11" s="218"/>
      <c r="H11" s="168" t="s">
        <v>231</v>
      </c>
      <c r="I11" s="280">
        <f>B47</f>
        <v>5.3540000000000001</v>
      </c>
      <c r="J11" s="280">
        <f>C47</f>
        <v>50.192999999999998</v>
      </c>
      <c r="K11" s="280">
        <f>D47</f>
        <v>19.73</v>
      </c>
      <c r="L11" s="280">
        <f>E47</f>
        <v>72.926000000000002</v>
      </c>
      <c r="M11" s="280">
        <f>F47</f>
        <v>78.28</v>
      </c>
    </row>
    <row r="12" spans="1:13" ht="10.25" customHeight="1">
      <c r="A12" t="s">
        <v>232</v>
      </c>
      <c r="B12" s="280">
        <v>106.878</v>
      </c>
      <c r="C12" s="280">
        <v>169.863</v>
      </c>
      <c r="D12" s="280">
        <v>15.391999999999999</v>
      </c>
      <c r="E12" s="280">
        <f>F12-B12</f>
        <v>213.13900000000001</v>
      </c>
      <c r="F12" s="280">
        <v>320.017</v>
      </c>
      <c r="G12" s="218"/>
      <c r="H12" s="168" t="s">
        <v>232</v>
      </c>
      <c r="I12" s="280">
        <v>116.92</v>
      </c>
      <c r="J12" s="280">
        <v>185.78</v>
      </c>
      <c r="K12" s="280">
        <v>16.802</v>
      </c>
      <c r="L12" s="280">
        <f>M12-I12</f>
        <v>234.39999999999998</v>
      </c>
      <c r="M12" s="280">
        <v>351.32</v>
      </c>
    </row>
    <row r="13" spans="1:13" ht="10.25" customHeight="1">
      <c r="A13" t="s">
        <v>233</v>
      </c>
      <c r="B13" s="280">
        <v>0.90400000000000003</v>
      </c>
      <c r="C13" s="280">
        <v>0.32</v>
      </c>
      <c r="D13" s="280">
        <v>105.973</v>
      </c>
      <c r="E13" s="280">
        <f>F13-B13</f>
        <v>123.458</v>
      </c>
      <c r="F13" s="280">
        <v>124.36199999999999</v>
      </c>
      <c r="G13" s="218"/>
      <c r="H13" s="168" t="s">
        <v>233</v>
      </c>
      <c r="I13" s="280">
        <v>0.61</v>
      </c>
      <c r="J13" s="280">
        <v>1.94</v>
      </c>
      <c r="K13" s="280">
        <v>122.59</v>
      </c>
      <c r="L13" s="280">
        <f>M13-I13</f>
        <v>143.66999999999999</v>
      </c>
      <c r="M13" s="280">
        <v>144.28</v>
      </c>
    </row>
    <row r="14" spans="1:13" s="218" customFormat="1" ht="10.25" customHeight="1">
      <c r="A14" s="218" t="s">
        <v>234</v>
      </c>
      <c r="B14" s="280"/>
      <c r="C14" s="280"/>
      <c r="D14" s="280"/>
      <c r="E14" s="280"/>
      <c r="F14" s="280"/>
      <c r="H14" s="222" t="s">
        <v>234</v>
      </c>
      <c r="I14" s="280"/>
      <c r="J14" s="280"/>
      <c r="K14" s="280"/>
      <c r="L14" s="280"/>
      <c r="M14" s="280"/>
    </row>
    <row r="15" spans="1:13" ht="10.25" customHeight="1">
      <c r="A15" t="s">
        <v>235</v>
      </c>
      <c r="B15" s="280">
        <v>50.975000000000001</v>
      </c>
      <c r="C15" s="280">
        <v>84.186999999999998</v>
      </c>
      <c r="D15" s="280">
        <v>98.305000000000007</v>
      </c>
      <c r="E15" s="280">
        <f>F15-B15</f>
        <v>213.43899999999999</v>
      </c>
      <c r="F15" s="280">
        <v>264.41399999999999</v>
      </c>
      <c r="G15" s="218"/>
      <c r="H15" s="168" t="s">
        <v>235</v>
      </c>
      <c r="I15" s="280">
        <v>51.74</v>
      </c>
      <c r="J15" s="280">
        <v>88.13</v>
      </c>
      <c r="K15" s="280">
        <v>113.24</v>
      </c>
      <c r="L15" s="280">
        <f>M15-I15</f>
        <v>236.76</v>
      </c>
      <c r="M15" s="280">
        <v>288.5</v>
      </c>
    </row>
    <row r="16" spans="1:13" ht="10.25" customHeight="1">
      <c r="A16" t="s">
        <v>236</v>
      </c>
      <c r="B16" s="280">
        <v>54.954999999999998</v>
      </c>
      <c r="C16" s="280">
        <v>91.766999999999996</v>
      </c>
      <c r="D16" s="280">
        <v>117.685</v>
      </c>
      <c r="E16" s="280">
        <f>F16-B16</f>
        <v>247.73400000000004</v>
      </c>
      <c r="F16" s="280">
        <v>302.68900000000002</v>
      </c>
      <c r="G16" s="218"/>
      <c r="H16" s="168" t="s">
        <v>236</v>
      </c>
      <c r="I16" s="280">
        <v>55.51</v>
      </c>
      <c r="J16" s="280">
        <v>96.14</v>
      </c>
      <c r="K16" s="280">
        <v>135.91999999999999</v>
      </c>
      <c r="L16" s="280">
        <f>M16-I16</f>
        <v>274.26</v>
      </c>
      <c r="M16" s="280">
        <v>329.77</v>
      </c>
    </row>
    <row r="17" spans="1:14" ht="10.25" customHeight="1">
      <c r="A17" t="s">
        <v>237</v>
      </c>
      <c r="B17" s="280">
        <v>50.143000000000001</v>
      </c>
      <c r="C17" s="280">
        <v>68.787000000000006</v>
      </c>
      <c r="D17" s="280">
        <v>0.29099999999999998</v>
      </c>
      <c r="E17" s="280">
        <f>F17-B17</f>
        <v>76.073999999999998</v>
      </c>
      <c r="F17" s="280">
        <v>126.217</v>
      </c>
      <c r="G17" s="218"/>
      <c r="H17" s="168" t="s">
        <v>237</v>
      </c>
      <c r="I17" s="280">
        <v>59.16</v>
      </c>
      <c r="J17" s="280">
        <v>79.42</v>
      </c>
      <c r="K17" s="280">
        <v>0.39</v>
      </c>
      <c r="L17" s="280">
        <f>M17-I17</f>
        <v>88.300000000000011</v>
      </c>
      <c r="M17" s="280">
        <v>147.46</v>
      </c>
    </row>
    <row r="18" spans="1:14" ht="10.25" customHeight="1">
      <c r="A18" t="s">
        <v>238</v>
      </c>
      <c r="B18" s="280">
        <v>5.19</v>
      </c>
      <c r="C18" s="280">
        <v>50.88</v>
      </c>
      <c r="D18" s="280">
        <v>18.850000000000001</v>
      </c>
      <c r="E18" s="280">
        <f>F18-B18</f>
        <v>72.7</v>
      </c>
      <c r="F18" s="280">
        <v>77.89</v>
      </c>
      <c r="G18" s="218"/>
      <c r="H18" s="168" t="s">
        <v>238</v>
      </c>
      <c r="I18" s="280">
        <v>8.2100000000000009</v>
      </c>
      <c r="J18" s="280">
        <v>62.36</v>
      </c>
      <c r="K18" s="280">
        <v>22.82</v>
      </c>
      <c r="L18" s="280">
        <f>M18-I18</f>
        <v>88.44</v>
      </c>
      <c r="M18" s="280">
        <v>96.65</v>
      </c>
    </row>
    <row r="19" spans="1:14" s="218" customFormat="1" ht="10.25" customHeight="1">
      <c r="A19" s="218" t="s">
        <v>239</v>
      </c>
      <c r="B19" s="280"/>
      <c r="C19" s="280"/>
      <c r="D19" s="280"/>
      <c r="E19" s="280"/>
      <c r="F19" s="280"/>
      <c r="H19" s="222" t="s">
        <v>239</v>
      </c>
      <c r="I19" s="280"/>
      <c r="J19" s="280"/>
      <c r="K19" s="280"/>
      <c r="L19" s="280"/>
      <c r="M19" s="280"/>
    </row>
    <row r="20" spans="1:14" s="218" customFormat="1" ht="10.25" customHeight="1">
      <c r="A20" s="218" t="s">
        <v>230</v>
      </c>
      <c r="B20" s="280"/>
      <c r="C20" s="280"/>
      <c r="D20" s="280"/>
      <c r="E20" s="280"/>
      <c r="F20" s="280"/>
      <c r="H20" s="222" t="s">
        <v>230</v>
      </c>
      <c r="I20" s="280"/>
      <c r="J20" s="280"/>
      <c r="K20" s="280"/>
      <c r="L20" s="280"/>
      <c r="M20" s="280"/>
    </row>
    <row r="21" spans="1:14" ht="10.25" customHeight="1">
      <c r="A21" t="s">
        <v>231</v>
      </c>
      <c r="B21" s="280">
        <v>0.22700000000000001</v>
      </c>
      <c r="C21" s="280">
        <v>6.9640000000000004</v>
      </c>
      <c r="D21" s="280">
        <v>1.44</v>
      </c>
      <c r="E21" s="280">
        <f>F21-B21</f>
        <v>10.381</v>
      </c>
      <c r="F21" s="280">
        <v>10.608000000000001</v>
      </c>
      <c r="H21" s="168" t="s">
        <v>231</v>
      </c>
      <c r="I21" s="280">
        <f>B56</f>
        <v>0.23899999999999999</v>
      </c>
      <c r="J21" s="280">
        <f>C56</f>
        <v>7.06</v>
      </c>
      <c r="K21" s="280">
        <f>D56</f>
        <v>1.91</v>
      </c>
      <c r="L21" s="280">
        <f>E56</f>
        <v>12.401</v>
      </c>
      <c r="M21" s="280">
        <f>F56</f>
        <v>12.64</v>
      </c>
    </row>
    <row r="22" spans="1:14" ht="10.25" customHeight="1">
      <c r="A22" t="s">
        <v>232</v>
      </c>
      <c r="B22" s="280">
        <v>40.880000000000003</v>
      </c>
      <c r="C22" s="280">
        <v>68.388000000000005</v>
      </c>
      <c r="D22" s="280">
        <v>15.36</v>
      </c>
      <c r="E22" s="280">
        <f>F22-B22</f>
        <v>167.38079999999999</v>
      </c>
      <c r="F22" s="280">
        <v>208.26079999999999</v>
      </c>
      <c r="H22" s="168" t="s">
        <v>232</v>
      </c>
      <c r="I22" s="280">
        <v>40.630000000000003</v>
      </c>
      <c r="J22" s="280">
        <v>72.3</v>
      </c>
      <c r="K22" s="280">
        <v>16.193000000000001</v>
      </c>
      <c r="L22" s="280">
        <f>M22-I22</f>
        <v>185.81</v>
      </c>
      <c r="M22" s="280">
        <v>226.44</v>
      </c>
    </row>
    <row r="23" spans="1:14" ht="10.25" customHeight="1">
      <c r="A23" t="s">
        <v>233</v>
      </c>
      <c r="B23" s="280">
        <v>0.30199999999999999</v>
      </c>
      <c r="C23" s="280">
        <v>2.5999999999999999E-2</v>
      </c>
      <c r="D23" s="280">
        <v>36.405999999999999</v>
      </c>
      <c r="E23" s="280">
        <f>F23-B23</f>
        <v>60.392000000000003</v>
      </c>
      <c r="F23" s="280">
        <v>60.694000000000003</v>
      </c>
      <c r="H23" s="168" t="s">
        <v>233</v>
      </c>
      <c r="I23" s="280">
        <v>0.32</v>
      </c>
      <c r="J23" s="280">
        <v>0.05</v>
      </c>
      <c r="K23" s="280">
        <v>36.159999999999997</v>
      </c>
      <c r="L23" s="280">
        <f>M23-I23</f>
        <v>59.86</v>
      </c>
      <c r="M23" s="280">
        <v>60.18</v>
      </c>
    </row>
    <row r="24" spans="1:14" ht="10.25" customHeight="1">
      <c r="A24" t="s">
        <v>234</v>
      </c>
      <c r="B24" s="280"/>
      <c r="C24" s="280"/>
      <c r="D24" s="280"/>
      <c r="E24" s="280"/>
      <c r="F24" s="280"/>
      <c r="G24" s="218"/>
      <c r="H24" s="222" t="s">
        <v>234</v>
      </c>
      <c r="I24" s="280"/>
      <c r="J24" s="280"/>
      <c r="K24" s="280"/>
      <c r="L24" s="280"/>
      <c r="M24" s="280"/>
    </row>
    <row r="25" spans="1:14" ht="10.25" customHeight="1">
      <c r="A25" t="s">
        <v>240</v>
      </c>
      <c r="B25" s="280">
        <v>29.282</v>
      </c>
      <c r="C25" s="280">
        <v>22.602</v>
      </c>
      <c r="D25" s="280">
        <v>50.503</v>
      </c>
      <c r="E25" s="280">
        <f>F25-B25</f>
        <v>172.55099999999999</v>
      </c>
      <c r="F25" s="280">
        <v>201.833</v>
      </c>
      <c r="H25" s="168" t="s">
        <v>240</v>
      </c>
      <c r="I25" s="280">
        <v>30.3</v>
      </c>
      <c r="J25" s="280">
        <v>24.9</v>
      </c>
      <c r="K25" s="280">
        <v>52.47</v>
      </c>
      <c r="L25" s="280">
        <f>M25-I25</f>
        <v>192.20999999999998</v>
      </c>
      <c r="M25" s="280">
        <v>222.51</v>
      </c>
    </row>
    <row r="26" spans="1:14" ht="10.25" customHeight="1">
      <c r="A26" t="s">
        <v>237</v>
      </c>
      <c r="B26" s="280">
        <v>11.891</v>
      </c>
      <c r="C26" s="280">
        <v>44.485999999999997</v>
      </c>
      <c r="D26" s="280">
        <v>0.70199999999999996</v>
      </c>
      <c r="E26" s="280">
        <f>F26-B26</f>
        <v>52.783000000000008</v>
      </c>
      <c r="F26" s="280">
        <v>64.674000000000007</v>
      </c>
      <c r="H26" s="168" t="s">
        <v>237</v>
      </c>
      <c r="I26" s="280">
        <v>10.523</v>
      </c>
      <c r="J26" s="280">
        <v>47.09</v>
      </c>
      <c r="K26" s="280">
        <v>0.53</v>
      </c>
      <c r="L26" s="280">
        <f>M26-I26</f>
        <v>54.106999999999999</v>
      </c>
      <c r="M26" s="280">
        <v>64.63</v>
      </c>
    </row>
    <row r="27" spans="1:14" ht="10.25" customHeight="1">
      <c r="A27" t="s">
        <v>238</v>
      </c>
      <c r="B27" s="280">
        <v>0.23599999999999999</v>
      </c>
      <c r="C27" s="280">
        <v>8.39</v>
      </c>
      <c r="D27" s="280">
        <v>1.99</v>
      </c>
      <c r="E27" s="280">
        <f>F27-B27</f>
        <v>13.437999999999999</v>
      </c>
      <c r="F27" s="280">
        <v>13.673999999999999</v>
      </c>
      <c r="H27" s="168" t="s">
        <v>238</v>
      </c>
      <c r="I27" s="280">
        <v>0.36</v>
      </c>
      <c r="J27" s="280">
        <v>7.41</v>
      </c>
      <c r="K27" s="280">
        <v>1.25</v>
      </c>
      <c r="L27" s="280">
        <f>M27-I27</f>
        <v>11.75</v>
      </c>
      <c r="M27" s="280">
        <v>12.11</v>
      </c>
    </row>
    <row r="28" spans="1:14" s="218" customFormat="1" ht="10.25" customHeight="1">
      <c r="A28" s="218" t="s">
        <v>241</v>
      </c>
      <c r="B28" s="280"/>
      <c r="C28" s="280"/>
      <c r="D28" s="280"/>
      <c r="E28" s="280"/>
      <c r="F28" s="280"/>
      <c r="H28" s="222" t="s">
        <v>241</v>
      </c>
      <c r="I28" s="280"/>
      <c r="J28" s="280"/>
      <c r="K28" s="280"/>
      <c r="L28" s="280"/>
      <c r="M28" s="280"/>
    </row>
    <row r="29" spans="1:14" s="218" customFormat="1" ht="10.25" customHeight="1">
      <c r="A29" s="218" t="s">
        <v>230</v>
      </c>
      <c r="B29" s="280"/>
      <c r="C29" s="280"/>
      <c r="D29" s="280"/>
      <c r="E29" s="280"/>
      <c r="F29" s="280"/>
      <c r="H29" s="222" t="s">
        <v>230</v>
      </c>
      <c r="I29" s="280"/>
      <c r="J29" s="280"/>
      <c r="K29" s="280"/>
      <c r="L29" s="280"/>
      <c r="M29" s="280"/>
    </row>
    <row r="30" spans="1:14" ht="10.25" customHeight="1">
      <c r="A30" t="s">
        <v>231</v>
      </c>
      <c r="B30" s="280">
        <v>0.52900000000000003</v>
      </c>
      <c r="C30" s="280">
        <v>0.998</v>
      </c>
      <c r="D30" s="280">
        <v>1.544</v>
      </c>
      <c r="E30" s="280">
        <f>F30-B30</f>
        <v>3.3650000000000002</v>
      </c>
      <c r="F30" s="280">
        <v>3.8940000000000001</v>
      </c>
      <c r="H30" s="168" t="s">
        <v>231</v>
      </c>
      <c r="I30" s="280">
        <f>B65</f>
        <v>0.76500000000000001</v>
      </c>
      <c r="J30" s="280">
        <f>C65</f>
        <v>0.67</v>
      </c>
      <c r="K30" s="280">
        <f>D65</f>
        <v>1.21</v>
      </c>
      <c r="L30" s="280">
        <f>E65</f>
        <v>2.8449999999999998</v>
      </c>
      <c r="M30" s="280">
        <f>F65</f>
        <v>3.61</v>
      </c>
      <c r="N30" s="218"/>
    </row>
    <row r="31" spans="1:14" ht="10.25" customHeight="1">
      <c r="A31" t="s">
        <v>232</v>
      </c>
      <c r="B31" s="280">
        <v>9.7059999999999995</v>
      </c>
      <c r="C31" s="280">
        <v>18.106999999999999</v>
      </c>
      <c r="D31" s="280">
        <v>15.196999999999999</v>
      </c>
      <c r="E31" s="280">
        <f>F31-B31</f>
        <v>39.617999999999995</v>
      </c>
      <c r="F31" s="280">
        <v>49.323999999999998</v>
      </c>
      <c r="H31" s="168" t="s">
        <v>232</v>
      </c>
      <c r="I31" s="280">
        <v>10.039999999999999</v>
      </c>
      <c r="J31" s="280">
        <v>18.98</v>
      </c>
      <c r="K31" s="280">
        <v>17.93</v>
      </c>
      <c r="L31" s="280">
        <f>M31-I31</f>
        <v>43.88</v>
      </c>
      <c r="M31" s="280">
        <v>53.92</v>
      </c>
      <c r="N31" s="218"/>
    </row>
    <row r="32" spans="1:14" ht="10.25" customHeight="1">
      <c r="A32" t="s">
        <v>233</v>
      </c>
      <c r="B32" s="280">
        <v>0.12</v>
      </c>
      <c r="C32" s="280">
        <v>0.28599999999999998</v>
      </c>
      <c r="D32" s="280">
        <v>5.2549999999999999</v>
      </c>
      <c r="E32" s="280">
        <f>F32-B32</f>
        <v>9.9190000000000005</v>
      </c>
      <c r="F32" s="280">
        <v>10.039</v>
      </c>
      <c r="H32" s="168" t="s">
        <v>233</v>
      </c>
      <c r="I32" s="280">
        <v>0.14899999999999999</v>
      </c>
      <c r="J32" s="280">
        <v>0.35</v>
      </c>
      <c r="K32" s="280">
        <v>5.81</v>
      </c>
      <c r="L32" s="280">
        <f>M32-I32</f>
        <v>10.741000000000001</v>
      </c>
      <c r="M32" s="280">
        <v>10.89</v>
      </c>
      <c r="N32" s="218"/>
    </row>
    <row r="33" spans="1:14" s="218" customFormat="1" ht="10.25" customHeight="1">
      <c r="A33" s="218" t="s">
        <v>234</v>
      </c>
      <c r="B33" s="280"/>
      <c r="C33" s="280"/>
      <c r="D33" s="280"/>
      <c r="E33" s="280"/>
      <c r="F33" s="280"/>
      <c r="H33" s="222" t="s">
        <v>234</v>
      </c>
      <c r="I33" s="280"/>
      <c r="J33" s="280"/>
      <c r="K33" s="280"/>
      <c r="L33" s="280"/>
      <c r="M33" s="280"/>
    </row>
    <row r="34" spans="1:14" ht="10.25" customHeight="1">
      <c r="A34" t="s">
        <v>240</v>
      </c>
      <c r="B34" s="280">
        <v>8.6</v>
      </c>
      <c r="C34" s="280">
        <v>10.805999999999999</v>
      </c>
      <c r="D34" s="280">
        <v>20.350000000000001</v>
      </c>
      <c r="E34" s="280">
        <f>F34-B34</f>
        <v>39.235999999999997</v>
      </c>
      <c r="F34" s="280">
        <v>47.835999999999999</v>
      </c>
      <c r="H34" s="168" t="s">
        <v>240</v>
      </c>
      <c r="I34" s="280">
        <v>9.01</v>
      </c>
      <c r="J34" s="280">
        <v>11.77</v>
      </c>
      <c r="K34" s="280">
        <v>23.78</v>
      </c>
      <c r="L34" s="280">
        <f>M34-I34</f>
        <v>44.730000000000004</v>
      </c>
      <c r="M34" s="280">
        <v>53.74</v>
      </c>
      <c r="N34" s="218"/>
    </row>
    <row r="35" spans="1:14" ht="10.25" customHeight="1">
      <c r="A35" t="s">
        <v>237</v>
      </c>
      <c r="B35" s="280">
        <v>0.91400000000000003</v>
      </c>
      <c r="C35" s="280">
        <v>7.6139999999999999</v>
      </c>
      <c r="D35" s="280">
        <v>0.17899999999999999</v>
      </c>
      <c r="E35" s="280">
        <f>F35-B35</f>
        <v>10.201000000000001</v>
      </c>
      <c r="F35" s="280">
        <v>11.115</v>
      </c>
      <c r="H35" s="168" t="s">
        <v>237</v>
      </c>
      <c r="I35" s="280">
        <v>1.1599999999999999</v>
      </c>
      <c r="J35" s="280">
        <v>7.46</v>
      </c>
      <c r="K35" s="280">
        <v>0.21</v>
      </c>
      <c r="L35" s="280">
        <f>M35-I35</f>
        <v>10.119999999999999</v>
      </c>
      <c r="M35" s="280">
        <v>11.28</v>
      </c>
      <c r="N35" s="218"/>
    </row>
    <row r="36" spans="1:14" s="41" customFormat="1" ht="9.75" customHeight="1">
      <c r="A36" s="41" t="s">
        <v>238</v>
      </c>
      <c r="B36" s="280">
        <v>0.84099999999999997</v>
      </c>
      <c r="C36" s="280">
        <v>0.95</v>
      </c>
      <c r="D36" s="280">
        <v>1.57</v>
      </c>
      <c r="E36" s="280">
        <f>F36-B36</f>
        <v>3.4649999999999999</v>
      </c>
      <c r="F36" s="280">
        <v>4.306</v>
      </c>
      <c r="H36" s="256" t="s">
        <v>238</v>
      </c>
      <c r="I36" s="280">
        <v>0.78</v>
      </c>
      <c r="J36" s="280">
        <v>0.77</v>
      </c>
      <c r="K36" s="280">
        <v>0.96</v>
      </c>
      <c r="L36" s="280">
        <f>M36-I36</f>
        <v>2.6100000000000003</v>
      </c>
      <c r="M36" s="280">
        <v>3.39</v>
      </c>
      <c r="N36" s="223"/>
    </row>
    <row r="37" spans="1:14" s="218" customFormat="1" ht="15.75" customHeight="1">
      <c r="A37" s="221" t="s">
        <v>575</v>
      </c>
      <c r="B37" s="280"/>
      <c r="C37" s="280"/>
      <c r="D37" s="280"/>
      <c r="E37" s="280"/>
      <c r="F37" s="280"/>
      <c r="H37" s="221" t="s">
        <v>671</v>
      </c>
      <c r="I37" s="280"/>
      <c r="J37" s="280"/>
      <c r="K37" s="280"/>
      <c r="L37" s="280"/>
      <c r="M37" s="280"/>
    </row>
    <row r="38" spans="1:14" s="218" customFormat="1" ht="10.25" customHeight="1">
      <c r="A38" s="218" t="s">
        <v>229</v>
      </c>
      <c r="B38" s="280"/>
      <c r="C38" s="280"/>
      <c r="D38" s="280"/>
      <c r="E38" s="280"/>
      <c r="F38" s="280"/>
      <c r="H38" s="218" t="s">
        <v>229</v>
      </c>
      <c r="I38" s="280"/>
      <c r="J38" s="280"/>
      <c r="K38" s="280"/>
      <c r="L38" s="280"/>
      <c r="M38" s="280"/>
    </row>
    <row r="39" spans="1:14" s="218" customFormat="1" ht="10.25" customHeight="1">
      <c r="A39" s="218" t="s">
        <v>230</v>
      </c>
      <c r="B39" s="280"/>
      <c r="C39" s="280"/>
      <c r="D39" s="280"/>
      <c r="E39" s="280"/>
      <c r="F39" s="280"/>
      <c r="H39" s="218" t="s">
        <v>230</v>
      </c>
      <c r="I39" s="280"/>
      <c r="J39" s="280"/>
      <c r="K39" s="280"/>
      <c r="L39" s="280"/>
      <c r="M39" s="280"/>
    </row>
    <row r="40" spans="1:14" ht="10.25" customHeight="1">
      <c r="A40" t="s">
        <v>231</v>
      </c>
      <c r="B40" s="280">
        <f>B18</f>
        <v>5.19</v>
      </c>
      <c r="C40" s="280">
        <f t="shared" ref="C40:F40" si="0">C18</f>
        <v>50.88</v>
      </c>
      <c r="D40" s="280">
        <f t="shared" si="0"/>
        <v>18.850000000000001</v>
      </c>
      <c r="E40" s="280">
        <f t="shared" si="0"/>
        <v>72.7</v>
      </c>
      <c r="F40" s="280">
        <f t="shared" si="0"/>
        <v>77.89</v>
      </c>
      <c r="G40" s="218"/>
      <c r="H40" t="s">
        <v>231</v>
      </c>
      <c r="I40" s="280">
        <f>I18</f>
        <v>8.2100000000000009</v>
      </c>
      <c r="J40" s="280">
        <f>J18</f>
        <v>62.36</v>
      </c>
      <c r="K40" s="280">
        <f>K18</f>
        <v>22.82</v>
      </c>
      <c r="L40" s="280">
        <f>L18</f>
        <v>88.44</v>
      </c>
      <c r="M40" s="280">
        <f>M18</f>
        <v>96.65</v>
      </c>
    </row>
    <row r="41" spans="1:14" ht="10.25" customHeight="1">
      <c r="A41" t="s">
        <v>232</v>
      </c>
      <c r="B41" s="280">
        <v>106.857</v>
      </c>
      <c r="C41" s="280">
        <v>164.73</v>
      </c>
      <c r="D41" s="280">
        <v>15.48</v>
      </c>
      <c r="E41" s="280">
        <f>F41-B41</f>
        <v>206.91299999999998</v>
      </c>
      <c r="F41" s="280">
        <v>313.77</v>
      </c>
      <c r="G41" s="218"/>
      <c r="H41" t="s">
        <v>232</v>
      </c>
      <c r="I41" s="280">
        <v>119.52</v>
      </c>
      <c r="J41" s="280">
        <v>171.4</v>
      </c>
      <c r="K41" s="280">
        <v>18.2</v>
      </c>
      <c r="L41" s="280">
        <f>M41-I41</f>
        <v>221.34000000000003</v>
      </c>
      <c r="M41" s="280">
        <v>340.86</v>
      </c>
    </row>
    <row r="42" spans="1:14" ht="10.25" customHeight="1">
      <c r="A42" t="s">
        <v>233</v>
      </c>
      <c r="B42" s="280">
        <v>0.64</v>
      </c>
      <c r="C42" s="280">
        <v>1.1180000000000001</v>
      </c>
      <c r="D42" s="280">
        <v>113.5</v>
      </c>
      <c r="E42" s="280">
        <f>F42-B42</f>
        <v>132.69000000000003</v>
      </c>
      <c r="F42" s="280">
        <v>133.33000000000001</v>
      </c>
      <c r="G42" s="218"/>
      <c r="H42" t="s">
        <v>233</v>
      </c>
      <c r="I42" s="280">
        <v>0.68</v>
      </c>
      <c r="J42" s="280">
        <v>2.61</v>
      </c>
      <c r="K42" s="280">
        <v>127.3</v>
      </c>
      <c r="L42" s="280">
        <f>M42-I42</f>
        <v>150.59</v>
      </c>
      <c r="M42" s="280">
        <v>151.27000000000001</v>
      </c>
    </row>
    <row r="43" spans="1:14" s="218" customFormat="1" ht="10.25" customHeight="1">
      <c r="A43" s="218" t="s">
        <v>234</v>
      </c>
      <c r="B43" s="280"/>
      <c r="C43" s="280"/>
      <c r="D43" s="280"/>
      <c r="E43" s="280"/>
      <c r="F43" s="280"/>
      <c r="H43" s="218" t="s">
        <v>234</v>
      </c>
      <c r="I43" s="280"/>
      <c r="J43" s="280"/>
      <c r="K43" s="280"/>
      <c r="L43" s="280"/>
      <c r="M43" s="280"/>
    </row>
    <row r="44" spans="1:14" ht="10.25" customHeight="1">
      <c r="A44" t="s">
        <v>235</v>
      </c>
      <c r="B44" s="280">
        <v>51.335000000000001</v>
      </c>
      <c r="C44" s="280">
        <v>86.89</v>
      </c>
      <c r="D44" s="280">
        <v>106.83</v>
      </c>
      <c r="E44" s="280">
        <f>F44-B44</f>
        <v>224.02500000000001</v>
      </c>
      <c r="F44" s="280">
        <v>275.36</v>
      </c>
      <c r="G44" s="218"/>
      <c r="H44" t="s">
        <v>235</v>
      </c>
      <c r="I44" s="280">
        <v>53.34</v>
      </c>
      <c r="J44" s="280">
        <v>89.78</v>
      </c>
      <c r="K44" s="280">
        <v>120.75</v>
      </c>
      <c r="L44" s="280">
        <f>M44-I44</f>
        <v>247.52</v>
      </c>
      <c r="M44" s="280">
        <v>300.86</v>
      </c>
    </row>
    <row r="45" spans="1:14" ht="10.25" customHeight="1">
      <c r="A45" t="s">
        <v>236</v>
      </c>
      <c r="B45" s="280">
        <v>54.47</v>
      </c>
      <c r="C45" s="280">
        <v>94.65</v>
      </c>
      <c r="D45" s="280">
        <v>127.77</v>
      </c>
      <c r="E45" s="280">
        <f t="shared" ref="E45:E47" si="1">F45-B45</f>
        <v>259.67999999999995</v>
      </c>
      <c r="F45" s="280">
        <v>314.14999999999998</v>
      </c>
      <c r="G45" s="218"/>
      <c r="H45" t="s">
        <v>236</v>
      </c>
      <c r="I45" s="280">
        <v>57.11</v>
      </c>
      <c r="J45" s="280">
        <v>97.99</v>
      </c>
      <c r="K45" s="280">
        <v>144.72999999999999</v>
      </c>
      <c r="L45" s="280">
        <f>M45-I45</f>
        <v>286.66999999999996</v>
      </c>
      <c r="M45" s="280">
        <v>343.78</v>
      </c>
    </row>
    <row r="46" spans="1:14" ht="10.25" customHeight="1">
      <c r="A46" t="s">
        <v>237</v>
      </c>
      <c r="B46" s="280">
        <v>52.86</v>
      </c>
      <c r="C46" s="280">
        <v>71.88</v>
      </c>
      <c r="D46" s="280">
        <v>0.32300000000000001</v>
      </c>
      <c r="E46" s="280">
        <f t="shared" si="1"/>
        <v>79.7</v>
      </c>
      <c r="F46" s="280">
        <v>132.56</v>
      </c>
      <c r="G46" s="218"/>
      <c r="H46" t="s">
        <v>237</v>
      </c>
      <c r="I46" s="280">
        <v>56.2</v>
      </c>
      <c r="J46" s="280">
        <v>85.2</v>
      </c>
      <c r="K46" s="280">
        <v>0.5</v>
      </c>
      <c r="L46" s="280">
        <f>M46-I46</f>
        <v>94.399999999999991</v>
      </c>
      <c r="M46" s="280">
        <v>150.6</v>
      </c>
    </row>
    <row r="47" spans="1:14" ht="10.25" customHeight="1">
      <c r="A47" t="s">
        <v>238</v>
      </c>
      <c r="B47" s="280">
        <v>5.3540000000000001</v>
      </c>
      <c r="C47" s="280">
        <v>50.192999999999998</v>
      </c>
      <c r="D47" s="280">
        <v>19.73</v>
      </c>
      <c r="E47" s="280">
        <f t="shared" si="1"/>
        <v>72.926000000000002</v>
      </c>
      <c r="F47" s="280">
        <v>78.28</v>
      </c>
      <c r="G47" s="218"/>
      <c r="H47" t="s">
        <v>238</v>
      </c>
      <c r="I47" s="280">
        <v>15.1</v>
      </c>
      <c r="J47" s="280">
        <v>53.18</v>
      </c>
      <c r="K47" s="280">
        <v>23.09</v>
      </c>
      <c r="L47" s="280">
        <f>M47-I47</f>
        <v>79.300000000000011</v>
      </c>
      <c r="M47" s="280">
        <v>94.4</v>
      </c>
    </row>
    <row r="48" spans="1:14" s="218" customFormat="1" ht="10.25" customHeight="1">
      <c r="A48" s="218" t="s">
        <v>239</v>
      </c>
      <c r="B48" s="280"/>
      <c r="C48" s="280"/>
      <c r="D48" s="280"/>
      <c r="E48" s="280"/>
      <c r="F48" s="280"/>
      <c r="H48" s="218" t="s">
        <v>239</v>
      </c>
      <c r="I48" s="280"/>
      <c r="J48" s="280"/>
      <c r="K48" s="280"/>
      <c r="L48" s="280"/>
      <c r="M48" s="280"/>
    </row>
    <row r="49" spans="1:15" s="218" customFormat="1" ht="10.25" customHeight="1">
      <c r="A49" s="218" t="s">
        <v>230</v>
      </c>
      <c r="B49" s="280"/>
      <c r="C49" s="280"/>
      <c r="D49" s="280"/>
      <c r="E49" s="280"/>
      <c r="F49" s="280"/>
      <c r="H49" s="218" t="s">
        <v>230</v>
      </c>
      <c r="I49" s="280"/>
      <c r="J49" s="280"/>
      <c r="K49" s="280"/>
      <c r="L49" s="280"/>
      <c r="M49" s="280"/>
    </row>
    <row r="50" spans="1:15" ht="10.25" customHeight="1">
      <c r="A50" t="s">
        <v>231</v>
      </c>
      <c r="B50" s="280">
        <f>+B27</f>
        <v>0.23599999999999999</v>
      </c>
      <c r="C50" s="280">
        <f t="shared" ref="C50:F50" si="2">+C27</f>
        <v>8.39</v>
      </c>
      <c r="D50" s="280">
        <f t="shared" si="2"/>
        <v>1.99</v>
      </c>
      <c r="E50" s="280">
        <f t="shared" si="2"/>
        <v>13.437999999999999</v>
      </c>
      <c r="F50" s="280">
        <f t="shared" si="2"/>
        <v>13.673999999999999</v>
      </c>
      <c r="H50" t="s">
        <v>231</v>
      </c>
      <c r="I50" s="280">
        <f>I27</f>
        <v>0.36</v>
      </c>
      <c r="J50" s="280">
        <f>J27</f>
        <v>7.41</v>
      </c>
      <c r="K50" s="280">
        <f>K27</f>
        <v>1.25</v>
      </c>
      <c r="L50" s="280">
        <f>L27</f>
        <v>11.75</v>
      </c>
      <c r="M50" s="280">
        <f>M27</f>
        <v>12.11</v>
      </c>
    </row>
    <row r="51" spans="1:15" ht="10.25" customHeight="1">
      <c r="A51" t="s">
        <v>232</v>
      </c>
      <c r="B51" s="280">
        <v>40.526000000000003</v>
      </c>
      <c r="C51" s="280">
        <v>68.52</v>
      </c>
      <c r="D51" s="280">
        <v>16.420000000000002</v>
      </c>
      <c r="E51" s="280">
        <f>F51-B51</f>
        <v>175.60399999999998</v>
      </c>
      <c r="F51" s="280">
        <v>216.13</v>
      </c>
      <c r="H51" t="s">
        <v>232</v>
      </c>
      <c r="I51" s="280">
        <v>42</v>
      </c>
      <c r="J51" s="280">
        <v>73.7</v>
      </c>
      <c r="K51" s="280">
        <v>16.48</v>
      </c>
      <c r="L51" s="280">
        <f>M51-I51</f>
        <v>194.7</v>
      </c>
      <c r="M51" s="280">
        <v>236.7</v>
      </c>
    </row>
    <row r="52" spans="1:15" ht="10.25" customHeight="1">
      <c r="A52" t="s">
        <v>233</v>
      </c>
      <c r="B52" s="280">
        <v>0.36599999999999999</v>
      </c>
      <c r="C52" s="280">
        <v>7.0000000000000007E-2</v>
      </c>
      <c r="D52" s="280">
        <v>36.47</v>
      </c>
      <c r="E52" s="280">
        <f>F52-B52</f>
        <v>61.384</v>
      </c>
      <c r="F52" s="280">
        <v>61.75</v>
      </c>
      <c r="H52" t="s">
        <v>233</v>
      </c>
      <c r="I52" s="280">
        <v>0.27</v>
      </c>
      <c r="J52" s="280">
        <v>0.04</v>
      </c>
      <c r="K52" s="280">
        <v>37.53</v>
      </c>
      <c r="L52" s="280">
        <f>M52-I52</f>
        <v>62.989999999999995</v>
      </c>
      <c r="M52" s="280">
        <v>63.26</v>
      </c>
    </row>
    <row r="53" spans="1:15" s="218" customFormat="1" ht="10.25" customHeight="1">
      <c r="A53" s="218" t="s">
        <v>234</v>
      </c>
      <c r="B53" s="280"/>
      <c r="C53" s="280"/>
      <c r="D53" s="280"/>
      <c r="E53" s="280"/>
      <c r="F53" s="280"/>
      <c r="H53" s="218" t="s">
        <v>234</v>
      </c>
      <c r="I53" s="280"/>
      <c r="J53" s="280"/>
      <c r="K53" s="280"/>
      <c r="L53" s="280"/>
      <c r="M53" s="280"/>
    </row>
    <row r="54" spans="1:15" ht="10.25" customHeight="1">
      <c r="A54" t="s">
        <v>240</v>
      </c>
      <c r="B54" s="280">
        <v>30.036000000000001</v>
      </c>
      <c r="C54" s="280">
        <v>23.77</v>
      </c>
      <c r="D54" s="280">
        <v>52.47</v>
      </c>
      <c r="E54" s="280">
        <f>F54-B54</f>
        <v>183.464</v>
      </c>
      <c r="F54" s="280">
        <v>213.5</v>
      </c>
      <c r="H54" t="s">
        <v>240</v>
      </c>
      <c r="I54" s="280">
        <v>31.12</v>
      </c>
      <c r="J54" s="280">
        <v>26.53</v>
      </c>
      <c r="K54" s="280">
        <v>53.29</v>
      </c>
      <c r="L54" s="280">
        <f>M54-I54</f>
        <v>202.54</v>
      </c>
      <c r="M54" s="280">
        <v>233.66</v>
      </c>
    </row>
    <row r="55" spans="1:15" ht="10.25" customHeight="1">
      <c r="A55" t="s">
        <v>237</v>
      </c>
      <c r="B55" s="280">
        <v>10.84</v>
      </c>
      <c r="C55" s="280">
        <v>46.15</v>
      </c>
      <c r="D55" s="280">
        <v>0.51</v>
      </c>
      <c r="E55" s="280">
        <f>F55-B55</f>
        <v>54.59</v>
      </c>
      <c r="F55" s="280">
        <v>65.430000000000007</v>
      </c>
      <c r="H55" t="s">
        <v>237</v>
      </c>
      <c r="I55" s="280">
        <v>11.25</v>
      </c>
      <c r="J55" s="280">
        <v>47.75</v>
      </c>
      <c r="K55" s="280">
        <v>0.51</v>
      </c>
      <c r="L55" s="280">
        <f>M55-I55</f>
        <v>55.44</v>
      </c>
      <c r="M55" s="280">
        <v>66.69</v>
      </c>
    </row>
    <row r="56" spans="1:15" ht="10.25" customHeight="1">
      <c r="A56" t="s">
        <v>238</v>
      </c>
      <c r="B56" s="280">
        <v>0.23899999999999999</v>
      </c>
      <c r="C56" s="280">
        <v>7.06</v>
      </c>
      <c r="D56" s="280">
        <v>1.91</v>
      </c>
      <c r="E56" s="280">
        <f>F56-B56</f>
        <v>12.401</v>
      </c>
      <c r="F56" s="280">
        <v>12.64</v>
      </c>
      <c r="H56" t="s">
        <v>238</v>
      </c>
      <c r="I56" s="280">
        <v>0.27</v>
      </c>
      <c r="J56" s="280">
        <v>6.87</v>
      </c>
      <c r="K56" s="280">
        <v>1.45</v>
      </c>
      <c r="L56" s="280">
        <f>M56-I56</f>
        <v>11.440000000000001</v>
      </c>
      <c r="M56" s="280">
        <v>11.71</v>
      </c>
    </row>
    <row r="57" spans="1:15" s="218" customFormat="1" ht="10.25" customHeight="1">
      <c r="A57" s="218" t="s">
        <v>241</v>
      </c>
      <c r="B57" s="280"/>
      <c r="C57" s="280"/>
      <c r="D57" s="280"/>
      <c r="E57" s="280"/>
      <c r="F57" s="280"/>
      <c r="H57" s="218" t="s">
        <v>241</v>
      </c>
      <c r="I57" s="280"/>
      <c r="J57" s="280"/>
      <c r="K57" s="280"/>
      <c r="L57" s="280"/>
      <c r="M57" s="280"/>
    </row>
    <row r="58" spans="1:15" s="218" customFormat="1" ht="10.25" customHeight="1">
      <c r="A58" s="218" t="s">
        <v>230</v>
      </c>
      <c r="B58" s="280"/>
      <c r="C58" s="280"/>
      <c r="D58" s="280"/>
      <c r="E58" s="280"/>
      <c r="F58" s="280"/>
      <c r="H58" s="218" t="s">
        <v>230</v>
      </c>
      <c r="I58" s="280"/>
      <c r="J58" s="280"/>
      <c r="K58" s="280"/>
      <c r="L58" s="280"/>
      <c r="M58" s="280"/>
    </row>
    <row r="59" spans="1:15" ht="10.25" customHeight="1">
      <c r="A59" t="s">
        <v>231</v>
      </c>
      <c r="B59" s="280">
        <f>B36</f>
        <v>0.84099999999999997</v>
      </c>
      <c r="C59" s="280">
        <f t="shared" ref="C59:F59" si="3">C36</f>
        <v>0.95</v>
      </c>
      <c r="D59" s="280">
        <f t="shared" si="3"/>
        <v>1.57</v>
      </c>
      <c r="E59" s="280">
        <f t="shared" si="3"/>
        <v>3.4649999999999999</v>
      </c>
      <c r="F59" s="280">
        <f t="shared" si="3"/>
        <v>4.306</v>
      </c>
      <c r="G59" s="218"/>
      <c r="H59" t="s">
        <v>231</v>
      </c>
      <c r="I59" s="280">
        <f>I36</f>
        <v>0.78</v>
      </c>
      <c r="J59" s="280">
        <f>J36</f>
        <v>0.77</v>
      </c>
      <c r="K59" s="280">
        <f>K36</f>
        <v>0.96</v>
      </c>
      <c r="L59" s="280">
        <f>L36</f>
        <v>2.6100000000000003</v>
      </c>
      <c r="M59" s="280">
        <f>M36</f>
        <v>3.39</v>
      </c>
      <c r="N59" s="218"/>
      <c r="O59" s="218"/>
    </row>
    <row r="60" spans="1:15" ht="10.25" customHeight="1">
      <c r="A60" t="s">
        <v>232</v>
      </c>
      <c r="B60" s="280">
        <v>9.9570000000000007</v>
      </c>
      <c r="C60" s="280">
        <v>18.899999999999999</v>
      </c>
      <c r="D60" s="280">
        <v>15.95</v>
      </c>
      <c r="E60" s="280">
        <f t="shared" ref="E60:E61" si="4">F60-B60</f>
        <v>41.643000000000001</v>
      </c>
      <c r="F60" s="280">
        <v>51.6</v>
      </c>
      <c r="G60" s="218"/>
      <c r="H60" t="s">
        <v>232</v>
      </c>
      <c r="I60" s="280">
        <v>10.27</v>
      </c>
      <c r="J60" s="280">
        <v>19.41</v>
      </c>
      <c r="K60" s="280">
        <v>19.18</v>
      </c>
      <c r="L60" s="280">
        <f>M60-I60</f>
        <v>45.89</v>
      </c>
      <c r="M60" s="280">
        <v>56.16</v>
      </c>
      <c r="N60" s="218"/>
      <c r="O60" s="218"/>
    </row>
    <row r="61" spans="1:15" ht="10.25" customHeight="1">
      <c r="A61" t="s">
        <v>233</v>
      </c>
      <c r="B61" s="280">
        <v>0.13100000000000001</v>
      </c>
      <c r="C61" s="280">
        <v>0.39</v>
      </c>
      <c r="D61" s="280">
        <v>6.85</v>
      </c>
      <c r="E61" s="280">
        <f t="shared" si="4"/>
        <v>11.509</v>
      </c>
      <c r="F61" s="280">
        <v>11.64</v>
      </c>
      <c r="G61" s="218"/>
      <c r="H61" t="s">
        <v>233</v>
      </c>
      <c r="I61" s="280">
        <v>0.14000000000000001</v>
      </c>
      <c r="J61" s="280">
        <v>0.31</v>
      </c>
      <c r="K61" s="280">
        <v>5.66</v>
      </c>
      <c r="L61" s="280">
        <f>M61-I61</f>
        <v>10.61</v>
      </c>
      <c r="M61" s="280">
        <v>10.75</v>
      </c>
      <c r="N61" s="218"/>
      <c r="O61" s="218"/>
    </row>
    <row r="62" spans="1:15" s="218" customFormat="1" ht="10.25" customHeight="1">
      <c r="A62" s="218" t="s">
        <v>234</v>
      </c>
      <c r="B62" s="280"/>
      <c r="C62" s="280"/>
      <c r="D62" s="280"/>
      <c r="E62" s="280"/>
      <c r="F62" s="280"/>
      <c r="H62" s="218" t="s">
        <v>234</v>
      </c>
      <c r="I62" s="280"/>
      <c r="J62" s="280"/>
      <c r="K62" s="280"/>
      <c r="L62" s="280"/>
      <c r="M62" s="280"/>
    </row>
    <row r="63" spans="1:15" ht="10.25" customHeight="1">
      <c r="A63" t="s">
        <v>240</v>
      </c>
      <c r="B63" s="280">
        <v>9.1479999999999997</v>
      </c>
      <c r="C63" s="280">
        <v>11.41</v>
      </c>
      <c r="D63" s="280">
        <v>22.99</v>
      </c>
      <c r="E63" s="280">
        <f>F63-B63</f>
        <v>43.022000000000006</v>
      </c>
      <c r="F63" s="280">
        <v>52.17</v>
      </c>
      <c r="G63" s="218"/>
      <c r="H63" t="s">
        <v>240</v>
      </c>
      <c r="I63" s="280">
        <v>9.5299999999999994</v>
      </c>
      <c r="J63" s="280">
        <v>12.46</v>
      </c>
      <c r="K63" s="280">
        <v>24.75</v>
      </c>
      <c r="L63" s="280">
        <f>M63-I63</f>
        <v>46.75</v>
      </c>
      <c r="M63" s="280">
        <v>56.28</v>
      </c>
      <c r="N63" s="218"/>
      <c r="O63" s="218"/>
    </row>
    <row r="64" spans="1:15" ht="10.25" customHeight="1">
      <c r="A64" t="s">
        <v>237</v>
      </c>
      <c r="B64" s="280">
        <v>1.016</v>
      </c>
      <c r="C64" s="280">
        <v>8.16</v>
      </c>
      <c r="D64" s="280">
        <v>0.17</v>
      </c>
      <c r="E64" s="280">
        <f>F64-B64</f>
        <v>10.754</v>
      </c>
      <c r="F64" s="280">
        <v>11.77</v>
      </c>
      <c r="G64" s="218"/>
      <c r="H64" t="s">
        <v>237</v>
      </c>
      <c r="I64" s="280">
        <v>0.86</v>
      </c>
      <c r="J64" s="280">
        <v>7.39</v>
      </c>
      <c r="K64" s="280">
        <v>0.18</v>
      </c>
      <c r="L64" s="280">
        <f>M64-I64</f>
        <v>10.030000000000001</v>
      </c>
      <c r="M64" s="280">
        <v>10.89</v>
      </c>
      <c r="N64" s="218"/>
      <c r="O64" s="218"/>
    </row>
    <row r="65" spans="1:15" ht="10.25" customHeight="1">
      <c r="A65" s="1" t="s">
        <v>238</v>
      </c>
      <c r="B65" s="279">
        <v>0.76500000000000001</v>
      </c>
      <c r="C65" s="279">
        <v>0.67</v>
      </c>
      <c r="D65" s="279">
        <v>1.21</v>
      </c>
      <c r="E65" s="279">
        <f>F65-B65</f>
        <v>2.8449999999999998</v>
      </c>
      <c r="F65" s="279">
        <v>3.61</v>
      </c>
      <c r="G65" s="373"/>
      <c r="H65" s="1" t="s">
        <v>238</v>
      </c>
      <c r="I65" s="279">
        <v>0.79</v>
      </c>
      <c r="J65" s="279">
        <v>0.64</v>
      </c>
      <c r="K65" s="279">
        <v>0.87</v>
      </c>
      <c r="L65" s="279">
        <f>M65-I65</f>
        <v>2.35</v>
      </c>
      <c r="M65" s="279">
        <v>3.14</v>
      </c>
      <c r="N65" s="218"/>
      <c r="O65" s="218"/>
    </row>
    <row r="66" spans="1:15" ht="12" customHeight="1">
      <c r="A66" s="149" t="s">
        <v>395</v>
      </c>
      <c r="B66" s="218"/>
      <c r="C66" s="218"/>
      <c r="D66" s="218"/>
      <c r="E66" s="218"/>
      <c r="F66" s="218"/>
      <c r="G66" s="218"/>
      <c r="H66" s="149"/>
      <c r="I66" s="218"/>
      <c r="J66" s="218"/>
      <c r="K66" s="218"/>
      <c r="L66" s="218"/>
      <c r="M66" s="218"/>
      <c r="N66" s="218"/>
      <c r="O66" s="218"/>
    </row>
    <row r="67" spans="1:15">
      <c r="A67" s="117" t="s">
        <v>656</v>
      </c>
    </row>
    <row r="68" spans="1:15">
      <c r="A68" s="117" t="s">
        <v>657</v>
      </c>
    </row>
    <row r="69" spans="1:15">
      <c r="A69" s="117" t="s">
        <v>658</v>
      </c>
    </row>
    <row r="70" spans="1:15" ht="12" customHeight="1">
      <c r="A70" s="117" t="s">
        <v>622</v>
      </c>
      <c r="L70" s="160"/>
      <c r="M70" s="160"/>
    </row>
    <row r="71" spans="1:15">
      <c r="M71" s="313" t="s">
        <v>679</v>
      </c>
    </row>
  </sheetData>
  <phoneticPr fontId="0" type="noConversion"/>
  <pageMargins left="0.7" right="0.7" top="0.75" bottom="0.75" header="0.3" footer="0.3"/>
  <pageSetup scale="10" firstPageNumber="7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K53"/>
  <sheetViews>
    <sheetView zoomScaleNormal="100" zoomScaleSheetLayoutView="100" workbookViewId="0"/>
  </sheetViews>
  <sheetFormatPr baseColWidth="10" defaultColWidth="8.75" defaultRowHeight="11"/>
  <cols>
    <col min="1" max="1" width="16" customWidth="1"/>
    <col min="2" max="7" width="12.75" customWidth="1"/>
  </cols>
  <sheetData>
    <row r="1" spans="1:11">
      <c r="A1" s="1" t="s">
        <v>683</v>
      </c>
      <c r="B1" s="1"/>
      <c r="C1" s="1"/>
      <c r="D1" s="1"/>
      <c r="E1" s="1"/>
      <c r="F1" s="1"/>
      <c r="G1" s="1"/>
    </row>
    <row r="2" spans="1:11">
      <c r="B2" s="24"/>
      <c r="C2" s="1"/>
    </row>
    <row r="3" spans="1:11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575</v>
      </c>
      <c r="F3" s="210" t="s">
        <v>586</v>
      </c>
      <c r="G3" s="210" t="s">
        <v>664</v>
      </c>
    </row>
    <row r="4" spans="1:11">
      <c r="C4" s="320"/>
      <c r="D4" s="320" t="s">
        <v>242</v>
      </c>
      <c r="E4" s="320"/>
      <c r="F4" s="320"/>
      <c r="G4" s="172"/>
      <c r="H4" s="35"/>
      <c r="I4" s="35"/>
    </row>
    <row r="5" spans="1:11">
      <c r="A5" t="s">
        <v>66</v>
      </c>
    </row>
    <row r="6" spans="1:11">
      <c r="A6" t="s">
        <v>363</v>
      </c>
      <c r="B6" s="241">
        <v>5.7190000000000003</v>
      </c>
      <c r="C6" s="241">
        <v>5.4160000000000004</v>
      </c>
      <c r="D6" s="241">
        <v>5.4219999999999997</v>
      </c>
      <c r="E6" s="241">
        <v>5.3170000000000002</v>
      </c>
      <c r="F6" s="241">
        <v>5.4139999999999997</v>
      </c>
      <c r="G6" s="241">
        <v>5.5430000000000001</v>
      </c>
    </row>
    <row r="7" spans="1:11">
      <c r="A7" t="s">
        <v>79</v>
      </c>
      <c r="B7" s="241">
        <v>46.365000000000002</v>
      </c>
      <c r="C7" s="241">
        <v>45.040999999999997</v>
      </c>
      <c r="D7" s="241">
        <v>44.395000000000003</v>
      </c>
      <c r="E7" s="241">
        <v>35.805</v>
      </c>
      <c r="F7" s="241">
        <v>39.128999999999998</v>
      </c>
      <c r="G7" s="241">
        <v>44.988999999999997</v>
      </c>
    </row>
    <row r="8" spans="1:11">
      <c r="A8" t="s">
        <v>82</v>
      </c>
      <c r="B8" s="241">
        <v>15.054</v>
      </c>
      <c r="C8" s="241">
        <v>15.935</v>
      </c>
      <c r="D8" s="241">
        <v>16.559000000000001</v>
      </c>
      <c r="E8" s="241">
        <v>15.962999999999999</v>
      </c>
      <c r="F8" s="241">
        <v>17.303999999999998</v>
      </c>
      <c r="G8" s="241">
        <v>18.591999999999999</v>
      </c>
    </row>
    <row r="9" spans="1:11">
      <c r="A9" t="s">
        <v>360</v>
      </c>
      <c r="B9" s="241">
        <v>40.890999999999998</v>
      </c>
      <c r="C9" s="241">
        <v>41.868000000000002</v>
      </c>
      <c r="D9" s="241">
        <v>40.451999999999998</v>
      </c>
      <c r="E9" s="241">
        <v>40.421999999999997</v>
      </c>
      <c r="F9" s="241">
        <v>43.054000000000002</v>
      </c>
      <c r="G9" s="241">
        <v>44.453000000000003</v>
      </c>
    </row>
    <row r="10" spans="1:11">
      <c r="A10" t="s">
        <v>362</v>
      </c>
      <c r="B10" s="241">
        <v>64.061000000000007</v>
      </c>
      <c r="C10" s="241">
        <v>71.674999999999997</v>
      </c>
      <c r="D10" s="241">
        <v>71.453999999999994</v>
      </c>
      <c r="E10" s="241">
        <v>69.960999999999999</v>
      </c>
      <c r="F10" s="241">
        <v>71.283000000000001</v>
      </c>
      <c r="G10" s="241">
        <v>73.948999999999998</v>
      </c>
    </row>
    <row r="11" spans="1:11">
      <c r="A11" t="s">
        <v>359</v>
      </c>
      <c r="B11" s="241">
        <v>268.46600000000001</v>
      </c>
      <c r="C11" s="241">
        <v>282.74900000000002</v>
      </c>
      <c r="D11" s="241">
        <v>320.017</v>
      </c>
      <c r="E11" s="241">
        <v>313.767</v>
      </c>
      <c r="F11" s="241">
        <v>351.315</v>
      </c>
      <c r="G11" s="241">
        <v>340.85700000000003</v>
      </c>
    </row>
    <row r="12" spans="1:11">
      <c r="A12" t="s">
        <v>361</v>
      </c>
      <c r="B12" s="241">
        <v>35.015000000000001</v>
      </c>
      <c r="C12" s="241">
        <v>41.536999999999999</v>
      </c>
      <c r="D12" s="241">
        <v>39.247999999999998</v>
      </c>
      <c r="E12" s="241">
        <v>40.295999999999999</v>
      </c>
      <c r="F12" s="241">
        <v>47.798999999999999</v>
      </c>
      <c r="G12" s="241">
        <v>46.112000000000002</v>
      </c>
    </row>
    <row r="13" spans="1:11">
      <c r="A13" t="s">
        <v>3</v>
      </c>
      <c r="B13" s="241">
        <f t="shared" ref="B13:G13" si="0">SUM(B6:B12)</f>
        <v>475.57100000000003</v>
      </c>
      <c r="C13" s="241">
        <f t="shared" si="0"/>
        <v>504.221</v>
      </c>
      <c r="D13" s="241">
        <f t="shared" si="0"/>
        <v>537.54700000000003</v>
      </c>
      <c r="E13" s="241">
        <f t="shared" si="0"/>
        <v>521.53100000000006</v>
      </c>
      <c r="F13" s="241">
        <f t="shared" si="0"/>
        <v>575.298</v>
      </c>
      <c r="G13" s="241">
        <f t="shared" si="0"/>
        <v>574.495</v>
      </c>
    </row>
    <row r="14" spans="1:11">
      <c r="A14" t="s">
        <v>88</v>
      </c>
      <c r="B14" s="241"/>
      <c r="C14" s="241"/>
      <c r="D14" s="241"/>
      <c r="E14" s="241"/>
      <c r="F14" s="241"/>
      <c r="G14" s="241"/>
      <c r="H14" s="88"/>
      <c r="I14" s="88"/>
      <c r="J14" s="88"/>
      <c r="K14" s="88"/>
    </row>
    <row r="15" spans="1:11">
      <c r="A15" t="s">
        <v>363</v>
      </c>
      <c r="B15" s="241">
        <v>4.2000000000000003E-2</v>
      </c>
      <c r="C15" s="241">
        <v>8.7999999999999995E-2</v>
      </c>
      <c r="D15" s="241">
        <v>9.7000000000000003E-2</v>
      </c>
      <c r="E15" s="241">
        <v>0.126</v>
      </c>
      <c r="F15" s="241">
        <v>0.128</v>
      </c>
      <c r="G15" s="241">
        <v>7.4999999999999997E-2</v>
      </c>
    </row>
    <row r="16" spans="1:11">
      <c r="A16" t="s">
        <v>79</v>
      </c>
      <c r="B16" s="241">
        <v>0.93700000000000006</v>
      </c>
      <c r="C16" s="241">
        <v>0.78400000000000003</v>
      </c>
      <c r="D16" s="241">
        <v>0.67600000000000005</v>
      </c>
      <c r="E16" s="241">
        <v>0.68300000000000005</v>
      </c>
      <c r="F16" s="241">
        <v>0.96</v>
      </c>
      <c r="G16" s="241">
        <v>1.0049999999999999</v>
      </c>
    </row>
    <row r="17" spans="1:7">
      <c r="A17" t="s">
        <v>82</v>
      </c>
      <c r="B17" s="241">
        <v>5.8000000000000003E-2</v>
      </c>
      <c r="C17" s="241">
        <v>6.4000000000000001E-2</v>
      </c>
      <c r="D17" s="241">
        <v>6.8000000000000005E-2</v>
      </c>
      <c r="E17" s="241">
        <v>5.7000000000000002E-2</v>
      </c>
      <c r="F17" s="241">
        <v>6.4000000000000001E-2</v>
      </c>
      <c r="G17" s="241">
        <v>6.7000000000000004E-2</v>
      </c>
    </row>
    <row r="18" spans="1:7">
      <c r="A18" t="s">
        <v>360</v>
      </c>
      <c r="B18" s="241">
        <v>2.3580000000000001</v>
      </c>
      <c r="C18" s="241">
        <v>2.3889999999999998</v>
      </c>
      <c r="D18" s="241">
        <v>2.5169999999999999</v>
      </c>
      <c r="E18" s="241">
        <v>3.3069999999999999</v>
      </c>
      <c r="F18" s="241">
        <v>2.99</v>
      </c>
      <c r="G18" s="241">
        <v>3.1789999999999998</v>
      </c>
    </row>
    <row r="19" spans="1:7">
      <c r="A19" t="s">
        <v>362</v>
      </c>
      <c r="B19" s="241">
        <v>12.831</v>
      </c>
      <c r="C19" s="241">
        <v>15.548999999999999</v>
      </c>
      <c r="D19" s="241">
        <v>14.318</v>
      </c>
      <c r="E19" s="241">
        <v>14.419</v>
      </c>
      <c r="F19" s="241">
        <v>15.645</v>
      </c>
      <c r="G19" s="241">
        <v>16.516999999999999</v>
      </c>
    </row>
    <row r="20" spans="1:7">
      <c r="A20" t="s">
        <v>359</v>
      </c>
      <c r="B20" s="241">
        <v>97.194999999999993</v>
      </c>
      <c r="C20" s="241">
        <v>113.068</v>
      </c>
      <c r="D20" s="241">
        <v>124.36199999999999</v>
      </c>
      <c r="E20" s="241">
        <v>133.33000000000001</v>
      </c>
      <c r="F20" s="241">
        <v>144.28100000000001</v>
      </c>
      <c r="G20" s="241">
        <v>151.27000000000001</v>
      </c>
    </row>
    <row r="21" spans="1:7">
      <c r="A21" t="s">
        <v>361</v>
      </c>
      <c r="B21" s="241">
        <v>1.3620000000000001</v>
      </c>
      <c r="C21" s="241">
        <v>1.6240000000000001</v>
      </c>
      <c r="D21" s="241">
        <v>1.5589999999999999</v>
      </c>
      <c r="E21" s="241">
        <v>1.865</v>
      </c>
      <c r="F21" s="241">
        <v>2.1459999999999999</v>
      </c>
      <c r="G21" s="241">
        <v>1.821</v>
      </c>
    </row>
    <row r="22" spans="1:7">
      <c r="A22" t="s">
        <v>3</v>
      </c>
      <c r="B22" s="241">
        <f t="shared" ref="B22:G22" si="1">SUM(B15:B21)</f>
        <v>114.78299999999999</v>
      </c>
      <c r="C22" s="241">
        <f t="shared" si="1"/>
        <v>133.566</v>
      </c>
      <c r="D22" s="241">
        <f t="shared" si="1"/>
        <v>143.59699999999998</v>
      </c>
      <c r="E22" s="241">
        <f t="shared" si="1"/>
        <v>153.78700000000003</v>
      </c>
      <c r="F22" s="241">
        <f t="shared" si="1"/>
        <v>166.214</v>
      </c>
      <c r="G22" s="241">
        <f t="shared" si="1"/>
        <v>173.934</v>
      </c>
    </row>
    <row r="23" spans="1:7">
      <c r="A23" t="s">
        <v>90</v>
      </c>
      <c r="B23" s="241"/>
      <c r="C23" s="241"/>
      <c r="D23" s="241"/>
      <c r="E23" s="241"/>
      <c r="F23" s="241"/>
      <c r="G23" s="241"/>
    </row>
    <row r="24" spans="1:7">
      <c r="A24" t="s">
        <v>363</v>
      </c>
      <c r="B24" s="241">
        <v>7.3999999999999996E-2</v>
      </c>
      <c r="C24" s="241">
        <v>0.107</v>
      </c>
      <c r="D24" s="241">
        <v>0.109</v>
      </c>
      <c r="E24" s="241">
        <v>0.11</v>
      </c>
      <c r="F24" s="241">
        <v>0.14699999999999999</v>
      </c>
      <c r="G24" s="241">
        <v>9.9000000000000005E-2</v>
      </c>
    </row>
    <row r="25" spans="1:7">
      <c r="A25" t="s">
        <v>79</v>
      </c>
      <c r="B25" s="241">
        <v>0.95399999999999996</v>
      </c>
      <c r="C25" s="241">
        <v>0.94099999999999995</v>
      </c>
      <c r="D25" s="241">
        <v>0.71899999999999997</v>
      </c>
      <c r="E25" s="241">
        <v>0.69</v>
      </c>
      <c r="F25" s="241">
        <v>0.91300000000000003</v>
      </c>
      <c r="G25" s="241">
        <v>1.0549999999999999</v>
      </c>
    </row>
    <row r="26" spans="1:7">
      <c r="A26" t="s">
        <v>82</v>
      </c>
      <c r="B26" s="241">
        <v>4.2999999999999997E-2</v>
      </c>
      <c r="C26" s="241">
        <v>4.2000000000000003E-2</v>
      </c>
      <c r="D26" s="241">
        <v>4.2000000000000003E-2</v>
      </c>
      <c r="E26" s="241">
        <v>4.3999999999999997E-2</v>
      </c>
      <c r="F26" s="241">
        <v>8.4000000000000005E-2</v>
      </c>
      <c r="G26" s="241">
        <v>4.9000000000000002E-2</v>
      </c>
    </row>
    <row r="27" spans="1:7">
      <c r="A27" t="s">
        <v>360</v>
      </c>
      <c r="B27" s="241">
        <v>2.6640000000000001</v>
      </c>
      <c r="C27" s="241">
        <v>2.9009999999999998</v>
      </c>
      <c r="D27" s="241">
        <v>3.3</v>
      </c>
      <c r="E27" s="241">
        <v>3.53</v>
      </c>
      <c r="F27" s="241">
        <v>3.6379999999999999</v>
      </c>
      <c r="G27" s="241">
        <v>4.0490000000000004</v>
      </c>
    </row>
    <row r="28" spans="1:7">
      <c r="A28" t="s">
        <v>362</v>
      </c>
      <c r="B28" s="241">
        <v>12.571999999999999</v>
      </c>
      <c r="C28" s="241">
        <v>15.099</v>
      </c>
      <c r="D28" s="241">
        <v>15.105</v>
      </c>
      <c r="E28" s="241">
        <v>14.347</v>
      </c>
      <c r="F28" s="241">
        <v>15.903</v>
      </c>
      <c r="G28" s="241">
        <v>16.706</v>
      </c>
    </row>
    <row r="29" spans="1:7">
      <c r="A29" t="s">
        <v>359</v>
      </c>
      <c r="B29" s="241">
        <v>100.36199999999999</v>
      </c>
      <c r="C29" s="241">
        <v>112.72199999999999</v>
      </c>
      <c r="D29" s="241">
        <v>126.217</v>
      </c>
      <c r="E29" s="241">
        <v>132.55500000000001</v>
      </c>
      <c r="F29" s="241">
        <v>147.45500000000001</v>
      </c>
      <c r="G29" s="241">
        <v>150.60300000000001</v>
      </c>
    </row>
    <row r="30" spans="1:7">
      <c r="A30" t="s">
        <v>361</v>
      </c>
      <c r="B30" s="241">
        <v>1.454</v>
      </c>
      <c r="C30" s="241">
        <v>1.956</v>
      </c>
      <c r="D30" s="241">
        <v>1.659</v>
      </c>
      <c r="E30" s="241">
        <v>2.0059999999999998</v>
      </c>
      <c r="F30" s="241">
        <v>2.4769999999999999</v>
      </c>
      <c r="G30" s="241">
        <v>2.0950000000000002</v>
      </c>
    </row>
    <row r="31" spans="1:7">
      <c r="A31" t="s">
        <v>3</v>
      </c>
      <c r="B31" s="241">
        <f t="shared" ref="B31:G31" si="2">SUM(B24:B30)</f>
        <v>118.12299999999999</v>
      </c>
      <c r="C31" s="241">
        <f t="shared" si="2"/>
        <v>133.76799999999997</v>
      </c>
      <c r="D31" s="241">
        <f t="shared" si="2"/>
        <v>147.15099999999998</v>
      </c>
      <c r="E31" s="241">
        <f t="shared" si="2"/>
        <v>153.28200000000001</v>
      </c>
      <c r="F31" s="241">
        <f t="shared" si="2"/>
        <v>170.61700000000002</v>
      </c>
      <c r="G31" s="241">
        <f t="shared" si="2"/>
        <v>174.65600000000001</v>
      </c>
    </row>
    <row r="32" spans="1:7">
      <c r="A32" t="s">
        <v>429</v>
      </c>
      <c r="B32" s="241"/>
      <c r="C32" s="241"/>
      <c r="D32" s="241"/>
      <c r="E32" s="241"/>
      <c r="F32" s="241"/>
      <c r="G32" s="241"/>
    </row>
    <row r="33" spans="1:7">
      <c r="A33" t="s">
        <v>363</v>
      </c>
      <c r="B33" s="241">
        <v>5.8440000000000003</v>
      </c>
      <c r="C33" s="241">
        <v>5.4409999999999998</v>
      </c>
      <c r="D33" s="241">
        <v>5.423</v>
      </c>
      <c r="E33" s="241">
        <v>5.351</v>
      </c>
      <c r="F33" s="241">
        <v>5.391</v>
      </c>
      <c r="G33" s="241">
        <v>5.5170000000000003</v>
      </c>
    </row>
    <row r="34" spans="1:7">
      <c r="A34" t="s">
        <v>79</v>
      </c>
      <c r="B34" s="241">
        <v>46.54</v>
      </c>
      <c r="C34" s="241">
        <v>44.954000000000001</v>
      </c>
      <c r="D34" s="241">
        <v>44.451000000000001</v>
      </c>
      <c r="E34" s="241">
        <v>36.555999999999997</v>
      </c>
      <c r="F34" s="241">
        <v>38.744</v>
      </c>
      <c r="G34" s="241">
        <v>44.585000000000001</v>
      </c>
    </row>
    <row r="35" spans="1:7">
      <c r="A35" t="s">
        <v>82</v>
      </c>
      <c r="B35" s="241">
        <v>15.054</v>
      </c>
      <c r="C35" s="241">
        <v>15.961</v>
      </c>
      <c r="D35" s="241">
        <v>16.611999999999998</v>
      </c>
      <c r="E35" s="241">
        <v>16.004000000000001</v>
      </c>
      <c r="F35" s="241">
        <v>17.280999999999999</v>
      </c>
      <c r="G35" s="241">
        <v>18.61</v>
      </c>
    </row>
    <row r="36" spans="1:7">
      <c r="A36" t="s">
        <v>360</v>
      </c>
      <c r="B36" s="241">
        <v>39.545999999999999</v>
      </c>
      <c r="C36" s="241">
        <v>40.841999999999999</v>
      </c>
      <c r="D36" s="241">
        <v>40.094999999999999</v>
      </c>
      <c r="E36" s="241">
        <v>40.890999999999998</v>
      </c>
      <c r="F36" s="241">
        <v>42.747999999999998</v>
      </c>
      <c r="G36" s="241">
        <v>43.265999999999998</v>
      </c>
    </row>
    <row r="37" spans="1:7">
      <c r="A37" t="s">
        <v>362</v>
      </c>
      <c r="B37" s="241">
        <v>65.688000000000002</v>
      </c>
      <c r="C37" s="241">
        <v>69.472999999999999</v>
      </c>
      <c r="D37" s="241">
        <v>70.623999999999995</v>
      </c>
      <c r="E37" s="241">
        <v>70.995000000000005</v>
      </c>
      <c r="F37" s="241">
        <v>72.183000000000007</v>
      </c>
      <c r="G37" s="241">
        <v>72.992000000000004</v>
      </c>
    </row>
    <row r="38" spans="1:7">
      <c r="A38" t="s">
        <v>359</v>
      </c>
      <c r="B38" s="241">
        <v>263.096</v>
      </c>
      <c r="C38" s="241">
        <v>276.58800000000002</v>
      </c>
      <c r="D38" s="241">
        <v>302.68900000000002</v>
      </c>
      <c r="E38" s="241">
        <v>314.14800000000002</v>
      </c>
      <c r="F38" s="241">
        <v>329.774</v>
      </c>
      <c r="G38" s="241">
        <v>343.77800000000002</v>
      </c>
    </row>
    <row r="39" spans="1:7">
      <c r="A39" t="s">
        <v>361</v>
      </c>
      <c r="B39" s="241">
        <v>34.671999999999997</v>
      </c>
      <c r="C39" s="241">
        <v>40.877000000000002</v>
      </c>
      <c r="D39" s="241">
        <v>39.392000000000003</v>
      </c>
      <c r="E39" s="241">
        <v>40.655000000000001</v>
      </c>
      <c r="F39" s="241">
        <v>47.1</v>
      </c>
      <c r="G39" s="241">
        <v>46.368000000000002</v>
      </c>
    </row>
    <row r="40" spans="1:7">
      <c r="A40" t="s">
        <v>3</v>
      </c>
      <c r="B40" s="241">
        <f t="shared" ref="B40:G40" si="3">SUM(B33:B39)</f>
        <v>470.44000000000005</v>
      </c>
      <c r="C40" s="241">
        <f t="shared" si="3"/>
        <v>494.13600000000002</v>
      </c>
      <c r="D40" s="241">
        <f t="shared" si="3"/>
        <v>519.28600000000006</v>
      </c>
      <c r="E40" s="241">
        <f t="shared" si="3"/>
        <v>524.6</v>
      </c>
      <c r="F40" s="241">
        <f t="shared" si="3"/>
        <v>553.221</v>
      </c>
      <c r="G40" s="241">
        <f t="shared" si="3"/>
        <v>575.1160000000001</v>
      </c>
    </row>
    <row r="41" spans="1:7">
      <c r="A41" t="s">
        <v>198</v>
      </c>
      <c r="B41" s="241"/>
      <c r="C41" s="241"/>
      <c r="D41" s="241"/>
      <c r="E41" s="241"/>
      <c r="F41" s="241"/>
      <c r="G41" s="241"/>
    </row>
    <row r="42" spans="1:7">
      <c r="A42" t="s">
        <v>363</v>
      </c>
      <c r="B42" s="241">
        <v>0.159</v>
      </c>
      <c r="C42" s="241">
        <v>0.115</v>
      </c>
      <c r="D42" s="241">
        <v>0.10199999999999999</v>
      </c>
      <c r="E42" s="241">
        <v>8.4000000000000005E-2</v>
      </c>
      <c r="F42" s="241">
        <v>8.7999999999999995E-2</v>
      </c>
      <c r="G42" s="241">
        <v>0.09</v>
      </c>
    </row>
    <row r="43" spans="1:7">
      <c r="A43" t="s">
        <v>79</v>
      </c>
      <c r="B43" s="241">
        <v>1.849</v>
      </c>
      <c r="C43" s="241">
        <v>1.7789999999999999</v>
      </c>
      <c r="D43" s="241">
        <v>1.68</v>
      </c>
      <c r="E43" s="241">
        <v>0.92200000000000004</v>
      </c>
      <c r="F43" s="241">
        <v>1.3540000000000001</v>
      </c>
      <c r="G43" s="241">
        <v>1.708</v>
      </c>
    </row>
    <row r="44" spans="1:7">
      <c r="A44" t="s">
        <v>82</v>
      </c>
      <c r="B44" s="241">
        <v>0.29399999999999998</v>
      </c>
      <c r="C44" s="241">
        <v>0.28999999999999998</v>
      </c>
      <c r="D44" s="241">
        <v>0.26300000000000001</v>
      </c>
      <c r="E44" s="241">
        <v>0.23499999999999999</v>
      </c>
      <c r="F44" s="241">
        <v>0.23799999999999999</v>
      </c>
      <c r="G44" s="241">
        <v>0.23799999999999999</v>
      </c>
    </row>
    <row r="45" spans="1:7">
      <c r="A45" t="s">
        <v>360</v>
      </c>
      <c r="B45" s="241">
        <v>3.1920000000000002</v>
      </c>
      <c r="C45" s="241">
        <v>3.706</v>
      </c>
      <c r="D45" s="241">
        <v>3.28</v>
      </c>
      <c r="E45" s="241">
        <v>2.5880000000000001</v>
      </c>
      <c r="F45" s="241">
        <v>2.246</v>
      </c>
      <c r="G45" s="241">
        <v>2.5630000000000002</v>
      </c>
    </row>
    <row r="46" spans="1:7">
      <c r="A46" t="s">
        <v>362</v>
      </c>
      <c r="B46" s="241">
        <v>4.843</v>
      </c>
      <c r="C46" s="241">
        <v>7.4950000000000001</v>
      </c>
      <c r="D46" s="241">
        <v>7.5380000000000003</v>
      </c>
      <c r="E46" s="241">
        <v>6.5759999999999996</v>
      </c>
      <c r="F46" s="241">
        <v>5.4180000000000001</v>
      </c>
      <c r="G46" s="241">
        <v>6.1859999999999999</v>
      </c>
    </row>
    <row r="47" spans="1:7">
      <c r="A47" t="s">
        <v>359</v>
      </c>
      <c r="B47" s="241">
        <v>55.91</v>
      </c>
      <c r="C47" s="241">
        <v>62.417000000000002</v>
      </c>
      <c r="D47" s="241">
        <v>77.89</v>
      </c>
      <c r="E47" s="241">
        <v>78.284000000000006</v>
      </c>
      <c r="F47" s="241">
        <v>96.650999999999996</v>
      </c>
      <c r="G47" s="241">
        <v>94.397000000000006</v>
      </c>
    </row>
    <row r="48" spans="1:7">
      <c r="A48" t="s">
        <v>361</v>
      </c>
      <c r="B48" s="241">
        <v>2.6960000000000002</v>
      </c>
      <c r="C48" s="241">
        <v>3.024</v>
      </c>
      <c r="D48" s="241">
        <v>2.78</v>
      </c>
      <c r="E48" s="241">
        <v>2.2799999999999998</v>
      </c>
      <c r="F48" s="241">
        <v>2.6480000000000001</v>
      </c>
      <c r="G48" s="241">
        <v>2.1179999999999999</v>
      </c>
    </row>
    <row r="49" spans="1:8">
      <c r="A49" s="1" t="s">
        <v>3</v>
      </c>
      <c r="B49" s="229">
        <f t="shared" ref="B49:G49" si="4">SUM(B42:B48)</f>
        <v>68.942999999999998</v>
      </c>
      <c r="C49" s="229">
        <f t="shared" si="4"/>
        <v>78.826000000000008</v>
      </c>
      <c r="D49" s="229">
        <f t="shared" si="4"/>
        <v>93.533000000000001</v>
      </c>
      <c r="E49" s="229">
        <f t="shared" si="4"/>
        <v>90.969000000000008</v>
      </c>
      <c r="F49" s="229">
        <f t="shared" si="4"/>
        <v>108.643</v>
      </c>
      <c r="G49" s="229">
        <f t="shared" si="4"/>
        <v>107.3</v>
      </c>
    </row>
    <row r="50" spans="1:8" ht="13.25" customHeight="1">
      <c r="A50" s="117" t="s">
        <v>430</v>
      </c>
    </row>
    <row r="51" spans="1:8" ht="13.25" customHeight="1">
      <c r="A51" s="117" t="s">
        <v>623</v>
      </c>
    </row>
    <row r="52" spans="1:8" ht="10.25" customHeight="1">
      <c r="A52" s="117" t="s">
        <v>624</v>
      </c>
      <c r="F52" s="313"/>
      <c r="G52" s="313" t="s">
        <v>679</v>
      </c>
      <c r="H52" s="160"/>
    </row>
    <row r="53" spans="1:8" ht="10.25" customHeight="1">
      <c r="F53" s="176"/>
      <c r="G53" s="176"/>
      <c r="H53" s="176"/>
    </row>
  </sheetData>
  <phoneticPr fontId="0" type="noConversion"/>
  <pageMargins left="0.7" right="0.7" top="0.75" bottom="0.75" header="0.3" footer="0.3"/>
  <pageSetup firstPageNumber="7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I62"/>
  <sheetViews>
    <sheetView zoomScaleNormal="100" zoomScaleSheetLayoutView="100" workbookViewId="0"/>
  </sheetViews>
  <sheetFormatPr baseColWidth="10" defaultColWidth="8.75" defaultRowHeight="11"/>
  <cols>
    <col min="1" max="1" width="15.75" customWidth="1"/>
    <col min="2" max="7" width="12.75" customWidth="1"/>
    <col min="8" max="9" width="9.25" style="35" customWidth="1"/>
  </cols>
  <sheetData>
    <row r="1" spans="1:7">
      <c r="A1" s="126" t="s">
        <v>684</v>
      </c>
      <c r="B1" s="1"/>
      <c r="C1" s="1"/>
    </row>
    <row r="2" spans="1:7">
      <c r="A2" s="41"/>
      <c r="B2" s="24"/>
      <c r="C2" s="24"/>
      <c r="D2" s="3"/>
      <c r="E2" s="3"/>
      <c r="F2" s="3"/>
      <c r="G2" s="3"/>
    </row>
    <row r="3" spans="1:7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575</v>
      </c>
      <c r="F3" s="210" t="s">
        <v>586</v>
      </c>
      <c r="G3" s="210" t="s">
        <v>664</v>
      </c>
    </row>
    <row r="4" spans="1:7">
      <c r="C4" s="320"/>
      <c r="D4" s="320" t="s">
        <v>242</v>
      </c>
      <c r="E4" s="320"/>
      <c r="F4" s="320"/>
      <c r="G4" s="172"/>
    </row>
    <row r="5" spans="1:7">
      <c r="A5" t="s">
        <v>66</v>
      </c>
    </row>
    <row r="6" spans="1:7">
      <c r="A6" t="s">
        <v>77</v>
      </c>
      <c r="B6" s="241">
        <v>3.62</v>
      </c>
      <c r="C6" s="241">
        <v>3.3820000000000001</v>
      </c>
      <c r="D6" s="241">
        <v>3.3719999999999999</v>
      </c>
      <c r="E6" s="241">
        <v>3.3220000000000001</v>
      </c>
      <c r="F6" s="241">
        <v>3.3519999999999999</v>
      </c>
      <c r="G6" s="241">
        <v>3.4369999999999998</v>
      </c>
    </row>
    <row r="7" spans="1:7">
      <c r="A7" t="s">
        <v>79</v>
      </c>
      <c r="B7" s="241">
        <v>5.2110000000000003</v>
      </c>
      <c r="C7" s="241">
        <v>5.16</v>
      </c>
      <c r="D7" s="241">
        <v>5.1180000000000003</v>
      </c>
      <c r="E7" s="241">
        <v>4.2910000000000004</v>
      </c>
      <c r="F7" s="241">
        <v>4.4210000000000003</v>
      </c>
      <c r="G7" s="241">
        <v>5.0549999999999997</v>
      </c>
    </row>
    <row r="8" spans="1:7">
      <c r="A8" t="s">
        <v>389</v>
      </c>
      <c r="B8" s="241">
        <v>2.5049999999999999</v>
      </c>
      <c r="C8" s="241">
        <v>3.1960000000000002</v>
      </c>
      <c r="D8" s="241">
        <v>2.4020000000000001</v>
      </c>
      <c r="E8" s="241">
        <v>3.1179999999999999</v>
      </c>
      <c r="F8" s="241">
        <v>2.4990000000000001</v>
      </c>
      <c r="G8" s="241">
        <v>2.7130000000000001</v>
      </c>
    </row>
    <row r="9" spans="1:7">
      <c r="A9" t="s">
        <v>81</v>
      </c>
      <c r="B9" s="241">
        <v>56.43</v>
      </c>
      <c r="C9" s="241">
        <v>59.362000000000002</v>
      </c>
      <c r="D9" s="241">
        <v>61.872</v>
      </c>
      <c r="E9" s="241">
        <v>58.902000000000001</v>
      </c>
      <c r="F9" s="241">
        <v>64.873999999999995</v>
      </c>
      <c r="G9" s="241">
        <v>69.774000000000001</v>
      </c>
    </row>
    <row r="10" spans="1:7">
      <c r="A10" t="s">
        <v>390</v>
      </c>
      <c r="B10" s="241">
        <v>6.6639999999999997</v>
      </c>
      <c r="C10" s="241">
        <v>7.0709999999999997</v>
      </c>
      <c r="D10" s="241">
        <v>7.3140000000000001</v>
      </c>
      <c r="E10" s="241">
        <v>7.0069999999999997</v>
      </c>
      <c r="F10" s="241">
        <v>7.5940000000000003</v>
      </c>
      <c r="G10" s="241">
        <v>8.1189999999999998</v>
      </c>
    </row>
    <row r="11" spans="1:7">
      <c r="A11" t="s">
        <v>89</v>
      </c>
      <c r="B11" s="241">
        <v>5.3979999999999997</v>
      </c>
      <c r="C11" s="241">
        <v>5.7240000000000002</v>
      </c>
      <c r="D11" s="241">
        <v>5.4269999999999996</v>
      </c>
      <c r="E11" s="241">
        <v>5.4420000000000002</v>
      </c>
      <c r="F11" s="241">
        <v>5.8959999999999999</v>
      </c>
      <c r="G11" s="241">
        <v>5.9669999999999996</v>
      </c>
    </row>
    <row r="12" spans="1:7">
      <c r="A12" t="s">
        <v>362</v>
      </c>
      <c r="B12" s="241">
        <v>25.69</v>
      </c>
      <c r="C12" s="241">
        <v>27.276</v>
      </c>
      <c r="D12" s="241">
        <v>27.617000000000001</v>
      </c>
      <c r="E12" s="241">
        <v>27.863</v>
      </c>
      <c r="F12" s="241">
        <v>28.324999999999999</v>
      </c>
      <c r="G12" s="241">
        <v>28.762</v>
      </c>
    </row>
    <row r="13" spans="1:7">
      <c r="A13" t="s">
        <v>84</v>
      </c>
      <c r="B13" s="241">
        <v>43.329000000000001</v>
      </c>
      <c r="C13" s="241">
        <v>45.241</v>
      </c>
      <c r="D13" s="241">
        <v>49.323999999999998</v>
      </c>
      <c r="E13" s="241">
        <v>51.601999999999997</v>
      </c>
      <c r="F13" s="241">
        <v>53.923999999999999</v>
      </c>
      <c r="G13" s="241">
        <v>56.16</v>
      </c>
    </row>
    <row r="14" spans="1:7">
      <c r="A14" t="s">
        <v>361</v>
      </c>
      <c r="B14" s="241">
        <v>12.869</v>
      </c>
      <c r="C14" s="241">
        <v>15.45</v>
      </c>
      <c r="D14" s="241">
        <v>14.917</v>
      </c>
      <c r="E14" s="241">
        <v>15.377000000000001</v>
      </c>
      <c r="F14" s="241">
        <v>18.222000000000001</v>
      </c>
      <c r="G14" s="241">
        <v>17.792000000000002</v>
      </c>
    </row>
    <row r="15" spans="1:7">
      <c r="A15" t="s">
        <v>3</v>
      </c>
      <c r="B15" s="241">
        <f t="shared" ref="B15:G15" si="0">SUM(B6:B14)</f>
        <v>161.71599999999998</v>
      </c>
      <c r="C15" s="241">
        <f t="shared" si="0"/>
        <v>171.86199999999997</v>
      </c>
      <c r="D15" s="241">
        <f t="shared" si="0"/>
        <v>177.363</v>
      </c>
      <c r="E15" s="241">
        <f t="shared" si="0"/>
        <v>176.92400000000001</v>
      </c>
      <c r="F15" s="241">
        <f t="shared" si="0"/>
        <v>189.107</v>
      </c>
      <c r="G15" s="241">
        <f t="shared" si="0"/>
        <v>197.779</v>
      </c>
    </row>
    <row r="16" spans="1:7">
      <c r="A16" t="s">
        <v>88</v>
      </c>
      <c r="B16" s="241"/>
      <c r="C16" s="241"/>
      <c r="D16" s="241"/>
      <c r="E16" s="241"/>
      <c r="F16" s="241"/>
      <c r="G16" s="241"/>
    </row>
    <row r="17" spans="1:7">
      <c r="A17" t="s">
        <v>77</v>
      </c>
      <c r="B17" s="241">
        <v>1.8939999999999999</v>
      </c>
      <c r="C17" s="241">
        <v>1.736</v>
      </c>
      <c r="D17" s="241">
        <v>1.823</v>
      </c>
      <c r="E17" s="241">
        <v>1.583</v>
      </c>
      <c r="F17" s="241">
        <v>1.508</v>
      </c>
      <c r="G17" s="241">
        <v>1.4490000000000001</v>
      </c>
    </row>
    <row r="18" spans="1:7">
      <c r="A18" t="s">
        <v>79</v>
      </c>
      <c r="B18" s="241">
        <v>8.1000000000000003E-2</v>
      </c>
      <c r="C18" s="241">
        <v>8.2000000000000003E-2</v>
      </c>
      <c r="D18" s="241">
        <v>7.3999999999999996E-2</v>
      </c>
      <c r="E18" s="241">
        <v>5.2999999999999999E-2</v>
      </c>
      <c r="F18" s="241">
        <v>5.1999999999999998E-2</v>
      </c>
      <c r="G18" s="241">
        <v>4.5999999999999999E-2</v>
      </c>
    </row>
    <row r="19" spans="1:7">
      <c r="A19" t="s">
        <v>389</v>
      </c>
      <c r="B19" s="241">
        <v>0.82599999999999996</v>
      </c>
      <c r="C19" s="241">
        <v>0.73799999999999999</v>
      </c>
      <c r="D19" s="241">
        <v>0.90100000000000002</v>
      </c>
      <c r="E19" s="241">
        <v>0.78900000000000003</v>
      </c>
      <c r="F19" s="241">
        <v>0.79400000000000004</v>
      </c>
      <c r="G19" s="241">
        <v>0.83</v>
      </c>
    </row>
    <row r="20" spans="1:7">
      <c r="A20" t="s">
        <v>81</v>
      </c>
      <c r="B20" s="241">
        <v>42.104999999999997</v>
      </c>
      <c r="C20" s="241">
        <v>41.942</v>
      </c>
      <c r="D20" s="241">
        <v>44.84</v>
      </c>
      <c r="E20" s="241">
        <v>42.55</v>
      </c>
      <c r="F20" s="241">
        <v>45.91</v>
      </c>
      <c r="G20" s="241">
        <v>47.177</v>
      </c>
    </row>
    <row r="21" spans="1:7">
      <c r="A21" t="s">
        <v>82</v>
      </c>
      <c r="B21" s="241">
        <v>2.8610000000000002</v>
      </c>
      <c r="C21" s="241">
        <v>2.5019999999999998</v>
      </c>
      <c r="D21" s="241">
        <v>3.0550000000000002</v>
      </c>
      <c r="E21" s="241">
        <v>2.633</v>
      </c>
      <c r="F21" s="241">
        <v>2.68</v>
      </c>
      <c r="G21" s="241">
        <v>2.7309999999999999</v>
      </c>
    </row>
    <row r="22" spans="1:7">
      <c r="A22" t="s">
        <v>89</v>
      </c>
      <c r="B22" s="241">
        <v>0.161</v>
      </c>
      <c r="C22" s="241">
        <v>0.19</v>
      </c>
      <c r="D22" s="241">
        <v>0.248</v>
      </c>
      <c r="E22" s="241">
        <v>0.24</v>
      </c>
      <c r="F22" s="241">
        <v>0.223</v>
      </c>
      <c r="G22" s="241">
        <v>0.24299999999999999</v>
      </c>
    </row>
    <row r="23" spans="1:7">
      <c r="A23" t="s">
        <v>362</v>
      </c>
      <c r="B23" s="241">
        <v>3.9329999999999998</v>
      </c>
      <c r="C23" s="241">
        <v>3.8170000000000002</v>
      </c>
      <c r="D23" s="241">
        <v>3.9489999999999998</v>
      </c>
      <c r="E23" s="241">
        <v>4.1340000000000003</v>
      </c>
      <c r="F23" s="241">
        <v>4.4059999999999997</v>
      </c>
      <c r="G23" s="241">
        <v>4.5209999999999999</v>
      </c>
    </row>
    <row r="24" spans="1:7">
      <c r="A24" t="s">
        <v>84</v>
      </c>
      <c r="B24" s="241">
        <v>8.5</v>
      </c>
      <c r="C24" s="241">
        <v>9.2560000000000002</v>
      </c>
      <c r="D24" s="241">
        <v>10.039</v>
      </c>
      <c r="E24" s="241">
        <v>11.64</v>
      </c>
      <c r="F24" s="241">
        <v>10.891999999999999</v>
      </c>
      <c r="G24" s="241">
        <v>10.753</v>
      </c>
    </row>
    <row r="25" spans="1:7">
      <c r="A25" t="s">
        <v>361</v>
      </c>
      <c r="B25" s="241">
        <v>5.1630000000000003</v>
      </c>
      <c r="C25" s="241">
        <v>6.9690000000000003</v>
      </c>
      <c r="D25" s="241">
        <v>6.1790000000000003</v>
      </c>
      <c r="E25" s="241">
        <v>6.9980000000000002</v>
      </c>
      <c r="F25" s="241">
        <v>8.9890000000000008</v>
      </c>
      <c r="G25" s="241">
        <v>8.3879999999999999</v>
      </c>
    </row>
    <row r="26" spans="1:7">
      <c r="A26" t="s">
        <v>3</v>
      </c>
      <c r="B26" s="241">
        <f t="shared" ref="B26:G26" si="1">SUM(B17:B25)</f>
        <v>65.524000000000001</v>
      </c>
      <c r="C26" s="241">
        <f t="shared" si="1"/>
        <v>67.231999999999999</v>
      </c>
      <c r="D26" s="241">
        <f t="shared" si="1"/>
        <v>71.108000000000004</v>
      </c>
      <c r="E26" s="241">
        <f t="shared" si="1"/>
        <v>70.62</v>
      </c>
      <c r="F26" s="241">
        <f t="shared" si="1"/>
        <v>75.453999999999994</v>
      </c>
      <c r="G26" s="241">
        <f t="shared" si="1"/>
        <v>76.138000000000005</v>
      </c>
    </row>
    <row r="27" spans="1:7">
      <c r="A27" t="s">
        <v>90</v>
      </c>
      <c r="B27" s="241"/>
      <c r="C27" s="241"/>
      <c r="D27" s="241"/>
      <c r="E27" s="241"/>
      <c r="F27" s="241"/>
      <c r="G27" s="241"/>
    </row>
    <row r="28" spans="1:7">
      <c r="A28" t="s">
        <v>77</v>
      </c>
      <c r="B28" s="241">
        <v>1.921</v>
      </c>
      <c r="C28" s="241">
        <v>1.911</v>
      </c>
      <c r="D28" s="241">
        <v>1.94</v>
      </c>
      <c r="E28" s="241">
        <v>1.5549999999999999</v>
      </c>
      <c r="F28" s="241">
        <v>1.6739999999999999</v>
      </c>
      <c r="G28" s="241">
        <v>1.7030000000000001</v>
      </c>
    </row>
    <row r="29" spans="1:7">
      <c r="A29" t="s">
        <v>79</v>
      </c>
      <c r="B29" s="241">
        <v>0.155</v>
      </c>
      <c r="C29" s="241">
        <v>0.14000000000000001</v>
      </c>
      <c r="D29" s="241">
        <v>0.14000000000000001</v>
      </c>
      <c r="E29" s="241">
        <v>6.3E-2</v>
      </c>
      <c r="F29" s="241">
        <v>7.1999999999999995E-2</v>
      </c>
      <c r="G29" s="241">
        <v>9.2999999999999999E-2</v>
      </c>
    </row>
    <row r="30" spans="1:7">
      <c r="A30" t="s">
        <v>389</v>
      </c>
      <c r="B30" s="241">
        <v>0.90600000000000003</v>
      </c>
      <c r="C30" s="241">
        <v>0.86</v>
      </c>
      <c r="D30" s="241">
        <v>0.999</v>
      </c>
      <c r="E30" s="241">
        <v>0.89</v>
      </c>
      <c r="F30" s="241">
        <v>0.89300000000000002</v>
      </c>
      <c r="G30" s="241">
        <v>0.95799999999999996</v>
      </c>
    </row>
    <row r="31" spans="1:7">
      <c r="A31" t="s">
        <v>81</v>
      </c>
      <c r="B31" s="241">
        <v>43.05</v>
      </c>
      <c r="C31" s="241">
        <v>43.194000000000003</v>
      </c>
      <c r="D31" s="241">
        <v>47.37</v>
      </c>
      <c r="E31" s="241">
        <v>43.734000000000002</v>
      </c>
      <c r="F31" s="241">
        <v>48.801000000000002</v>
      </c>
      <c r="G31" s="241">
        <v>50.121000000000002</v>
      </c>
    </row>
    <row r="32" spans="1:7">
      <c r="A32" t="s">
        <v>82</v>
      </c>
      <c r="B32" s="241">
        <v>3.2570000000000001</v>
      </c>
      <c r="C32" s="241">
        <v>2.8809999999999998</v>
      </c>
      <c r="D32" s="241">
        <v>3.2290000000000001</v>
      </c>
      <c r="E32" s="241">
        <v>3.0150000000000001</v>
      </c>
      <c r="F32" s="241">
        <v>3.0379999999999998</v>
      </c>
      <c r="G32" s="241">
        <v>3.1760000000000002</v>
      </c>
    </row>
    <row r="33" spans="1:7">
      <c r="A33" t="s">
        <v>89</v>
      </c>
      <c r="B33" s="241">
        <v>0.18099999999999999</v>
      </c>
      <c r="C33" s="241">
        <v>0.222</v>
      </c>
      <c r="D33" s="241">
        <v>0.26</v>
      </c>
      <c r="E33" s="241">
        <v>0.25900000000000001</v>
      </c>
      <c r="F33" s="241">
        <v>0.22800000000000001</v>
      </c>
      <c r="G33" s="241">
        <v>0.25600000000000001</v>
      </c>
    </row>
    <row r="34" spans="1:7">
      <c r="A34" t="s">
        <v>362</v>
      </c>
      <c r="B34" s="241">
        <v>3.952</v>
      </c>
      <c r="C34" s="241">
        <v>3.8279999999999998</v>
      </c>
      <c r="D34" s="241">
        <v>4.0650000000000004</v>
      </c>
      <c r="E34" s="241">
        <v>4.1689999999999996</v>
      </c>
      <c r="F34" s="241">
        <v>4.524</v>
      </c>
      <c r="G34" s="241">
        <v>4.6059999999999999</v>
      </c>
    </row>
    <row r="35" spans="1:7">
      <c r="A35" t="s">
        <v>84</v>
      </c>
      <c r="B35" s="241">
        <v>9.3290000000000006</v>
      </c>
      <c r="C35" s="241">
        <v>9.4220000000000006</v>
      </c>
      <c r="D35" s="241">
        <v>11.115</v>
      </c>
      <c r="E35" s="241">
        <v>11.769</v>
      </c>
      <c r="F35" s="241">
        <v>11.284000000000001</v>
      </c>
      <c r="G35" s="241">
        <v>10.885</v>
      </c>
    </row>
    <row r="36" spans="1:7">
      <c r="A36" t="s">
        <v>361</v>
      </c>
      <c r="B36" s="241">
        <v>5.5659999999999998</v>
      </c>
      <c r="C36" s="241">
        <v>7.7839999999999998</v>
      </c>
      <c r="D36" s="241">
        <v>7.383</v>
      </c>
      <c r="E36" s="241">
        <v>8.109</v>
      </c>
      <c r="F36" s="241">
        <v>10.411</v>
      </c>
      <c r="G36" s="241">
        <v>9.23</v>
      </c>
    </row>
    <row r="37" spans="1:7">
      <c r="A37" t="s">
        <v>3</v>
      </c>
      <c r="B37" s="241">
        <f t="shared" ref="B37:G37" si="2">SUM(B28:B36)</f>
        <v>68.316999999999993</v>
      </c>
      <c r="C37" s="241">
        <f t="shared" si="2"/>
        <v>70.242000000000019</v>
      </c>
      <c r="D37" s="241">
        <f t="shared" si="2"/>
        <v>76.500999999999991</v>
      </c>
      <c r="E37" s="241">
        <f t="shared" si="2"/>
        <v>73.563000000000002</v>
      </c>
      <c r="F37" s="241">
        <f t="shared" si="2"/>
        <v>80.925000000000011</v>
      </c>
      <c r="G37" s="241">
        <f t="shared" si="2"/>
        <v>81.028000000000006</v>
      </c>
    </row>
    <row r="38" spans="1:7">
      <c r="A38" t="s">
        <v>429</v>
      </c>
      <c r="B38" s="241"/>
      <c r="C38" s="241"/>
      <c r="D38" s="241"/>
      <c r="E38" s="241"/>
      <c r="F38" s="241"/>
      <c r="G38" s="241"/>
    </row>
    <row r="39" spans="1:7">
      <c r="A39" t="s">
        <v>77</v>
      </c>
      <c r="B39" s="241">
        <v>3.746</v>
      </c>
      <c r="C39" s="241">
        <v>3.3380000000000001</v>
      </c>
      <c r="D39" s="241">
        <v>3.294</v>
      </c>
      <c r="E39" s="241">
        <v>3.262</v>
      </c>
      <c r="F39" s="241">
        <v>3.2570000000000001</v>
      </c>
      <c r="G39" s="241">
        <v>3.1629999999999998</v>
      </c>
    </row>
    <row r="40" spans="1:7">
      <c r="A40" t="s">
        <v>79</v>
      </c>
      <c r="B40" s="241">
        <v>5.2050000000000001</v>
      </c>
      <c r="C40" s="241">
        <v>5.085</v>
      </c>
      <c r="D40" s="241">
        <v>5.0549999999999997</v>
      </c>
      <c r="E40" s="241">
        <v>4.4000000000000004</v>
      </c>
      <c r="F40" s="241">
        <v>4.3979999999999997</v>
      </c>
      <c r="G40" s="241">
        <v>4.9649999999999999</v>
      </c>
    </row>
    <row r="41" spans="1:7">
      <c r="A41" t="s">
        <v>389</v>
      </c>
      <c r="B41" s="241">
        <v>2.8290000000000002</v>
      </c>
      <c r="C41" s="241">
        <v>2.956</v>
      </c>
      <c r="D41" s="241">
        <v>2.6520000000000001</v>
      </c>
      <c r="E41" s="241">
        <v>2.8220000000000001</v>
      </c>
      <c r="F41" s="241">
        <v>2.6059999999999999</v>
      </c>
      <c r="G41" s="241">
        <v>2.5859999999999999</v>
      </c>
    </row>
    <row r="42" spans="1:7">
      <c r="A42" t="s">
        <v>81</v>
      </c>
      <c r="B42" s="241">
        <v>55.755000000000003</v>
      </c>
      <c r="C42" s="241">
        <v>57.771000000000001</v>
      </c>
      <c r="D42" s="241">
        <v>58.716999999999999</v>
      </c>
      <c r="E42" s="241">
        <v>59.226999999999997</v>
      </c>
      <c r="F42" s="241">
        <v>61.677</v>
      </c>
      <c r="G42" s="241">
        <v>64.634</v>
      </c>
    </row>
    <row r="43" spans="1:7">
      <c r="A43" t="s">
        <v>82</v>
      </c>
      <c r="B43" s="241">
        <v>6.36</v>
      </c>
      <c r="C43" s="241">
        <v>6.5830000000000002</v>
      </c>
      <c r="D43" s="241">
        <v>7.2169999999999996</v>
      </c>
      <c r="E43" s="241">
        <v>6.8109999999999999</v>
      </c>
      <c r="F43" s="241">
        <v>7.1230000000000002</v>
      </c>
      <c r="G43" s="241">
        <v>7.4669999999999996</v>
      </c>
    </row>
    <row r="44" spans="1:7">
      <c r="A44" t="s">
        <v>89</v>
      </c>
      <c r="B44" s="241">
        <v>5.44</v>
      </c>
      <c r="C44" s="241">
        <v>5.6749999999999998</v>
      </c>
      <c r="D44" s="241">
        <v>5.5039999999999996</v>
      </c>
      <c r="E44" s="241">
        <v>5.44</v>
      </c>
      <c r="F44" s="241">
        <v>5.8040000000000003</v>
      </c>
      <c r="G44" s="241">
        <v>6.0190000000000001</v>
      </c>
    </row>
    <row r="45" spans="1:7">
      <c r="A45" t="s">
        <v>362</v>
      </c>
      <c r="B45" s="241">
        <v>24.282</v>
      </c>
      <c r="C45" s="241">
        <v>26.164000000000001</v>
      </c>
      <c r="D45" s="241">
        <v>27.329000000000001</v>
      </c>
      <c r="E45" s="241">
        <v>28.367999999999999</v>
      </c>
      <c r="F45" s="241">
        <v>29.161000000000001</v>
      </c>
      <c r="G45" s="241">
        <v>29.265000000000001</v>
      </c>
    </row>
    <row r="46" spans="1:7">
      <c r="A46" t="s">
        <v>84</v>
      </c>
      <c r="B46" s="241">
        <v>42.597999999999999</v>
      </c>
      <c r="C46" s="241">
        <v>45.264000000000003</v>
      </c>
      <c r="D46" s="241">
        <v>47.835999999999999</v>
      </c>
      <c r="E46" s="241">
        <v>52.173999999999999</v>
      </c>
      <c r="F46" s="241">
        <v>53.744</v>
      </c>
      <c r="G46" s="241">
        <v>56.277999999999999</v>
      </c>
    </row>
    <row r="47" spans="1:7">
      <c r="A47" t="s">
        <v>361</v>
      </c>
      <c r="B47" s="241">
        <v>13.122999999999999</v>
      </c>
      <c r="C47" s="241">
        <v>14.147</v>
      </c>
      <c r="D47" s="241">
        <v>14.113</v>
      </c>
      <c r="E47" s="241">
        <v>15.167999999999999</v>
      </c>
      <c r="F47" s="241">
        <v>16.66</v>
      </c>
      <c r="G47" s="241">
        <v>17.251000000000001</v>
      </c>
    </row>
    <row r="48" spans="1:7" ht="10.25" customHeight="1">
      <c r="A48" t="s">
        <v>3</v>
      </c>
      <c r="B48" s="241">
        <f t="shared" ref="B48:G48" si="3">SUM(B39:B47)</f>
        <v>159.33799999999997</v>
      </c>
      <c r="C48" s="241">
        <f t="shared" si="3"/>
        <v>166.983</v>
      </c>
      <c r="D48" s="241">
        <f t="shared" si="3"/>
        <v>171.71699999999998</v>
      </c>
      <c r="E48" s="241">
        <f t="shared" si="3"/>
        <v>177.672</v>
      </c>
      <c r="F48" s="241">
        <f t="shared" si="3"/>
        <v>184.43</v>
      </c>
      <c r="G48" s="241">
        <f t="shared" si="3"/>
        <v>191.62800000000001</v>
      </c>
    </row>
    <row r="49" spans="1:7">
      <c r="A49" t="s">
        <v>198</v>
      </c>
      <c r="B49" s="241"/>
      <c r="C49" s="241"/>
      <c r="D49" s="241"/>
      <c r="E49" s="241"/>
      <c r="F49" s="241"/>
      <c r="G49" s="241"/>
    </row>
    <row r="50" spans="1:7">
      <c r="A50" t="s">
        <v>77</v>
      </c>
      <c r="B50" s="241">
        <v>0.46100000000000002</v>
      </c>
      <c r="C50" s="241">
        <v>0.33</v>
      </c>
      <c r="D50" s="241">
        <v>0.29099999999999998</v>
      </c>
      <c r="E50" s="241">
        <v>0.379</v>
      </c>
      <c r="F50" s="241">
        <v>0.308</v>
      </c>
      <c r="G50" s="241">
        <v>0.32800000000000001</v>
      </c>
    </row>
    <row r="51" spans="1:7">
      <c r="A51" t="s">
        <v>79</v>
      </c>
      <c r="B51" s="241">
        <v>0.20899999999999999</v>
      </c>
      <c r="C51" s="241">
        <v>0.22600000000000001</v>
      </c>
      <c r="D51" s="241">
        <v>0.223</v>
      </c>
      <c r="E51" s="241">
        <v>0.104</v>
      </c>
      <c r="F51" s="241">
        <v>0.107</v>
      </c>
      <c r="G51" s="241">
        <v>0.15</v>
      </c>
    </row>
    <row r="52" spans="1:7">
      <c r="A52" t="s">
        <v>389</v>
      </c>
      <c r="B52" s="241">
        <v>0.52300000000000002</v>
      </c>
      <c r="C52" s="241">
        <v>0.64100000000000001</v>
      </c>
      <c r="D52" s="241">
        <v>0.29299999999999998</v>
      </c>
      <c r="E52" s="241">
        <v>0.48799999999999999</v>
      </c>
      <c r="F52" s="241">
        <v>0.28199999999999997</v>
      </c>
      <c r="G52" s="241">
        <v>0.28100000000000003</v>
      </c>
    </row>
    <row r="53" spans="1:7">
      <c r="A53" t="s">
        <v>81</v>
      </c>
      <c r="B53" s="241">
        <v>9.2360000000000007</v>
      </c>
      <c r="C53" s="241">
        <v>9.5749999999999993</v>
      </c>
      <c r="D53" s="241">
        <v>10.199999999999999</v>
      </c>
      <c r="E53" s="241">
        <v>8.6910000000000007</v>
      </c>
      <c r="F53" s="241">
        <v>8.9969999999999999</v>
      </c>
      <c r="G53" s="241">
        <v>11.193</v>
      </c>
    </row>
    <row r="54" spans="1:7">
      <c r="A54" t="s">
        <v>82</v>
      </c>
      <c r="B54" s="241">
        <v>0.82</v>
      </c>
      <c r="C54" s="241">
        <v>0.92900000000000005</v>
      </c>
      <c r="D54" s="241">
        <v>0.85199999999999998</v>
      </c>
      <c r="E54" s="241">
        <v>0.66600000000000004</v>
      </c>
      <c r="F54" s="241">
        <v>0.77900000000000003</v>
      </c>
      <c r="G54" s="241">
        <v>0.98599999999999999</v>
      </c>
    </row>
    <row r="55" spans="1:7">
      <c r="A55" t="s">
        <v>89</v>
      </c>
      <c r="B55" s="241">
        <v>0.223</v>
      </c>
      <c r="C55" s="241">
        <v>0.24</v>
      </c>
      <c r="D55" s="241">
        <v>0.151</v>
      </c>
      <c r="E55" s="241">
        <v>0.13400000000000001</v>
      </c>
      <c r="F55" s="241">
        <v>0.221</v>
      </c>
      <c r="G55" s="241">
        <v>0.156</v>
      </c>
    </row>
    <row r="56" spans="1:7">
      <c r="A56" t="s">
        <v>362</v>
      </c>
      <c r="B56" s="241">
        <v>4.4349999999999996</v>
      </c>
      <c r="C56" s="241">
        <v>5.5359999999999996</v>
      </c>
      <c r="D56" s="241">
        <v>5.7080000000000002</v>
      </c>
      <c r="E56" s="241">
        <v>5.1680000000000001</v>
      </c>
      <c r="F56" s="241">
        <v>4.2140000000000004</v>
      </c>
      <c r="G56" s="241">
        <v>3.6259999999999999</v>
      </c>
    </row>
    <row r="57" spans="1:7">
      <c r="A57" t="s">
        <v>84</v>
      </c>
      <c r="B57" s="241">
        <v>4.0830000000000002</v>
      </c>
      <c r="C57" s="241">
        <v>3.8940000000000001</v>
      </c>
      <c r="D57" s="241">
        <v>4.306</v>
      </c>
      <c r="E57" s="241">
        <v>3.605</v>
      </c>
      <c r="F57" s="241">
        <v>3.3929999999999998</v>
      </c>
      <c r="G57" s="241">
        <v>3.1429999999999998</v>
      </c>
    </row>
    <row r="58" spans="1:7">
      <c r="A58" t="s">
        <v>361</v>
      </c>
      <c r="B58" s="241">
        <v>2.3260000000000001</v>
      </c>
      <c r="C58" s="241">
        <v>2.8140000000000001</v>
      </c>
      <c r="D58" s="241">
        <v>2.4140000000000001</v>
      </c>
      <c r="E58" s="241">
        <v>1.512</v>
      </c>
      <c r="F58" s="241">
        <v>1.6519999999999999</v>
      </c>
      <c r="G58" s="241">
        <v>1.351</v>
      </c>
    </row>
    <row r="59" spans="1:7">
      <c r="A59" s="1" t="s">
        <v>3</v>
      </c>
      <c r="B59" s="229">
        <f t="shared" ref="B59:G59" si="4">SUM(B50:B58)</f>
        <v>22.316000000000003</v>
      </c>
      <c r="C59" s="229">
        <f t="shared" si="4"/>
        <v>24.184999999999995</v>
      </c>
      <c r="D59" s="229">
        <f t="shared" si="4"/>
        <v>24.438000000000002</v>
      </c>
      <c r="E59" s="229">
        <f t="shared" si="4"/>
        <v>20.747000000000003</v>
      </c>
      <c r="F59" s="229">
        <f t="shared" si="4"/>
        <v>19.952999999999999</v>
      </c>
      <c r="G59" s="229">
        <f t="shared" si="4"/>
        <v>21.214000000000002</v>
      </c>
    </row>
    <row r="60" spans="1:7">
      <c r="A60" s="117" t="s">
        <v>430</v>
      </c>
    </row>
    <row r="61" spans="1:7">
      <c r="A61" s="117" t="s">
        <v>623</v>
      </c>
    </row>
    <row r="62" spans="1:7" ht="10.25" customHeight="1">
      <c r="A62" s="117" t="s">
        <v>624</v>
      </c>
      <c r="F62" s="313"/>
      <c r="G62" s="313" t="s">
        <v>679</v>
      </c>
    </row>
  </sheetData>
  <phoneticPr fontId="0" type="noConversion"/>
  <pageMargins left="0.7" right="0.7" top="0.75" bottom="0.75" header="0.3" footer="0.3"/>
  <pageSetup scale="10" firstPageNumber="8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G57"/>
  <sheetViews>
    <sheetView zoomScaleNormal="100" zoomScaleSheetLayoutView="100" workbookViewId="0"/>
  </sheetViews>
  <sheetFormatPr baseColWidth="10" defaultColWidth="8.75" defaultRowHeight="11"/>
  <cols>
    <col min="1" max="1" width="22.25" customWidth="1"/>
    <col min="2" max="7" width="12.75" customWidth="1"/>
  </cols>
  <sheetData>
    <row r="1" spans="1:7">
      <c r="A1" s="126" t="s">
        <v>685</v>
      </c>
      <c r="B1" s="1"/>
      <c r="C1" s="1"/>
      <c r="D1" s="1"/>
    </row>
    <row r="2" spans="1:7">
      <c r="B2" s="24"/>
      <c r="C2" s="24"/>
      <c r="D2" s="24"/>
      <c r="E2" s="3"/>
      <c r="F2" s="3"/>
      <c r="G2" s="3"/>
    </row>
    <row r="3" spans="1:7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672</v>
      </c>
      <c r="F3" s="210" t="s">
        <v>586</v>
      </c>
      <c r="G3" s="210" t="s">
        <v>664</v>
      </c>
    </row>
    <row r="4" spans="1:7">
      <c r="C4" s="320"/>
      <c r="D4" s="320" t="s">
        <v>242</v>
      </c>
      <c r="E4" s="320"/>
      <c r="F4" s="320"/>
      <c r="G4" s="172"/>
    </row>
    <row r="5" spans="1:7">
      <c r="A5" t="s">
        <v>66</v>
      </c>
      <c r="B5" s="35"/>
      <c r="C5" s="35"/>
      <c r="D5" s="35"/>
      <c r="E5" s="35"/>
      <c r="F5" s="35"/>
      <c r="G5" s="35"/>
    </row>
    <row r="6" spans="1:7">
      <c r="A6" t="s">
        <v>363</v>
      </c>
      <c r="B6" s="241">
        <v>1.919</v>
      </c>
      <c r="C6" s="241">
        <v>1.8009999999999999</v>
      </c>
      <c r="D6" s="241">
        <v>1.7969999999999999</v>
      </c>
      <c r="E6" s="241">
        <v>1.768</v>
      </c>
      <c r="F6" s="241">
        <v>1.7809999999999999</v>
      </c>
      <c r="G6" s="241">
        <v>1.831</v>
      </c>
    </row>
    <row r="7" spans="1:7">
      <c r="A7" t="s">
        <v>79</v>
      </c>
      <c r="B7" s="241">
        <v>15.763999999999999</v>
      </c>
      <c r="C7" s="241">
        <v>15.706</v>
      </c>
      <c r="D7" s="241">
        <v>15.54</v>
      </c>
      <c r="E7" s="241">
        <v>13.077999999999999</v>
      </c>
      <c r="F7" s="241">
        <v>13.47</v>
      </c>
      <c r="G7" s="241">
        <v>15.425000000000001</v>
      </c>
    </row>
    <row r="8" spans="1:7">
      <c r="A8" t="s">
        <v>391</v>
      </c>
      <c r="B8" s="241">
        <v>4.8390000000000004</v>
      </c>
      <c r="C8" s="241">
        <v>4.4530000000000003</v>
      </c>
      <c r="D8" s="241">
        <v>4.6859999999999999</v>
      </c>
      <c r="E8" s="241">
        <v>4.5090000000000003</v>
      </c>
      <c r="F8" s="241">
        <v>5.0620000000000003</v>
      </c>
      <c r="G8" s="241">
        <v>4.6040000000000001</v>
      </c>
    </row>
    <row r="9" spans="1:7">
      <c r="A9" t="s">
        <v>390</v>
      </c>
      <c r="B9" s="241">
        <v>7.8070000000000004</v>
      </c>
      <c r="C9" s="241">
        <v>8.2850000000000001</v>
      </c>
      <c r="D9" s="241">
        <v>8.6</v>
      </c>
      <c r="E9" s="241">
        <v>8.3140000000000001</v>
      </c>
      <c r="F9" s="241">
        <v>8.9169999999999998</v>
      </c>
      <c r="G9" s="241">
        <v>9.6259999999999994</v>
      </c>
    </row>
    <row r="10" spans="1:7">
      <c r="A10" t="s">
        <v>89</v>
      </c>
      <c r="B10" s="241">
        <v>6.62</v>
      </c>
      <c r="C10" s="241">
        <v>7.0590000000000002</v>
      </c>
      <c r="D10" s="241">
        <v>6.6589999999999998</v>
      </c>
      <c r="E10" s="241">
        <v>6.6719999999999997</v>
      </c>
      <c r="F10" s="241">
        <v>7.2460000000000004</v>
      </c>
      <c r="G10" s="241">
        <v>7.3380000000000001</v>
      </c>
    </row>
    <row r="11" spans="1:7">
      <c r="A11" t="s">
        <v>362</v>
      </c>
      <c r="B11" s="241">
        <v>36.488999999999997</v>
      </c>
      <c r="C11" s="241">
        <v>38.777000000000001</v>
      </c>
      <c r="D11" s="241">
        <v>39.085999999999999</v>
      </c>
      <c r="E11" s="241">
        <v>39.453000000000003</v>
      </c>
      <c r="F11" s="241">
        <v>40.054000000000002</v>
      </c>
      <c r="G11" s="241">
        <v>40.603999999999999</v>
      </c>
    </row>
    <row r="12" spans="1:7">
      <c r="A12" t="s">
        <v>359</v>
      </c>
      <c r="B12" s="241">
        <v>182.208</v>
      </c>
      <c r="C12" s="241">
        <v>190.47800000000001</v>
      </c>
      <c r="D12" s="241">
        <v>208.608</v>
      </c>
      <c r="E12" s="241">
        <v>216.131</v>
      </c>
      <c r="F12" s="241">
        <v>226.43700000000001</v>
      </c>
      <c r="G12" s="241">
        <v>236.697</v>
      </c>
    </row>
    <row r="13" spans="1:7">
      <c r="A13" t="s">
        <v>361</v>
      </c>
      <c r="B13" s="241">
        <v>14.156000000000001</v>
      </c>
      <c r="C13" s="241">
        <v>16.846</v>
      </c>
      <c r="D13" s="241">
        <v>16.132999999999999</v>
      </c>
      <c r="E13" s="241">
        <v>16.501999999999999</v>
      </c>
      <c r="F13" s="241">
        <v>19.346</v>
      </c>
      <c r="G13" s="241">
        <v>19.164999999999999</v>
      </c>
    </row>
    <row r="14" spans="1:7">
      <c r="A14" t="s">
        <v>3</v>
      </c>
      <c r="B14" s="241">
        <f t="shared" ref="B14:G14" si="0">SUM(B6:B13)</f>
        <v>269.80199999999996</v>
      </c>
      <c r="C14" s="241">
        <f t="shared" si="0"/>
        <v>283.40499999999997</v>
      </c>
      <c r="D14" s="241">
        <f t="shared" si="0"/>
        <v>301.10899999999998</v>
      </c>
      <c r="E14" s="241">
        <f t="shared" si="0"/>
        <v>306.42700000000002</v>
      </c>
      <c r="F14" s="241">
        <f t="shared" si="0"/>
        <v>322.31299999999999</v>
      </c>
      <c r="G14" s="241">
        <f t="shared" si="0"/>
        <v>335.29</v>
      </c>
    </row>
    <row r="15" spans="1:7">
      <c r="A15" t="s">
        <v>88</v>
      </c>
      <c r="B15" s="241"/>
      <c r="C15" s="241"/>
      <c r="D15" s="241"/>
      <c r="E15" s="241"/>
      <c r="F15" s="241"/>
      <c r="G15" s="241"/>
    </row>
    <row r="16" spans="1:7">
      <c r="A16" t="s">
        <v>363</v>
      </c>
      <c r="B16" s="241">
        <v>0.997</v>
      </c>
      <c r="C16" s="241">
        <v>0.70299999999999996</v>
      </c>
      <c r="D16" s="241">
        <v>0.67300000000000004</v>
      </c>
      <c r="E16" s="241">
        <v>0.55900000000000005</v>
      </c>
      <c r="F16" s="241">
        <v>0.47299999999999998</v>
      </c>
      <c r="G16" s="241">
        <v>0.45500000000000002</v>
      </c>
    </row>
    <row r="17" spans="1:7">
      <c r="A17" t="s">
        <v>79</v>
      </c>
      <c r="B17" s="241">
        <v>0.42699999999999999</v>
      </c>
      <c r="C17" s="241">
        <v>0.35599999999999998</v>
      </c>
      <c r="D17" s="241">
        <v>0.25700000000000001</v>
      </c>
      <c r="E17" s="241">
        <v>0.21299999999999999</v>
      </c>
      <c r="F17" s="241">
        <v>0.245</v>
      </c>
      <c r="G17" s="241">
        <v>0.23200000000000001</v>
      </c>
    </row>
    <row r="18" spans="1:7">
      <c r="A18" t="s">
        <v>391</v>
      </c>
      <c r="B18" s="241">
        <v>2.4649999999999999</v>
      </c>
      <c r="C18" s="241">
        <v>2.7360000000000002</v>
      </c>
      <c r="D18" s="241">
        <v>2.5009999999999999</v>
      </c>
      <c r="E18" s="241">
        <v>2.4649999999999999</v>
      </c>
      <c r="F18" s="241">
        <v>2.98</v>
      </c>
      <c r="G18" s="241">
        <v>2.4889999999999999</v>
      </c>
    </row>
    <row r="19" spans="1:7">
      <c r="A19" t="s">
        <v>390</v>
      </c>
      <c r="B19" s="241">
        <v>6.1959999999999997</v>
      </c>
      <c r="C19" s="241">
        <v>6.5069999999999997</v>
      </c>
      <c r="D19" s="241">
        <v>6.8159999999999998</v>
      </c>
      <c r="E19" s="241">
        <v>6.4530000000000003</v>
      </c>
      <c r="F19" s="241">
        <v>7.5049999999999999</v>
      </c>
      <c r="G19" s="241">
        <v>7.32</v>
      </c>
    </row>
    <row r="20" spans="1:7">
      <c r="A20" t="s">
        <v>89</v>
      </c>
      <c r="B20" s="241">
        <v>3.9E-2</v>
      </c>
      <c r="C20" s="241">
        <v>9.6000000000000002E-2</v>
      </c>
      <c r="D20" s="241">
        <v>2.7E-2</v>
      </c>
      <c r="E20" s="241">
        <v>1.7999999999999999E-2</v>
      </c>
      <c r="F20" s="241">
        <v>0.13400000000000001</v>
      </c>
      <c r="G20" s="241">
        <v>0.114</v>
      </c>
    </row>
    <row r="21" spans="1:7">
      <c r="A21" t="s">
        <v>362</v>
      </c>
      <c r="B21" s="241">
        <v>5.6130000000000004</v>
      </c>
      <c r="C21" s="241">
        <v>6.5010000000000003</v>
      </c>
      <c r="D21" s="241">
        <v>5.992</v>
      </c>
      <c r="E21" s="241">
        <v>5.7039999999999997</v>
      </c>
      <c r="F21" s="241">
        <v>5.8970000000000002</v>
      </c>
      <c r="G21" s="241">
        <v>5.8170000000000002</v>
      </c>
    </row>
    <row r="22" spans="1:7">
      <c r="A22" t="s">
        <v>359</v>
      </c>
      <c r="B22" s="241">
        <v>54.067999999999998</v>
      </c>
      <c r="C22" s="241">
        <v>57.767000000000003</v>
      </c>
      <c r="D22" s="241">
        <v>60.694000000000003</v>
      </c>
      <c r="E22" s="241">
        <v>61.75</v>
      </c>
      <c r="F22" s="241">
        <v>60.174999999999997</v>
      </c>
      <c r="G22" s="241">
        <v>63.256</v>
      </c>
    </row>
    <row r="23" spans="1:7">
      <c r="A23" t="s">
        <v>361</v>
      </c>
      <c r="B23" s="241">
        <v>4.9260000000000002</v>
      </c>
      <c r="C23" s="241">
        <v>5.7629999999999999</v>
      </c>
      <c r="D23" s="241">
        <v>5.5220000000000002</v>
      </c>
      <c r="E23" s="241">
        <v>5.9539999999999997</v>
      </c>
      <c r="F23" s="241">
        <v>6.9669999999999996</v>
      </c>
      <c r="G23" s="241">
        <v>6.976</v>
      </c>
    </row>
    <row r="24" spans="1:7">
      <c r="A24" t="s">
        <v>3</v>
      </c>
      <c r="B24" s="241">
        <f t="shared" ref="B24:G24" si="1">SUM(B16:B23)</f>
        <v>74.730999999999995</v>
      </c>
      <c r="C24" s="241">
        <f t="shared" si="1"/>
        <v>80.429000000000002</v>
      </c>
      <c r="D24" s="241">
        <f t="shared" si="1"/>
        <v>82.482000000000014</v>
      </c>
      <c r="E24" s="241">
        <f t="shared" si="1"/>
        <v>83.116</v>
      </c>
      <c r="F24" s="241">
        <f t="shared" si="1"/>
        <v>84.375999999999991</v>
      </c>
      <c r="G24" s="241">
        <f t="shared" si="1"/>
        <v>86.658999999999992</v>
      </c>
    </row>
    <row r="25" spans="1:7">
      <c r="A25" t="s">
        <v>90</v>
      </c>
      <c r="B25" s="241"/>
      <c r="C25" s="241"/>
      <c r="D25" s="241"/>
      <c r="E25" s="241"/>
      <c r="F25" s="241"/>
      <c r="G25" s="241"/>
    </row>
    <row r="26" spans="1:7">
      <c r="A26" t="s">
        <v>363</v>
      </c>
      <c r="B26" s="241">
        <v>1.095</v>
      </c>
      <c r="C26" s="241">
        <v>0.72199999999999998</v>
      </c>
      <c r="D26" s="241">
        <v>0.73299999999999998</v>
      </c>
      <c r="E26" s="241">
        <v>0.57599999999999996</v>
      </c>
      <c r="F26" s="241">
        <v>0.496</v>
      </c>
      <c r="G26" s="241">
        <v>0.64800000000000002</v>
      </c>
    </row>
    <row r="27" spans="1:7">
      <c r="A27" t="s">
        <v>79</v>
      </c>
      <c r="B27" s="241">
        <v>0.53200000000000003</v>
      </c>
      <c r="C27" s="241">
        <v>0.38200000000000001</v>
      </c>
      <c r="D27" s="241">
        <v>0.316</v>
      </c>
      <c r="E27" s="241">
        <v>0.249</v>
      </c>
      <c r="F27" s="241">
        <v>0.33900000000000002</v>
      </c>
      <c r="G27" s="241">
        <v>0.33100000000000002</v>
      </c>
    </row>
    <row r="28" spans="1:7">
      <c r="A28" t="s">
        <v>391</v>
      </c>
      <c r="B28" s="241">
        <v>2.3210000000000002</v>
      </c>
      <c r="C28" s="241">
        <v>2.4700000000000002</v>
      </c>
      <c r="D28" s="241">
        <v>2.282</v>
      </c>
      <c r="E28" s="241">
        <v>2.2149999999999999</v>
      </c>
      <c r="F28" s="241">
        <v>2.5830000000000002</v>
      </c>
      <c r="G28" s="241">
        <v>2.234</v>
      </c>
    </row>
    <row r="29" spans="1:7">
      <c r="A29" t="s">
        <v>390</v>
      </c>
      <c r="B29" s="241">
        <v>6.1050000000000004</v>
      </c>
      <c r="C29" s="241">
        <v>6.3780000000000001</v>
      </c>
      <c r="D29" s="241">
        <v>6.4560000000000004</v>
      </c>
      <c r="E29" s="241">
        <v>6.3769999999999998</v>
      </c>
      <c r="F29" s="241">
        <v>6.7169999999999996</v>
      </c>
      <c r="G29" s="241">
        <v>7.3049999999999997</v>
      </c>
    </row>
    <row r="30" spans="1:7">
      <c r="A30" t="s">
        <v>89</v>
      </c>
      <c r="B30" s="241">
        <v>0.09</v>
      </c>
      <c r="C30" s="241">
        <v>0.13100000000000001</v>
      </c>
      <c r="D30" s="241">
        <v>5.3999999999999999E-2</v>
      </c>
      <c r="E30" s="241">
        <v>5.3999999999999999E-2</v>
      </c>
      <c r="F30" s="241">
        <v>0.155</v>
      </c>
      <c r="G30" s="241">
        <v>0.16700000000000001</v>
      </c>
    </row>
    <row r="31" spans="1:7">
      <c r="A31" t="s">
        <v>362</v>
      </c>
      <c r="B31" s="241">
        <v>5.6980000000000004</v>
      </c>
      <c r="C31" s="241">
        <v>6.351</v>
      </c>
      <c r="D31" s="241">
        <v>6.0670000000000002</v>
      </c>
      <c r="E31" s="241">
        <v>5.6890000000000001</v>
      </c>
      <c r="F31" s="241">
        <v>6.0289999999999999</v>
      </c>
      <c r="G31" s="241">
        <v>6.2770000000000001</v>
      </c>
    </row>
    <row r="32" spans="1:7">
      <c r="A32" t="s">
        <v>359</v>
      </c>
      <c r="B32" s="241">
        <v>58.390999999999998</v>
      </c>
      <c r="C32" s="241">
        <v>60.648000000000003</v>
      </c>
      <c r="D32" s="241">
        <v>64.403000000000006</v>
      </c>
      <c r="E32" s="241">
        <v>65.424999999999997</v>
      </c>
      <c r="F32" s="241">
        <v>64.63</v>
      </c>
      <c r="G32" s="241">
        <v>66.692999999999998</v>
      </c>
    </row>
    <row r="33" spans="1:7">
      <c r="A33" t="s">
        <v>361</v>
      </c>
      <c r="B33" s="241">
        <v>5.133</v>
      </c>
      <c r="C33" s="241">
        <v>6.2229999999999999</v>
      </c>
      <c r="D33" s="241">
        <v>5.87</v>
      </c>
      <c r="E33" s="241">
        <v>6.3029999999999999</v>
      </c>
      <c r="F33" s="241">
        <v>7.3460000000000001</v>
      </c>
      <c r="G33" s="241">
        <v>7.1859999999999999</v>
      </c>
    </row>
    <row r="34" spans="1:7">
      <c r="A34" t="s">
        <v>3</v>
      </c>
      <c r="B34" s="241">
        <f t="shared" ref="B34:G34" si="2">SUM(B26:B33)</f>
        <v>79.364999999999995</v>
      </c>
      <c r="C34" s="241">
        <f t="shared" si="2"/>
        <v>83.305000000000007</v>
      </c>
      <c r="D34" s="241">
        <f t="shared" si="2"/>
        <v>86.181000000000012</v>
      </c>
      <c r="E34" s="241">
        <f t="shared" si="2"/>
        <v>86.887999999999991</v>
      </c>
      <c r="F34" s="241">
        <f t="shared" si="2"/>
        <v>88.295000000000002</v>
      </c>
      <c r="G34" s="241">
        <f t="shared" si="2"/>
        <v>90.841000000000008</v>
      </c>
    </row>
    <row r="35" spans="1:7">
      <c r="A35" t="s">
        <v>429</v>
      </c>
      <c r="B35" s="241"/>
      <c r="C35" s="241"/>
      <c r="D35" s="241"/>
      <c r="E35" s="241"/>
      <c r="F35" s="241"/>
      <c r="G35" s="241"/>
    </row>
    <row r="36" spans="1:7">
      <c r="A36" t="s">
        <v>363</v>
      </c>
      <c r="B36" s="241">
        <v>1.944</v>
      </c>
      <c r="C36" s="241">
        <v>1.778</v>
      </c>
      <c r="D36" s="241">
        <v>1.7110000000000001</v>
      </c>
      <c r="E36" s="241">
        <v>1.708</v>
      </c>
      <c r="F36" s="241">
        <v>1.6950000000000001</v>
      </c>
      <c r="G36" s="241">
        <v>1.65</v>
      </c>
    </row>
    <row r="37" spans="1:7">
      <c r="A37" t="s">
        <v>79</v>
      </c>
      <c r="B37" s="241">
        <v>15.654999999999999</v>
      </c>
      <c r="C37" s="241">
        <v>15.68</v>
      </c>
      <c r="D37" s="241">
        <v>15.478999999999999</v>
      </c>
      <c r="E37" s="241">
        <v>13.189</v>
      </c>
      <c r="F37" s="241">
        <v>13.362</v>
      </c>
      <c r="G37" s="241">
        <v>15.318</v>
      </c>
    </row>
    <row r="38" spans="1:7">
      <c r="A38" t="s">
        <v>391</v>
      </c>
      <c r="B38" s="241">
        <v>4.8099999999999996</v>
      </c>
      <c r="C38" s="241">
        <v>4.9420000000000002</v>
      </c>
      <c r="D38" s="241">
        <v>4.8730000000000002</v>
      </c>
      <c r="E38" s="241">
        <v>4.7549999999999999</v>
      </c>
      <c r="F38" s="241">
        <v>5.4459999999999997</v>
      </c>
      <c r="G38" s="241">
        <v>4.8639999999999999</v>
      </c>
    </row>
    <row r="39" spans="1:7">
      <c r="A39" t="s">
        <v>390</v>
      </c>
      <c r="B39" s="241">
        <v>7.8609999999999998</v>
      </c>
      <c r="C39" s="241">
        <v>8.1769999999999996</v>
      </c>
      <c r="D39" s="241">
        <v>8.9260000000000002</v>
      </c>
      <c r="E39" s="241">
        <v>8.4480000000000004</v>
      </c>
      <c r="F39" s="241">
        <v>9.7040000000000006</v>
      </c>
      <c r="G39" s="241">
        <v>9.6720000000000006</v>
      </c>
    </row>
    <row r="40" spans="1:7">
      <c r="A40" t="s">
        <v>89</v>
      </c>
      <c r="B40" s="241">
        <v>6.5659999999999998</v>
      </c>
      <c r="C40" s="241">
        <v>7.0179999999999998</v>
      </c>
      <c r="D40" s="241">
        <v>6.6369999999999996</v>
      </c>
      <c r="E40" s="241">
        <v>6.6070000000000002</v>
      </c>
      <c r="F40" s="241">
        <v>7.2489999999999997</v>
      </c>
      <c r="G40" s="241">
        <v>7.2839999999999998</v>
      </c>
    </row>
    <row r="41" spans="1:7">
      <c r="A41" t="s">
        <v>362</v>
      </c>
      <c r="B41" s="241">
        <v>36.558</v>
      </c>
      <c r="C41" s="241">
        <v>38.936999999999998</v>
      </c>
      <c r="D41" s="241">
        <v>39.094000000000001</v>
      </c>
      <c r="E41" s="241">
        <v>39.347000000000001</v>
      </c>
      <c r="F41" s="241">
        <v>39.996000000000002</v>
      </c>
      <c r="G41" s="241">
        <v>40.225000000000001</v>
      </c>
    </row>
    <row r="42" spans="1:7">
      <c r="A42" t="s">
        <v>359</v>
      </c>
      <c r="B42" s="241">
        <v>178.779</v>
      </c>
      <c r="C42" s="241">
        <v>186.74199999999999</v>
      </c>
      <c r="D42" s="241">
        <v>201.833</v>
      </c>
      <c r="E42" s="241">
        <v>213.495</v>
      </c>
      <c r="F42" s="241">
        <v>222.50899999999999</v>
      </c>
      <c r="G42" s="241">
        <v>233.66300000000001</v>
      </c>
    </row>
    <row r="43" spans="1:7">
      <c r="A43" t="s">
        <v>361</v>
      </c>
      <c r="B43" s="241">
        <v>14.804</v>
      </c>
      <c r="C43" s="241">
        <v>15.912000000000001</v>
      </c>
      <c r="D43" s="241">
        <v>15.608000000000001</v>
      </c>
      <c r="E43" s="241">
        <v>16.274000000000001</v>
      </c>
      <c r="F43" s="241">
        <v>18.942</v>
      </c>
      <c r="G43" s="241">
        <v>19.427</v>
      </c>
    </row>
    <row r="44" spans="1:7">
      <c r="A44" t="s">
        <v>3</v>
      </c>
      <c r="B44" s="241">
        <f t="shared" ref="B44:G44" si="3">SUM(B36:B43)</f>
        <v>266.97699999999998</v>
      </c>
      <c r="C44" s="241">
        <f t="shared" si="3"/>
        <v>279.18599999999998</v>
      </c>
      <c r="D44" s="241">
        <f t="shared" si="3"/>
        <v>294.161</v>
      </c>
      <c r="E44" s="241">
        <f t="shared" si="3"/>
        <v>303.82299999999998</v>
      </c>
      <c r="F44" s="241">
        <f t="shared" si="3"/>
        <v>318.90300000000002</v>
      </c>
      <c r="G44" s="241">
        <f t="shared" si="3"/>
        <v>332.10300000000007</v>
      </c>
    </row>
    <row r="45" spans="1:7">
      <c r="A45" t="s">
        <v>198</v>
      </c>
      <c r="B45" s="241"/>
      <c r="C45" s="241"/>
      <c r="D45" s="241"/>
      <c r="E45" s="241"/>
      <c r="F45" s="241"/>
      <c r="G45" s="241"/>
    </row>
    <row r="46" spans="1:7">
      <c r="A46" t="s">
        <v>363</v>
      </c>
      <c r="B46" s="241">
        <v>0.107</v>
      </c>
      <c r="C46" s="241">
        <v>0.111</v>
      </c>
      <c r="D46" s="241">
        <v>0.13700000000000001</v>
      </c>
      <c r="E46" s="241">
        <v>0.18</v>
      </c>
      <c r="F46" s="241">
        <v>0.24299999999999999</v>
      </c>
      <c r="G46" s="241">
        <v>0.23100000000000001</v>
      </c>
    </row>
    <row r="47" spans="1:7">
      <c r="A47" t="s">
        <v>79</v>
      </c>
      <c r="B47" s="241">
        <v>0.216</v>
      </c>
      <c r="C47" s="241">
        <v>0.216</v>
      </c>
      <c r="D47" s="241">
        <v>0.218</v>
      </c>
      <c r="E47" s="241">
        <v>7.0999999999999994E-2</v>
      </c>
      <c r="F47" s="241">
        <v>8.5000000000000006E-2</v>
      </c>
      <c r="G47" s="241">
        <v>9.2999999999999999E-2</v>
      </c>
    </row>
    <row r="48" spans="1:7">
      <c r="A48" t="s">
        <v>391</v>
      </c>
      <c r="B48" s="241">
        <v>0.45400000000000001</v>
      </c>
      <c r="C48" s="241">
        <v>0.23100000000000001</v>
      </c>
      <c r="D48" s="241">
        <v>0.26300000000000001</v>
      </c>
      <c r="E48" s="241">
        <v>0.26700000000000002</v>
      </c>
      <c r="F48" s="241">
        <v>0.28000000000000003</v>
      </c>
      <c r="G48" s="241">
        <v>0.27500000000000002</v>
      </c>
    </row>
    <row r="49" spans="1:7">
      <c r="A49" t="s">
        <v>390</v>
      </c>
      <c r="B49" s="241">
        <v>0.377</v>
      </c>
      <c r="C49" s="241">
        <v>0.61399999999999999</v>
      </c>
      <c r="D49" s="241">
        <v>0.64800000000000002</v>
      </c>
      <c r="E49" s="241">
        <v>0.59</v>
      </c>
      <c r="F49" s="241">
        <v>0.59099999999999997</v>
      </c>
      <c r="G49" s="241">
        <v>0.56000000000000005</v>
      </c>
    </row>
    <row r="50" spans="1:7">
      <c r="A50" t="s">
        <v>89</v>
      </c>
      <c r="B50" s="241">
        <v>2.3E-2</v>
      </c>
      <c r="C50" s="241">
        <v>2.9000000000000001E-2</v>
      </c>
      <c r="D50" s="241">
        <v>2.4E-2</v>
      </c>
      <c r="E50" s="241">
        <v>5.2999999999999999E-2</v>
      </c>
      <c r="F50" s="241">
        <v>2.9000000000000001E-2</v>
      </c>
      <c r="G50" s="241">
        <v>0.03</v>
      </c>
    </row>
    <row r="51" spans="1:7">
      <c r="A51" t="s">
        <v>362</v>
      </c>
      <c r="B51" s="241">
        <v>0.98499999999999999</v>
      </c>
      <c r="C51" s="241">
        <v>0.97499999999999998</v>
      </c>
      <c r="D51" s="241">
        <v>0.89200000000000002</v>
      </c>
      <c r="E51" s="241">
        <v>1.0129999999999999</v>
      </c>
      <c r="F51" s="241">
        <v>0.93899999999999995</v>
      </c>
      <c r="G51" s="241">
        <v>0.85799999999999998</v>
      </c>
    </row>
    <row r="52" spans="1:7">
      <c r="A52" t="s">
        <v>359</v>
      </c>
      <c r="B52" s="241">
        <v>9.7530000000000001</v>
      </c>
      <c r="C52" s="241">
        <v>10.608000000000001</v>
      </c>
      <c r="D52" s="241">
        <v>13.673999999999999</v>
      </c>
      <c r="E52" s="241">
        <v>12.635</v>
      </c>
      <c r="F52" s="241">
        <v>12.108000000000001</v>
      </c>
      <c r="G52" s="241">
        <v>11.705</v>
      </c>
    </row>
    <row r="53" spans="1:7">
      <c r="A53" t="s">
        <v>361</v>
      </c>
      <c r="B53" s="241">
        <v>0.83599999999999997</v>
      </c>
      <c r="C53" s="241">
        <v>1.31</v>
      </c>
      <c r="D53" s="241">
        <v>1.4870000000000001</v>
      </c>
      <c r="E53" s="241">
        <v>1.3660000000000001</v>
      </c>
      <c r="F53" s="241">
        <v>1.391</v>
      </c>
      <c r="G53" s="241">
        <v>0.91900000000000004</v>
      </c>
    </row>
    <row r="54" spans="1:7" ht="10.25" customHeight="1">
      <c r="A54" s="1" t="s">
        <v>3</v>
      </c>
      <c r="B54" s="229">
        <f t="shared" ref="B54:G54" si="4">SUM(B46:B53)</f>
        <v>12.750999999999999</v>
      </c>
      <c r="C54" s="229">
        <f t="shared" si="4"/>
        <v>14.094000000000001</v>
      </c>
      <c r="D54" s="229">
        <f t="shared" si="4"/>
        <v>17.343</v>
      </c>
      <c r="E54" s="229">
        <f t="shared" si="4"/>
        <v>16.175000000000001</v>
      </c>
      <c r="F54" s="229">
        <f t="shared" si="4"/>
        <v>15.666</v>
      </c>
      <c r="G54" s="229">
        <f t="shared" si="4"/>
        <v>14.671000000000001</v>
      </c>
    </row>
    <row r="55" spans="1:7" ht="13.25" customHeight="1">
      <c r="A55" s="117" t="s">
        <v>430</v>
      </c>
    </row>
    <row r="56" spans="1:7" ht="13.25" customHeight="1">
      <c r="A56" s="117" t="s">
        <v>623</v>
      </c>
    </row>
    <row r="57" spans="1:7" ht="10.25" customHeight="1">
      <c r="A57" s="117" t="s">
        <v>624</v>
      </c>
      <c r="F57" s="313"/>
      <c r="G57" s="313" t="s">
        <v>679</v>
      </c>
    </row>
  </sheetData>
  <phoneticPr fontId="0" type="noConversion"/>
  <pageMargins left="0.7" right="0.7" top="0.75" bottom="0.75" header="0.3" footer="0.3"/>
  <pageSetup scale="10" firstPageNumber="81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8"/>
  <sheetViews>
    <sheetView zoomScaleNormal="100" zoomScaleSheetLayoutView="90" workbookViewId="0">
      <pane ySplit="5" topLeftCell="A6" activePane="bottomLeft" state="frozen"/>
      <selection pane="bottomLeft"/>
    </sheetView>
  </sheetViews>
  <sheetFormatPr baseColWidth="10" defaultColWidth="8.75" defaultRowHeight="11"/>
  <cols>
    <col min="1" max="1" width="9.75" customWidth="1"/>
    <col min="2" max="5" width="12.75" customWidth="1"/>
    <col min="6" max="6" width="2.75" customWidth="1"/>
    <col min="7" max="12" width="12.75" customWidth="1"/>
  </cols>
  <sheetData>
    <row r="1" spans="1:12">
      <c r="A1" s="150" t="s">
        <v>690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179</v>
      </c>
      <c r="B2" s="314"/>
      <c r="C2" s="335" t="s">
        <v>119</v>
      </c>
      <c r="D2" s="314"/>
      <c r="E2" s="314"/>
      <c r="F2" s="37"/>
      <c r="G2" s="314"/>
      <c r="H2" s="334" t="s">
        <v>117</v>
      </c>
      <c r="I2" s="314"/>
      <c r="J2" s="314"/>
      <c r="L2" s="9" t="s">
        <v>118</v>
      </c>
    </row>
    <row r="3" spans="1:12">
      <c r="A3" t="s">
        <v>100</v>
      </c>
      <c r="B3" s="7" t="s">
        <v>141</v>
      </c>
      <c r="G3" s="335" t="s">
        <v>142</v>
      </c>
      <c r="H3" s="316"/>
      <c r="K3" s="7" t="s">
        <v>143</v>
      </c>
      <c r="L3" s="7" t="s">
        <v>185</v>
      </c>
    </row>
    <row r="4" spans="1:12">
      <c r="A4" s="1" t="s">
        <v>140</v>
      </c>
      <c r="B4" s="318" t="s">
        <v>110</v>
      </c>
      <c r="C4" s="318" t="s">
        <v>66</v>
      </c>
      <c r="D4" s="194" t="s">
        <v>88</v>
      </c>
      <c r="E4" s="318" t="s">
        <v>3</v>
      </c>
      <c r="F4" s="318"/>
      <c r="G4" s="370" t="s">
        <v>3</v>
      </c>
      <c r="H4" s="318" t="s">
        <v>544</v>
      </c>
      <c r="I4" s="318" t="s">
        <v>90</v>
      </c>
      <c r="J4" s="318" t="s">
        <v>3</v>
      </c>
      <c r="K4" s="318" t="s">
        <v>110</v>
      </c>
      <c r="L4" s="318" t="s">
        <v>183</v>
      </c>
    </row>
    <row r="5" spans="1:12">
      <c r="G5" s="319" t="s">
        <v>91</v>
      </c>
      <c r="L5" s="38" t="s">
        <v>521</v>
      </c>
    </row>
    <row r="6" spans="1:12">
      <c r="L6" s="319"/>
    </row>
    <row r="7" spans="1:12">
      <c r="A7" s="10">
        <v>1980</v>
      </c>
      <c r="B7" s="39">
        <v>1210</v>
      </c>
      <c r="C7" s="39">
        <v>11270.18</v>
      </c>
      <c r="D7" s="39">
        <v>0.01</v>
      </c>
      <c r="E7" s="39">
        <f t="shared" ref="E7:E30" si="0">+B7+C7+D7</f>
        <v>12480.19</v>
      </c>
      <c r="F7" s="39"/>
      <c r="G7" s="39">
        <f t="shared" ref="G7:G28" si="1">+J7-I7</f>
        <v>9113.0720000000001</v>
      </c>
      <c r="H7" s="156" t="s">
        <v>511</v>
      </c>
      <c r="I7" s="39">
        <v>1631</v>
      </c>
      <c r="J7" s="39">
        <f t="shared" ref="J7:J26" si="2">+E7-K7</f>
        <v>10744.072</v>
      </c>
      <c r="K7" s="39">
        <v>1736.1179999999999</v>
      </c>
      <c r="L7" s="33">
        <v>22.73</v>
      </c>
    </row>
    <row r="8" spans="1:12">
      <c r="A8" s="10">
        <v>1981</v>
      </c>
      <c r="B8" s="39">
        <f t="shared" ref="B8:B26" si="3">+K7</f>
        <v>1736.1179999999999</v>
      </c>
      <c r="C8" s="39">
        <v>10979.424999999999</v>
      </c>
      <c r="D8" s="39">
        <v>2.8000000000000001E-2</v>
      </c>
      <c r="E8" s="39">
        <f t="shared" si="0"/>
        <v>12715.571</v>
      </c>
      <c r="F8" s="39"/>
      <c r="G8" s="39">
        <f t="shared" si="1"/>
        <v>9536.0229999999992</v>
      </c>
      <c r="H8" s="156" t="s">
        <v>511</v>
      </c>
      <c r="I8" s="39">
        <v>2077</v>
      </c>
      <c r="J8" s="39">
        <f t="shared" si="2"/>
        <v>11613.022999999999</v>
      </c>
      <c r="K8" s="39">
        <v>1102.548</v>
      </c>
      <c r="L8" s="33">
        <v>18.95</v>
      </c>
    </row>
    <row r="9" spans="1:12">
      <c r="A9" s="10">
        <v>1982</v>
      </c>
      <c r="B9" s="39">
        <f t="shared" si="3"/>
        <v>1102.548</v>
      </c>
      <c r="C9" s="39">
        <v>12040.358</v>
      </c>
      <c r="D9" s="39">
        <v>9.1999999999999998E-2</v>
      </c>
      <c r="E9" s="39">
        <f t="shared" si="0"/>
        <v>13142.998000000001</v>
      </c>
      <c r="F9" s="39"/>
      <c r="G9" s="39">
        <f t="shared" si="1"/>
        <v>9857.0520000000015</v>
      </c>
      <c r="H9" s="156" t="s">
        <v>511</v>
      </c>
      <c r="I9" s="39">
        <v>2025</v>
      </c>
      <c r="J9" s="39">
        <f t="shared" si="2"/>
        <v>11882.052000000001</v>
      </c>
      <c r="K9" s="39">
        <v>1260.9459999999999</v>
      </c>
      <c r="L9" s="33">
        <v>20.62</v>
      </c>
    </row>
    <row r="10" spans="1:12">
      <c r="A10" s="10">
        <v>1983</v>
      </c>
      <c r="B10" s="39">
        <f t="shared" si="3"/>
        <v>1260.9459999999999</v>
      </c>
      <c r="C10" s="39">
        <v>10862.793</v>
      </c>
      <c r="D10" s="39">
        <v>7.9000000000000001E-2</v>
      </c>
      <c r="E10" s="39">
        <f t="shared" si="0"/>
        <v>12123.817999999999</v>
      </c>
      <c r="F10" s="39"/>
      <c r="G10" s="39">
        <f t="shared" si="1"/>
        <v>9579.3089999999993</v>
      </c>
      <c r="H10" s="156" t="s">
        <v>511</v>
      </c>
      <c r="I10" s="39">
        <v>1824</v>
      </c>
      <c r="J10" s="39">
        <f t="shared" si="2"/>
        <v>11403.308999999999</v>
      </c>
      <c r="K10" s="39">
        <v>720.50900000000001</v>
      </c>
      <c r="L10" s="33">
        <v>30.55</v>
      </c>
    </row>
    <row r="11" spans="1:12">
      <c r="A11" s="10">
        <v>1984</v>
      </c>
      <c r="B11" s="39">
        <f t="shared" si="3"/>
        <v>720.50900000000001</v>
      </c>
      <c r="C11" s="39">
        <v>11467.944</v>
      </c>
      <c r="D11" s="39">
        <v>20.401</v>
      </c>
      <c r="E11" s="39">
        <f t="shared" si="0"/>
        <v>12208.853999999999</v>
      </c>
      <c r="F11" s="39"/>
      <c r="G11" s="39">
        <f t="shared" si="1"/>
        <v>9916.3599999999988</v>
      </c>
      <c r="H11" s="156" t="s">
        <v>511</v>
      </c>
      <c r="I11" s="39">
        <v>1660</v>
      </c>
      <c r="J11" s="39">
        <f t="shared" si="2"/>
        <v>11576.359999999999</v>
      </c>
      <c r="K11" s="39">
        <v>632.49400000000003</v>
      </c>
      <c r="L11" s="33">
        <v>29.52</v>
      </c>
    </row>
    <row r="12" spans="1:12">
      <c r="A12" s="10">
        <v>1985</v>
      </c>
      <c r="B12" s="39">
        <f t="shared" si="3"/>
        <v>632.49400000000003</v>
      </c>
      <c r="C12" s="39">
        <v>11617.272000000001</v>
      </c>
      <c r="D12" s="39">
        <v>7.7030000000000003</v>
      </c>
      <c r="E12" s="39">
        <f t="shared" si="0"/>
        <v>12257.469000000001</v>
      </c>
      <c r="F12" s="39"/>
      <c r="G12" s="39">
        <f t="shared" si="1"/>
        <v>10053.876</v>
      </c>
      <c r="H12" s="156" t="s">
        <v>511</v>
      </c>
      <c r="I12" s="39">
        <v>1257</v>
      </c>
      <c r="J12" s="39">
        <f t="shared" si="2"/>
        <v>11310.876</v>
      </c>
      <c r="K12" s="39">
        <v>946.59299999999996</v>
      </c>
      <c r="L12" s="33">
        <v>18.02</v>
      </c>
    </row>
    <row r="13" spans="1:12">
      <c r="A13" s="10">
        <v>1986</v>
      </c>
      <c r="B13" s="39">
        <f t="shared" si="3"/>
        <v>946.59299999999996</v>
      </c>
      <c r="C13" s="39">
        <v>12783.103999999999</v>
      </c>
      <c r="D13" s="39">
        <v>15</v>
      </c>
      <c r="E13" s="39">
        <f t="shared" si="0"/>
        <v>13744.697</v>
      </c>
      <c r="F13" s="39"/>
      <c r="G13" s="39">
        <f t="shared" si="1"/>
        <v>10832.699000000001</v>
      </c>
      <c r="H13" s="156" t="s">
        <v>511</v>
      </c>
      <c r="I13" s="39">
        <v>1187</v>
      </c>
      <c r="J13" s="39">
        <f t="shared" si="2"/>
        <v>12019.699000000001</v>
      </c>
      <c r="K13" s="39">
        <v>1724.998</v>
      </c>
      <c r="L13" s="33">
        <v>15.36</v>
      </c>
    </row>
    <row r="14" spans="1:12">
      <c r="A14" s="10">
        <v>1987</v>
      </c>
      <c r="B14" s="39">
        <f t="shared" si="3"/>
        <v>1724.998</v>
      </c>
      <c r="C14" s="39">
        <v>12974.541999999999</v>
      </c>
      <c r="D14" s="39">
        <v>193.87220000000002</v>
      </c>
      <c r="E14" s="39">
        <f t="shared" si="0"/>
        <v>14893.412199999999</v>
      </c>
      <c r="F14" s="39"/>
      <c r="G14" s="39">
        <f t="shared" si="1"/>
        <v>10927.173199999999</v>
      </c>
      <c r="H14" s="156" t="s">
        <v>511</v>
      </c>
      <c r="I14" s="39">
        <v>1874</v>
      </c>
      <c r="J14" s="39">
        <f t="shared" si="2"/>
        <v>12801.173199999999</v>
      </c>
      <c r="K14" s="39">
        <v>2092.239</v>
      </c>
      <c r="L14" s="33">
        <v>22.67</v>
      </c>
    </row>
    <row r="15" spans="1:12">
      <c r="A15" s="10">
        <v>1988</v>
      </c>
      <c r="B15" s="39">
        <f t="shared" si="3"/>
        <v>2092.239</v>
      </c>
      <c r="C15" s="39">
        <v>11737.045</v>
      </c>
      <c r="D15" s="39">
        <v>137.67225223063201</v>
      </c>
      <c r="E15" s="39">
        <f t="shared" si="0"/>
        <v>13966.956252230631</v>
      </c>
      <c r="F15" s="39"/>
      <c r="G15" s="39">
        <f t="shared" si="1"/>
        <v>10590.539252230632</v>
      </c>
      <c r="H15" s="156" t="s">
        <v>511</v>
      </c>
      <c r="I15" s="39">
        <v>1661</v>
      </c>
      <c r="J15" s="39">
        <f t="shared" si="2"/>
        <v>12251.539252230632</v>
      </c>
      <c r="K15" s="39">
        <v>1715.4169999999999</v>
      </c>
      <c r="L15" s="33">
        <v>21.09</v>
      </c>
    </row>
    <row r="16" spans="1:12">
      <c r="A16" s="10">
        <v>1989</v>
      </c>
      <c r="B16" s="39">
        <f t="shared" si="3"/>
        <v>1715.4169999999999</v>
      </c>
      <c r="C16" s="39">
        <v>13003.582</v>
      </c>
      <c r="D16" s="39">
        <v>21.515940000000004</v>
      </c>
      <c r="E16" s="39">
        <f t="shared" si="0"/>
        <v>14740.514939999999</v>
      </c>
      <c r="F16" s="39"/>
      <c r="G16" s="39">
        <f t="shared" si="1"/>
        <v>12082.49094</v>
      </c>
      <c r="H16" s="156" t="s">
        <v>511</v>
      </c>
      <c r="I16" s="39">
        <v>1353</v>
      </c>
      <c r="J16" s="39">
        <f t="shared" si="2"/>
        <v>13435.49094</v>
      </c>
      <c r="K16" s="39">
        <v>1305.0239999999999</v>
      </c>
      <c r="L16" s="33">
        <v>22.28</v>
      </c>
    </row>
    <row r="17" spans="1:12">
      <c r="A17" s="10">
        <v>1990</v>
      </c>
      <c r="B17" s="39">
        <f t="shared" si="3"/>
        <v>1305.0239999999999</v>
      </c>
      <c r="C17" s="39">
        <v>13408.047</v>
      </c>
      <c r="D17" s="39">
        <v>17.351088417648</v>
      </c>
      <c r="E17" s="39">
        <f t="shared" si="0"/>
        <v>14730.422088417648</v>
      </c>
      <c r="F17" s="39"/>
      <c r="G17" s="39">
        <f t="shared" si="1"/>
        <v>12136.128088417649</v>
      </c>
      <c r="H17" s="156" t="s">
        <v>511</v>
      </c>
      <c r="I17" s="39">
        <v>808</v>
      </c>
      <c r="J17" s="39">
        <f t="shared" si="2"/>
        <v>12944.128088417649</v>
      </c>
      <c r="K17" s="39">
        <v>1786.2940000000001</v>
      </c>
      <c r="L17" s="33">
        <v>20.98</v>
      </c>
    </row>
    <row r="18" spans="1:12">
      <c r="A18" s="10">
        <v>1991</v>
      </c>
      <c r="B18" s="39">
        <f t="shared" si="3"/>
        <v>1786.2940000000001</v>
      </c>
      <c r="C18" s="39">
        <v>14344.699000000001</v>
      </c>
      <c r="D18" s="39">
        <v>0.54088982316800005</v>
      </c>
      <c r="E18" s="39">
        <f t="shared" si="0"/>
        <v>16131.533889823168</v>
      </c>
      <c r="F18" s="39"/>
      <c r="G18" s="39">
        <f t="shared" si="1"/>
        <v>12248.151889823168</v>
      </c>
      <c r="H18" s="156" t="s">
        <v>511</v>
      </c>
      <c r="I18" s="39">
        <v>1644</v>
      </c>
      <c r="J18" s="39">
        <f t="shared" si="2"/>
        <v>13892.151889823168</v>
      </c>
      <c r="K18" s="39">
        <v>2239.3820000000001</v>
      </c>
      <c r="L18" s="33">
        <v>19.13</v>
      </c>
    </row>
    <row r="19" spans="1:12">
      <c r="A19" s="10">
        <v>1992</v>
      </c>
      <c r="B19" s="39">
        <f t="shared" si="3"/>
        <v>2239.3820000000001</v>
      </c>
      <c r="C19" s="39">
        <v>13778.489</v>
      </c>
      <c r="D19" s="39">
        <v>9.949287</v>
      </c>
      <c r="E19" s="39">
        <f t="shared" si="0"/>
        <v>16027.820286999999</v>
      </c>
      <c r="F19" s="39"/>
      <c r="G19" s="39">
        <f t="shared" si="1"/>
        <v>13012.032286999998</v>
      </c>
      <c r="H19" s="156" t="s">
        <v>511</v>
      </c>
      <c r="I19" s="39">
        <v>1461</v>
      </c>
      <c r="J19" s="39">
        <f t="shared" si="2"/>
        <v>14473.032286999998</v>
      </c>
      <c r="K19" s="39">
        <v>1554.788</v>
      </c>
      <c r="L19" s="33">
        <v>21.24</v>
      </c>
    </row>
    <row r="20" spans="1:12">
      <c r="A20" s="10">
        <v>1993</v>
      </c>
      <c r="B20" s="39">
        <f t="shared" si="3"/>
        <v>1554.788</v>
      </c>
      <c r="C20" s="39">
        <v>13951.210999999999</v>
      </c>
      <c r="D20" s="39">
        <v>67.638728</v>
      </c>
      <c r="E20" s="39">
        <f t="shared" si="0"/>
        <v>15573.637728</v>
      </c>
      <c r="F20" s="39"/>
      <c r="G20" s="39">
        <f t="shared" si="1"/>
        <v>12939.544727999999</v>
      </c>
      <c r="H20" s="156" t="s">
        <v>511</v>
      </c>
      <c r="I20" s="39">
        <v>1531</v>
      </c>
      <c r="J20" s="39">
        <f t="shared" si="2"/>
        <v>14470.544727999999</v>
      </c>
      <c r="K20" s="39">
        <v>1103.0930000000001</v>
      </c>
      <c r="L20" s="33">
        <v>26.96</v>
      </c>
    </row>
    <row r="21" spans="1:12">
      <c r="A21" s="10">
        <v>1994</v>
      </c>
      <c r="B21" s="39">
        <f t="shared" si="3"/>
        <v>1103.0930000000001</v>
      </c>
      <c r="C21" s="39">
        <v>15612.856</v>
      </c>
      <c r="D21" s="39">
        <v>17.2667122193</v>
      </c>
      <c r="E21" s="39">
        <f t="shared" si="0"/>
        <v>16733.215712219302</v>
      </c>
      <c r="F21" s="39"/>
      <c r="G21" s="39">
        <f t="shared" si="1"/>
        <v>12913.532712219301</v>
      </c>
      <c r="H21" s="156" t="s">
        <v>511</v>
      </c>
      <c r="I21" s="39">
        <v>2683</v>
      </c>
      <c r="J21" s="39">
        <f t="shared" si="2"/>
        <v>15596.532712219301</v>
      </c>
      <c r="K21" s="39">
        <v>1136.683</v>
      </c>
      <c r="L21" s="33">
        <v>27.51</v>
      </c>
    </row>
    <row r="22" spans="1:12">
      <c r="A22" s="10">
        <v>1995</v>
      </c>
      <c r="B22" s="39">
        <f t="shared" si="3"/>
        <v>1136.683</v>
      </c>
      <c r="C22" s="39">
        <v>15239.949000000001</v>
      </c>
      <c r="D22" s="39">
        <v>95.399291646666015</v>
      </c>
      <c r="E22" s="39">
        <f t="shared" si="0"/>
        <v>16472.031291646668</v>
      </c>
      <c r="F22" s="39"/>
      <c r="G22" s="39">
        <f t="shared" si="1"/>
        <v>13464.780301804049</v>
      </c>
      <c r="H22" s="156" t="s">
        <v>511</v>
      </c>
      <c r="I22" s="39">
        <v>991.80698984262006</v>
      </c>
      <c r="J22" s="39">
        <f t="shared" si="2"/>
        <v>14456.587291646669</v>
      </c>
      <c r="K22" s="39">
        <v>2015.444</v>
      </c>
      <c r="L22" s="33">
        <v>24.7</v>
      </c>
    </row>
    <row r="23" spans="1:12">
      <c r="A23" s="10">
        <v>1996</v>
      </c>
      <c r="B23" s="39">
        <f t="shared" si="3"/>
        <v>2015.444</v>
      </c>
      <c r="C23" s="39">
        <v>15752.1</v>
      </c>
      <c r="D23" s="39">
        <v>53.115589674126007</v>
      </c>
      <c r="E23" s="39">
        <f t="shared" si="0"/>
        <v>17820.659589674127</v>
      </c>
      <c r="F23" s="39"/>
      <c r="G23" s="39">
        <f t="shared" si="1"/>
        <v>14267.137620924283</v>
      </c>
      <c r="H23" s="156" t="s">
        <v>511</v>
      </c>
      <c r="I23" s="39">
        <v>2033.3389687498443</v>
      </c>
      <c r="J23" s="39">
        <f t="shared" si="2"/>
        <v>16300.476589674126</v>
      </c>
      <c r="K23" s="39">
        <v>1520.183</v>
      </c>
      <c r="L23" s="33">
        <v>22.51</v>
      </c>
    </row>
    <row r="24" spans="1:12">
      <c r="A24" s="10">
        <v>1997</v>
      </c>
      <c r="B24" s="39">
        <f t="shared" si="3"/>
        <v>1520.183</v>
      </c>
      <c r="C24" s="39">
        <v>18142.795999999998</v>
      </c>
      <c r="D24" s="39">
        <v>60.375334962978002</v>
      </c>
      <c r="E24" s="39">
        <f t="shared" si="0"/>
        <v>19723.354334962976</v>
      </c>
      <c r="F24" s="39"/>
      <c r="G24" s="39">
        <f t="shared" si="1"/>
        <v>15261.745387379917</v>
      </c>
      <c r="H24" s="156" t="s">
        <v>511</v>
      </c>
      <c r="I24" s="39">
        <v>3079.2119475830586</v>
      </c>
      <c r="J24" s="39">
        <f t="shared" si="2"/>
        <v>18340.957334962975</v>
      </c>
      <c r="K24" s="39">
        <v>1382.3969999999999</v>
      </c>
      <c r="L24" s="33">
        <v>25.83</v>
      </c>
    </row>
    <row r="25" spans="1:12">
      <c r="A25" s="10">
        <v>1998</v>
      </c>
      <c r="B25" s="39">
        <f t="shared" si="3"/>
        <v>1382.3969999999999</v>
      </c>
      <c r="C25" s="39">
        <v>18078.099999999999</v>
      </c>
      <c r="D25" s="39">
        <v>82.652998385160018</v>
      </c>
      <c r="E25" s="39">
        <f t="shared" si="0"/>
        <v>19543.149998385161</v>
      </c>
      <c r="F25" s="39"/>
      <c r="G25" s="39">
        <f t="shared" si="1"/>
        <v>15651.95116538301</v>
      </c>
      <c r="H25" s="156" t="s">
        <v>511</v>
      </c>
      <c r="I25" s="39">
        <v>2371.6228330021499</v>
      </c>
      <c r="J25" s="39">
        <f t="shared" si="2"/>
        <v>18023.57399838516</v>
      </c>
      <c r="K25" s="39">
        <v>1519.576</v>
      </c>
      <c r="L25" s="33">
        <v>19.8</v>
      </c>
    </row>
    <row r="26" spans="1:12">
      <c r="A26" s="10">
        <v>1999</v>
      </c>
      <c r="B26" s="39">
        <f t="shared" si="3"/>
        <v>1519.576</v>
      </c>
      <c r="C26" s="39">
        <v>17824.746999999999</v>
      </c>
      <c r="D26" s="39">
        <v>82.808437463891991</v>
      </c>
      <c r="E26" s="39">
        <f t="shared" si="0"/>
        <v>19427.131437463893</v>
      </c>
      <c r="F26" s="39"/>
      <c r="G26" s="39">
        <f t="shared" si="1"/>
        <v>16059.095925842572</v>
      </c>
      <c r="H26" s="156" t="s">
        <v>511</v>
      </c>
      <c r="I26" s="39">
        <v>1374.592511621322</v>
      </c>
      <c r="J26" s="39">
        <f t="shared" si="2"/>
        <v>17433.688437463894</v>
      </c>
      <c r="K26" s="39">
        <v>1993.443</v>
      </c>
      <c r="L26" s="33">
        <v>15.59</v>
      </c>
    </row>
    <row r="27" spans="1:12">
      <c r="A27" s="10">
        <v>2000</v>
      </c>
      <c r="B27" s="84">
        <f t="shared" ref="B27:B32" si="4">+K26</f>
        <v>1993.443</v>
      </c>
      <c r="C27" s="84">
        <v>18419.7</v>
      </c>
      <c r="D27" s="84">
        <v>72.998000000000005</v>
      </c>
      <c r="E27" s="39">
        <f t="shared" si="0"/>
        <v>20486.141</v>
      </c>
      <c r="F27" s="84"/>
      <c r="G27" s="84">
        <f t="shared" si="1"/>
        <v>16318.219816251454</v>
      </c>
      <c r="H27" s="156" t="s">
        <v>511</v>
      </c>
      <c r="I27" s="84">
        <v>1401.0221837485442</v>
      </c>
      <c r="J27" s="84">
        <f t="shared" ref="J27:J32" si="5">+E27-K27</f>
        <v>17719.241999999998</v>
      </c>
      <c r="K27" s="84">
        <v>2766.8989999999999</v>
      </c>
      <c r="L27" s="33">
        <v>14.09</v>
      </c>
    </row>
    <row r="28" spans="1:12">
      <c r="A28" s="71">
        <v>2001</v>
      </c>
      <c r="B28" s="84">
        <f t="shared" si="4"/>
        <v>2766.8989999999999</v>
      </c>
      <c r="C28" s="84">
        <v>18898.235000000001</v>
      </c>
      <c r="D28" s="84">
        <v>45.957999999999998</v>
      </c>
      <c r="E28" s="39">
        <f t="shared" si="0"/>
        <v>21711.092000000001</v>
      </c>
      <c r="F28" s="84"/>
      <c r="G28" s="84">
        <f t="shared" si="1"/>
        <v>16833.150143195951</v>
      </c>
      <c r="H28" s="156" t="s">
        <v>511</v>
      </c>
      <c r="I28" s="84">
        <v>2519.341856804052</v>
      </c>
      <c r="J28" s="84">
        <f t="shared" si="5"/>
        <v>19352.492000000002</v>
      </c>
      <c r="K28" s="84">
        <v>2358.6</v>
      </c>
      <c r="L28" s="33">
        <v>16.46</v>
      </c>
    </row>
    <row r="29" spans="1:12">
      <c r="A29" s="71">
        <v>2002</v>
      </c>
      <c r="B29" s="84">
        <f t="shared" si="4"/>
        <v>2358.6</v>
      </c>
      <c r="C29" s="84">
        <v>18430.248</v>
      </c>
      <c r="D29" s="84">
        <v>46.027000000000001</v>
      </c>
      <c r="E29" s="39">
        <f t="shared" si="0"/>
        <v>20834.874999999996</v>
      </c>
      <c r="F29" s="84"/>
      <c r="G29" s="84">
        <f t="shared" ref="G29:G34" si="6">+J29-I29</f>
        <v>17080.895517263172</v>
      </c>
      <c r="H29" s="156" t="s">
        <v>511</v>
      </c>
      <c r="I29" s="84">
        <v>2263.3484827368238</v>
      </c>
      <c r="J29" s="84">
        <f t="shared" si="5"/>
        <v>19344.243999999995</v>
      </c>
      <c r="K29" s="84">
        <v>1490.6310000000001</v>
      </c>
      <c r="L29" s="33">
        <v>22.04</v>
      </c>
    </row>
    <row r="30" spans="1:12">
      <c r="A30" s="71">
        <v>2003</v>
      </c>
      <c r="B30" s="84">
        <f t="shared" si="4"/>
        <v>1490.6310000000001</v>
      </c>
      <c r="C30" s="84">
        <v>17080.411</v>
      </c>
      <c r="D30" s="84">
        <v>306.18687396691797</v>
      </c>
      <c r="E30" s="39">
        <f t="shared" si="0"/>
        <v>18877.22887396692</v>
      </c>
      <c r="F30" s="84"/>
      <c r="G30" s="84">
        <f t="shared" si="6"/>
        <v>16865.617739980244</v>
      </c>
      <c r="H30" s="84">
        <v>137.4</v>
      </c>
      <c r="I30" s="84">
        <v>935.98013398667399</v>
      </c>
      <c r="J30" s="84">
        <f t="shared" si="5"/>
        <v>17801.597873966919</v>
      </c>
      <c r="K30" s="84">
        <v>1075.6310000000001</v>
      </c>
      <c r="L30" s="33">
        <v>29.97</v>
      </c>
    </row>
    <row r="31" spans="1:12">
      <c r="A31" s="71">
        <v>2004</v>
      </c>
      <c r="B31" s="84">
        <f t="shared" si="4"/>
        <v>1075.6310000000001</v>
      </c>
      <c r="C31" s="84">
        <v>19359.734</v>
      </c>
      <c r="D31" s="84">
        <v>26.268284978333998</v>
      </c>
      <c r="E31" s="39">
        <f t="shared" ref="E31:E36" si="7">+B31+C31+D31</f>
        <v>20461.633284978336</v>
      </c>
      <c r="F31" s="84"/>
      <c r="G31" s="84">
        <f t="shared" si="6"/>
        <v>17438.951194781061</v>
      </c>
      <c r="H31" s="84">
        <v>445.23</v>
      </c>
      <c r="I31" s="84">
        <v>1323.6520901972758</v>
      </c>
      <c r="J31" s="84">
        <f t="shared" si="5"/>
        <v>18762.603284978337</v>
      </c>
      <c r="K31" s="84">
        <v>1699.03</v>
      </c>
      <c r="L31" s="33">
        <v>23.01</v>
      </c>
    </row>
    <row r="32" spans="1:12">
      <c r="A32" s="71">
        <v>2005</v>
      </c>
      <c r="B32" s="84">
        <f t="shared" si="4"/>
        <v>1699.03</v>
      </c>
      <c r="C32" s="84">
        <v>20387.420999999998</v>
      </c>
      <c r="D32" s="84">
        <v>35.337008598444001</v>
      </c>
      <c r="E32" s="39">
        <f t="shared" si="7"/>
        <v>22121.78800859844</v>
      </c>
      <c r="F32" s="84"/>
      <c r="G32" s="84">
        <f t="shared" si="6"/>
        <v>17958.607551960602</v>
      </c>
      <c r="H32" s="84">
        <v>1555.0260000000001</v>
      </c>
      <c r="I32" s="84">
        <v>1153.354456637838</v>
      </c>
      <c r="J32" s="84">
        <f t="shared" si="5"/>
        <v>19111.962008598439</v>
      </c>
      <c r="K32" s="84">
        <v>3009.826</v>
      </c>
      <c r="L32" s="33">
        <v>23.41</v>
      </c>
    </row>
    <row r="33" spans="1:12">
      <c r="A33" s="71">
        <v>2006</v>
      </c>
      <c r="B33" s="84">
        <f t="shared" ref="B33:B38" si="8">+K32</f>
        <v>3009.826</v>
      </c>
      <c r="C33" s="84">
        <v>20488.99351</v>
      </c>
      <c r="D33" s="84">
        <v>37.473177085344005</v>
      </c>
      <c r="E33" s="39">
        <f t="shared" si="7"/>
        <v>23536.292687085344</v>
      </c>
      <c r="F33" s="84"/>
      <c r="G33" s="84">
        <f t="shared" si="6"/>
        <v>18574.448188614173</v>
      </c>
      <c r="H33" s="84">
        <v>2761.4929999999999</v>
      </c>
      <c r="I33" s="84">
        <v>1876.6194984711722</v>
      </c>
      <c r="J33" s="84">
        <f t="shared" ref="J33:J38" si="9">+E33-K33</f>
        <v>20451.067687085346</v>
      </c>
      <c r="K33" s="84">
        <v>3085.2249999999999</v>
      </c>
      <c r="L33" s="33">
        <v>31.02</v>
      </c>
    </row>
    <row r="34" spans="1:12">
      <c r="A34" s="71">
        <v>2007</v>
      </c>
      <c r="B34" s="84">
        <f t="shared" si="8"/>
        <v>3085.2249999999999</v>
      </c>
      <c r="C34" s="84">
        <f>'tab8'!C20/1000</f>
        <v>20579.830779999997</v>
      </c>
      <c r="D34" s="84">
        <f>'tab8'!D20/1000</f>
        <v>65.355102067247998</v>
      </c>
      <c r="E34" s="39">
        <f t="shared" si="7"/>
        <v>23730.410882067245</v>
      </c>
      <c r="F34" s="84"/>
      <c r="G34" s="84">
        <f t="shared" si="6"/>
        <v>18334.765425604342</v>
      </c>
      <c r="H34" s="84">
        <v>3245.2919999999999</v>
      </c>
      <c r="I34" s="84">
        <f>'tab8'!I20/1000</f>
        <v>2911.0484564629019</v>
      </c>
      <c r="J34" s="84">
        <f t="shared" si="9"/>
        <v>21245.813882067243</v>
      </c>
      <c r="K34" s="84">
        <f>'tab8'!K19/1000</f>
        <v>2484.5970000000002</v>
      </c>
      <c r="L34" s="33">
        <v>52.03</v>
      </c>
    </row>
    <row r="35" spans="1:12">
      <c r="A35" s="71">
        <v>2008</v>
      </c>
      <c r="B35" s="84">
        <f t="shared" si="8"/>
        <v>2484.5970000000002</v>
      </c>
      <c r="C35" s="84">
        <f>'tab8'!C34/1000</f>
        <v>18744.967840000001</v>
      </c>
      <c r="D35" s="84">
        <f>'tab8'!D34/1000</f>
        <v>89.577464760251985</v>
      </c>
      <c r="E35" s="39">
        <f t="shared" si="7"/>
        <v>21319.142304760255</v>
      </c>
      <c r="F35" s="84"/>
      <c r="G35" s="84">
        <f t="shared" ref="G35:G40" si="10">+J35-I35</f>
        <v>16265.203884786391</v>
      </c>
      <c r="H35" s="84">
        <v>2068.752</v>
      </c>
      <c r="I35" s="84">
        <f>'tab8'!I34/1000</f>
        <v>2193.4384199738643</v>
      </c>
      <c r="J35" s="84">
        <f t="shared" si="9"/>
        <v>18458.642304760255</v>
      </c>
      <c r="K35" s="84">
        <f>'tab8'!K33/1000</f>
        <v>2860.5</v>
      </c>
      <c r="L35" s="33">
        <v>32.159999999999997</v>
      </c>
    </row>
    <row r="36" spans="1:12">
      <c r="A36" s="71">
        <v>2009</v>
      </c>
      <c r="B36" s="84">
        <f t="shared" si="8"/>
        <v>2860.5</v>
      </c>
      <c r="C36" s="84">
        <f>'tab8'!C48/1000</f>
        <v>19615.31352</v>
      </c>
      <c r="D36" s="84">
        <f>'tab8'!D48/1000</f>
        <v>102.57960440485799</v>
      </c>
      <c r="E36" s="39">
        <f t="shared" si="7"/>
        <v>22578.393124404858</v>
      </c>
      <c r="F36" s="84"/>
      <c r="G36" s="84">
        <f t="shared" si="10"/>
        <v>15813.946153701158</v>
      </c>
      <c r="H36" s="84">
        <v>1680.3030000000001</v>
      </c>
      <c r="I36" s="84">
        <f>'tab8'!I48/1000</f>
        <v>3358.6669707037017</v>
      </c>
      <c r="J36" s="84">
        <f t="shared" si="9"/>
        <v>19172.613124404859</v>
      </c>
      <c r="K36" s="84">
        <f>'tab8'!K47/1000</f>
        <v>3405.78</v>
      </c>
      <c r="L36" s="33">
        <v>35.950000000000003</v>
      </c>
    </row>
    <row r="37" spans="1:12">
      <c r="A37" s="71">
        <v>2010</v>
      </c>
      <c r="B37" s="84">
        <f t="shared" si="8"/>
        <v>3405.78</v>
      </c>
      <c r="C37" s="84">
        <f>'tab8'!C62/1000</f>
        <v>18887.582520000004</v>
      </c>
      <c r="D37" s="84">
        <f>'tab8'!D62/1000</f>
        <v>159.001291527246</v>
      </c>
      <c r="E37" s="39">
        <f t="shared" ref="E37:E42" si="11">+B37+C37+D37</f>
        <v>22452.363811527248</v>
      </c>
      <c r="F37" s="84"/>
      <c r="G37" s="84">
        <f t="shared" si="10"/>
        <v>16544.42941413249</v>
      </c>
      <c r="H37" s="84">
        <v>2737</v>
      </c>
      <c r="I37" s="84">
        <f>'tab8'!I62/1000</f>
        <v>3232.934397394758</v>
      </c>
      <c r="J37" s="84">
        <f t="shared" si="9"/>
        <v>19777.363811527248</v>
      </c>
      <c r="K37" s="84">
        <v>2675</v>
      </c>
      <c r="L37" s="33">
        <v>53.2</v>
      </c>
    </row>
    <row r="38" spans="1:12">
      <c r="A38" s="71">
        <v>2011</v>
      </c>
      <c r="B38" s="84">
        <f t="shared" si="8"/>
        <v>2675</v>
      </c>
      <c r="C38" s="84">
        <v>19740</v>
      </c>
      <c r="D38" s="84">
        <v>149.136403945788</v>
      </c>
      <c r="E38" s="39">
        <f t="shared" si="11"/>
        <v>22564.136403945788</v>
      </c>
      <c r="F38" s="84"/>
      <c r="G38" s="84">
        <f t="shared" si="10"/>
        <v>18510.023666165198</v>
      </c>
      <c r="H38" s="84">
        <v>4874</v>
      </c>
      <c r="I38" s="84">
        <v>1464.1127377805883</v>
      </c>
      <c r="J38" s="84">
        <f t="shared" si="9"/>
        <v>19974.136403945788</v>
      </c>
      <c r="K38" s="227">
        <v>2590</v>
      </c>
      <c r="L38" s="33">
        <v>51.9</v>
      </c>
    </row>
    <row r="39" spans="1:12">
      <c r="A39" s="71">
        <v>2012</v>
      </c>
      <c r="B39" s="84">
        <f t="shared" ref="B39:B44" si="12">+K38</f>
        <v>2590</v>
      </c>
      <c r="C39" s="84">
        <v>19820</v>
      </c>
      <c r="D39" s="84">
        <v>195.5896232903676</v>
      </c>
      <c r="E39" s="39">
        <f t="shared" si="11"/>
        <v>22605.589623290369</v>
      </c>
      <c r="F39" s="84"/>
      <c r="G39" s="84">
        <f t="shared" si="10"/>
        <v>18787.095713116814</v>
      </c>
      <c r="H39" s="84">
        <v>4689</v>
      </c>
      <c r="I39" s="84">
        <v>2163.493910173554</v>
      </c>
      <c r="J39" s="84">
        <f>+E39-K39</f>
        <v>20950.589623290369</v>
      </c>
      <c r="K39" s="227">
        <v>1655</v>
      </c>
      <c r="L39" s="33">
        <v>47.13</v>
      </c>
    </row>
    <row r="40" spans="1:12">
      <c r="A40" s="71">
        <v>2013</v>
      </c>
      <c r="B40" s="84">
        <f t="shared" si="12"/>
        <v>1655</v>
      </c>
      <c r="C40" s="84">
        <v>20130</v>
      </c>
      <c r="D40" s="84">
        <v>165.03584988615484</v>
      </c>
      <c r="E40" s="39">
        <f t="shared" si="11"/>
        <v>21950.035849886153</v>
      </c>
      <c r="F40" s="84"/>
      <c r="G40" s="84">
        <f t="shared" si="10"/>
        <v>18907.953572597096</v>
      </c>
      <c r="H40" s="84">
        <v>5010.29</v>
      </c>
      <c r="I40" s="84">
        <v>1877.0822772890576</v>
      </c>
      <c r="J40" s="84">
        <f>+E40-K40</f>
        <v>20785.035849886153</v>
      </c>
      <c r="K40" s="227">
        <v>1165</v>
      </c>
      <c r="L40" s="33">
        <v>38.229999999999997</v>
      </c>
    </row>
    <row r="41" spans="1:12">
      <c r="A41" s="71">
        <v>2014</v>
      </c>
      <c r="B41" s="84">
        <f t="shared" si="12"/>
        <v>1165</v>
      </c>
      <c r="C41" s="227">
        <v>21399</v>
      </c>
      <c r="D41" s="227">
        <v>264.33291896083801</v>
      </c>
      <c r="E41" s="39">
        <f t="shared" si="11"/>
        <v>22828.332918960838</v>
      </c>
      <c r="F41" s="84"/>
      <c r="G41" s="84">
        <f>+J41-I41</f>
        <v>18959.434800477735</v>
      </c>
      <c r="H41" s="227">
        <v>5038.59</v>
      </c>
      <c r="I41" s="227">
        <v>2014.0801184831043</v>
      </c>
      <c r="J41" s="84">
        <f>+E41-K41</f>
        <v>20973.514918960838</v>
      </c>
      <c r="K41" s="227">
        <v>1854.818</v>
      </c>
      <c r="L41" s="233">
        <v>31.6</v>
      </c>
    </row>
    <row r="42" spans="1:12">
      <c r="A42" s="71">
        <v>2015</v>
      </c>
      <c r="B42" s="84">
        <f t="shared" si="12"/>
        <v>1854.818</v>
      </c>
      <c r="C42" s="227">
        <f>'tab8'!C76/1000</f>
        <v>21950.231</v>
      </c>
      <c r="D42" s="227">
        <f>'tab8'!D76/1000</f>
        <v>286.55315418454205</v>
      </c>
      <c r="E42" s="39">
        <f t="shared" si="11"/>
        <v>24091.60215418454</v>
      </c>
      <c r="F42" s="84"/>
      <c r="G42" s="84">
        <f>+J42-I42</f>
        <v>20162.2479225438</v>
      </c>
      <c r="H42" s="227">
        <f>'tab8'!H76/1000</f>
        <v>5670.21</v>
      </c>
      <c r="I42" s="227">
        <f>'tab8'!I76/1000</f>
        <v>2242.5412316407378</v>
      </c>
      <c r="J42" s="84">
        <f>+E42-K42</f>
        <v>22404.789154184538</v>
      </c>
      <c r="K42" s="227">
        <f>'tab8'!K75/1000</f>
        <v>1686.8130000000001</v>
      </c>
      <c r="L42" s="233">
        <v>29.86</v>
      </c>
    </row>
    <row r="43" spans="1:12">
      <c r="A43" s="71">
        <v>2016</v>
      </c>
      <c r="B43" s="84">
        <f t="shared" si="12"/>
        <v>1686.8130000000001</v>
      </c>
      <c r="C43" s="227">
        <f>'tab8'!C90/1000</f>
        <v>22123.409</v>
      </c>
      <c r="D43" s="227">
        <f>'tab8'!D90/1000</f>
        <v>318.704386989618</v>
      </c>
      <c r="E43" s="39">
        <f>+B43+C43+D43</f>
        <v>24128.92638698962</v>
      </c>
      <c r="F43" s="84"/>
      <c r="G43" s="84">
        <f>+J43-I43</f>
        <v>19861.663646747144</v>
      </c>
      <c r="H43" s="227">
        <f>'tab8'!H90/1000</f>
        <v>6200.3</v>
      </c>
      <c r="I43" s="227">
        <f>'tab8'!I90/1000</f>
        <v>2556.3087402424744</v>
      </c>
      <c r="J43" s="84">
        <f>+E43-K43</f>
        <v>22417.972386989619</v>
      </c>
      <c r="K43" s="227">
        <f>'tab8'!K89/1000</f>
        <v>1710.954</v>
      </c>
      <c r="L43" s="233">
        <v>32.479999999999997</v>
      </c>
    </row>
    <row r="44" spans="1:12">
      <c r="A44" s="130" t="s">
        <v>662</v>
      </c>
      <c r="B44" s="40">
        <f t="shared" si="12"/>
        <v>1710.954</v>
      </c>
      <c r="C44" s="226">
        <v>22640</v>
      </c>
      <c r="D44" s="226">
        <v>300</v>
      </c>
      <c r="E44" s="40">
        <f>+B44+C44+D44</f>
        <v>24650.954000000002</v>
      </c>
      <c r="F44" s="40"/>
      <c r="G44" s="40">
        <f>+J44-I44</f>
        <v>21000</v>
      </c>
      <c r="H44" s="226">
        <v>7200</v>
      </c>
      <c r="I44" s="226">
        <v>1900</v>
      </c>
      <c r="J44" s="40">
        <v>22900</v>
      </c>
      <c r="K44" s="226">
        <v>1751</v>
      </c>
      <c r="L44" s="353" t="s">
        <v>734</v>
      </c>
    </row>
    <row r="45" spans="1:12" ht="13.25" customHeight="1">
      <c r="A45" s="117" t="s">
        <v>173</v>
      </c>
    </row>
    <row r="46" spans="1:12" ht="13.25" customHeight="1">
      <c r="A46" s="117" t="s">
        <v>599</v>
      </c>
    </row>
    <row r="47" spans="1:12" ht="13.25" customHeight="1">
      <c r="A47" s="159" t="s">
        <v>600</v>
      </c>
    </row>
    <row r="48" spans="1:12">
      <c r="A48" t="s">
        <v>598</v>
      </c>
      <c r="L48" s="305" t="s">
        <v>679</v>
      </c>
    </row>
  </sheetData>
  <phoneticPr fontId="0" type="noConversion"/>
  <pageMargins left="0.7" right="0.7" top="0.75" bottom="0.75" header="0.3" footer="0.3"/>
  <pageSetup scale="81" firstPageNumber="32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340"/>
  <sheetViews>
    <sheetView tabSelected="1" zoomScale="88" zoomScaleNormal="100" zoomScaleSheetLayoutView="75" workbookViewId="0">
      <pane xSplit="1" ySplit="6" topLeftCell="C15" activePane="bottomRight" state="frozen"/>
      <selection pane="topRight" activeCell="B1" sqref="B1"/>
      <selection pane="bottomLeft" activeCell="A7" sqref="A7"/>
      <selection pane="bottomRight" activeCell="P30" sqref="P30"/>
    </sheetView>
  </sheetViews>
  <sheetFormatPr baseColWidth="10" defaultColWidth="8.75" defaultRowHeight="11"/>
  <cols>
    <col min="1" max="1" width="12.25" customWidth="1"/>
    <col min="2" max="3" width="16.75" customWidth="1"/>
    <col min="4" max="4" width="15.75" customWidth="1"/>
    <col min="5" max="5" width="16.75" customWidth="1"/>
    <col min="6" max="8" width="15.75" customWidth="1"/>
    <col min="9" max="10" width="16.75" customWidth="1"/>
    <col min="16" max="16" width="10.25" bestFit="1" customWidth="1"/>
    <col min="17" max="17" width="14" bestFit="1" customWidth="1"/>
  </cols>
  <sheetData>
    <row r="1" spans="1:17">
      <c r="A1" s="150" t="s">
        <v>691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7">
      <c r="B2" s="314"/>
      <c r="C2" s="349" t="s">
        <v>119</v>
      </c>
      <c r="D2" s="314"/>
      <c r="E2" s="314"/>
      <c r="F2" s="314"/>
      <c r="G2" s="339" t="s">
        <v>117</v>
      </c>
      <c r="H2" s="314"/>
      <c r="I2" s="314"/>
    </row>
    <row r="3" spans="1:17">
      <c r="A3" t="s">
        <v>147</v>
      </c>
      <c r="B3" s="187" t="s">
        <v>141</v>
      </c>
      <c r="C3" s="7"/>
      <c r="D3" s="7"/>
      <c r="E3" s="7"/>
      <c r="F3" s="7"/>
      <c r="G3" s="7"/>
      <c r="H3" s="7"/>
      <c r="I3" s="7"/>
      <c r="J3" s="188" t="s">
        <v>143</v>
      </c>
    </row>
    <row r="4" spans="1:17">
      <c r="A4" t="s">
        <v>100</v>
      </c>
      <c r="B4" s="188" t="s">
        <v>110</v>
      </c>
      <c r="C4" s="10" t="s">
        <v>66</v>
      </c>
      <c r="D4" s="7" t="s">
        <v>88</v>
      </c>
      <c r="E4" s="189" t="s">
        <v>286</v>
      </c>
      <c r="F4" s="189" t="s">
        <v>111</v>
      </c>
      <c r="G4" s="188" t="s">
        <v>90</v>
      </c>
      <c r="H4" s="187" t="s">
        <v>507</v>
      </c>
      <c r="I4" s="189" t="s">
        <v>286</v>
      </c>
      <c r="J4" s="188" t="s">
        <v>110</v>
      </c>
      <c r="P4" t="str">
        <f>C4</f>
        <v>Production</v>
      </c>
      <c r="Q4" t="str">
        <f>G4</f>
        <v>Exports</v>
      </c>
    </row>
    <row r="5" spans="1:17">
      <c r="A5" s="1" t="s">
        <v>186</v>
      </c>
      <c r="B5" s="1"/>
      <c r="C5" s="1"/>
      <c r="D5" s="1"/>
      <c r="E5" s="1"/>
      <c r="F5" s="1"/>
      <c r="G5" s="1"/>
      <c r="H5" s="190" t="s">
        <v>508</v>
      </c>
      <c r="I5" s="1"/>
      <c r="J5" s="1"/>
    </row>
    <row r="6" spans="1:17">
      <c r="C6" s="38"/>
      <c r="D6" s="38"/>
      <c r="E6" s="38"/>
      <c r="F6" s="38" t="s">
        <v>4</v>
      </c>
      <c r="G6" s="38"/>
      <c r="H6" s="38"/>
      <c r="I6" s="38"/>
      <c r="J6" s="38"/>
    </row>
    <row r="7" spans="1:17">
      <c r="A7" t="s">
        <v>388</v>
      </c>
      <c r="B7" s="81"/>
      <c r="C7" s="81"/>
      <c r="D7" s="81"/>
      <c r="E7" s="81"/>
      <c r="F7" s="81"/>
      <c r="G7" s="81"/>
      <c r="H7" s="81"/>
      <c r="I7" s="81"/>
      <c r="J7" s="81"/>
      <c r="O7">
        <v>2000</v>
      </c>
      <c r="P7">
        <f>C12</f>
        <v>2757810</v>
      </c>
      <c r="Q7">
        <f>G12</f>
        <v>995871.18845340004</v>
      </c>
    </row>
    <row r="8" spans="1:17">
      <c r="A8" t="s">
        <v>515</v>
      </c>
      <c r="B8" s="81">
        <v>290162</v>
      </c>
      <c r="C8" s="81">
        <v>2757810</v>
      </c>
      <c r="D8" s="81">
        <v>901.03367784990019</v>
      </c>
      <c r="E8" s="81">
        <f>SUM(B8:D8)</f>
        <v>3048873.0336778499</v>
      </c>
      <c r="F8" s="81">
        <v>421136.66666666669</v>
      </c>
      <c r="G8" s="81">
        <v>315767.60487929999</v>
      </c>
      <c r="H8" s="81">
        <f>I8-F8-G8</f>
        <v>71977.762131883239</v>
      </c>
      <c r="I8" s="81">
        <f>E8-J8</f>
        <v>808882.03367784992</v>
      </c>
      <c r="J8" s="81">
        <f>'tab01'!D10</f>
        <v>2239991</v>
      </c>
      <c r="O8">
        <v>2001</v>
      </c>
      <c r="P8">
        <f>C19</f>
        <v>2890682</v>
      </c>
      <c r="Q8">
        <f>G19</f>
        <v>1063651.4467383001</v>
      </c>
    </row>
    <row r="9" spans="1:17">
      <c r="A9" t="s">
        <v>514</v>
      </c>
      <c r="B9" s="81">
        <f>J8</f>
        <v>2239991</v>
      </c>
      <c r="C9" s="156" t="s">
        <v>511</v>
      </c>
      <c r="D9" s="81">
        <v>800.01951453269999</v>
      </c>
      <c r="E9" s="81">
        <f>SUM(B9:D9)</f>
        <v>2240791.0195145328</v>
      </c>
      <c r="F9" s="81">
        <v>417936.66666666663</v>
      </c>
      <c r="G9" s="81">
        <v>336291.09246390004</v>
      </c>
      <c r="H9" s="81">
        <f>I9-F9-G9</f>
        <v>82655.260383966088</v>
      </c>
      <c r="I9" s="81">
        <f>E9-J9</f>
        <v>836883.01951453276</v>
      </c>
      <c r="J9" s="81">
        <f>'tab01'!D11</f>
        <v>1403908</v>
      </c>
      <c r="O9">
        <v>2002</v>
      </c>
      <c r="P9">
        <f>C26</f>
        <v>2756147</v>
      </c>
      <c r="Q9">
        <f>G26</f>
        <v>1044372.1008357001</v>
      </c>
    </row>
    <row r="10" spans="1:17">
      <c r="A10" t="s">
        <v>512</v>
      </c>
      <c r="B10" s="81">
        <f>J9</f>
        <v>1403908</v>
      </c>
      <c r="C10" s="156" t="s">
        <v>511</v>
      </c>
      <c r="D10" s="81">
        <v>813.36670030139999</v>
      </c>
      <c r="E10" s="81">
        <f>SUM(B10:D10)</f>
        <v>1404721.3667003014</v>
      </c>
      <c r="F10" s="81">
        <v>405486.66666666669</v>
      </c>
      <c r="G10" s="81">
        <v>227730.25083480001</v>
      </c>
      <c r="H10" s="81">
        <f>I10-F10-G10</f>
        <v>63324.449198834714</v>
      </c>
      <c r="I10" s="81">
        <f>E10-J10</f>
        <v>696541.36670030141</v>
      </c>
      <c r="J10" s="81">
        <f>'tab01'!D12</f>
        <v>708180</v>
      </c>
      <c r="O10">
        <v>2003</v>
      </c>
      <c r="P10">
        <f>C33</f>
        <v>2453845</v>
      </c>
      <c r="Q10">
        <f>G33</f>
        <v>886550.56059570005</v>
      </c>
    </row>
    <row r="11" spans="1:17">
      <c r="A11" t="s">
        <v>513</v>
      </c>
      <c r="B11" s="81">
        <f>J10</f>
        <v>708180</v>
      </c>
      <c r="C11" s="156" t="s">
        <v>511</v>
      </c>
      <c r="D11" s="81">
        <v>1053.4054292496</v>
      </c>
      <c r="E11" s="81">
        <f>SUM(B11:D11)</f>
        <v>709233.40542924963</v>
      </c>
      <c r="F11" s="81">
        <v>395110</v>
      </c>
      <c r="G11" s="81">
        <v>116082.24027540002</v>
      </c>
      <c r="H11" s="81">
        <f>I11-F11-G11</f>
        <v>-49705.834846150392</v>
      </c>
      <c r="I11" s="81">
        <f>E11-J11</f>
        <v>461486.40542924963</v>
      </c>
      <c r="J11" s="81">
        <f>'tab01'!D13</f>
        <v>247747</v>
      </c>
      <c r="O11">
        <v>2004</v>
      </c>
      <c r="P11">
        <f>C40</f>
        <v>3123790</v>
      </c>
      <c r="Q11">
        <f>G40</f>
        <v>1097156.2998144</v>
      </c>
    </row>
    <row r="12" spans="1:17">
      <c r="A12" t="s">
        <v>438</v>
      </c>
      <c r="B12" s="81"/>
      <c r="C12" s="81">
        <f>SUM(C8:C11)</f>
        <v>2757810</v>
      </c>
      <c r="D12" s="81">
        <f>SUM(D8:D11)</f>
        <v>3567.8253219336002</v>
      </c>
      <c r="E12" s="81">
        <f>B8+D12+C12</f>
        <v>3051539.8253219337</v>
      </c>
      <c r="F12" s="81">
        <f>SUM(F8:F11)</f>
        <v>1639670</v>
      </c>
      <c r="G12" s="81">
        <f>SUM(G8:G11)</f>
        <v>995871.18845340004</v>
      </c>
      <c r="H12" s="81">
        <f>SUM(H8:H11)</f>
        <v>168251.63686853365</v>
      </c>
      <c r="I12" s="81">
        <f>SUM(I8:I11)</f>
        <v>2803792.8253219337</v>
      </c>
      <c r="J12" s="81"/>
      <c r="O12">
        <v>2005</v>
      </c>
      <c r="P12">
        <f>C47</f>
        <v>3068342</v>
      </c>
      <c r="Q12">
        <f>G47</f>
        <v>939878.75005290005</v>
      </c>
    </row>
    <row r="13" spans="1:17">
      <c r="B13" s="81"/>
      <c r="C13" s="81"/>
      <c r="D13" s="81"/>
      <c r="E13" s="81"/>
      <c r="F13" s="81"/>
      <c r="G13" s="81"/>
      <c r="H13" s="81"/>
      <c r="I13" s="81"/>
      <c r="J13" s="81"/>
      <c r="O13">
        <v>2006</v>
      </c>
      <c r="P13">
        <f>C54</f>
        <v>3196726</v>
      </c>
      <c r="Q13">
        <f>G54</f>
        <v>1116495.8686412999</v>
      </c>
    </row>
    <row r="14" spans="1:17">
      <c r="A14" t="s">
        <v>396</v>
      </c>
      <c r="B14" s="81"/>
      <c r="C14" s="81"/>
      <c r="D14" s="81"/>
      <c r="E14" s="81"/>
      <c r="F14" s="81"/>
      <c r="G14" s="81"/>
      <c r="H14" s="81"/>
      <c r="I14" s="81"/>
      <c r="J14" s="81"/>
      <c r="O14">
        <v>2007</v>
      </c>
      <c r="P14">
        <f>C61</f>
        <v>2677117</v>
      </c>
      <c r="Q14">
        <f>G61</f>
        <v>1158829.057029</v>
      </c>
    </row>
    <row r="15" spans="1:17">
      <c r="A15" t="s">
        <v>509</v>
      </c>
      <c r="B15" s="81">
        <f>J11</f>
        <v>247747</v>
      </c>
      <c r="C15" s="81">
        <v>2890682</v>
      </c>
      <c r="D15" s="81">
        <v>845.7440361992999</v>
      </c>
      <c r="E15" s="81">
        <f>SUM(B15:D15)</f>
        <v>3139274.7440361995</v>
      </c>
      <c r="F15" s="81">
        <v>427540</v>
      </c>
      <c r="G15" s="81">
        <v>348619.37543160003</v>
      </c>
      <c r="H15" s="81">
        <f>I15-F15-G15</f>
        <v>87497.368604599498</v>
      </c>
      <c r="I15" s="81">
        <f>E15-J15</f>
        <v>863656.74403619952</v>
      </c>
      <c r="J15" s="81">
        <f>'tab01'!D15</f>
        <v>2275618</v>
      </c>
      <c r="O15">
        <v>2008</v>
      </c>
      <c r="P15">
        <f>C68</f>
        <v>2967007</v>
      </c>
      <c r="Q15">
        <f>G68</f>
        <v>1279293.5714286</v>
      </c>
    </row>
    <row r="16" spans="1:17">
      <c r="A16" t="s">
        <v>510</v>
      </c>
      <c r="B16" s="81">
        <f>J15</f>
        <v>2275618</v>
      </c>
      <c r="C16" s="156" t="s">
        <v>511</v>
      </c>
      <c r="D16" s="81">
        <v>637.56363838650009</v>
      </c>
      <c r="E16" s="81">
        <f>SUM(B16:D16)</f>
        <v>2276255.5636383863</v>
      </c>
      <c r="F16" s="81">
        <v>447596.73333333328</v>
      </c>
      <c r="G16" s="81">
        <v>422449.30020299996</v>
      </c>
      <c r="H16" s="81">
        <f>I16-F16-G16</f>
        <v>70222.530102053075</v>
      </c>
      <c r="I16" s="81">
        <f>E16-J16</f>
        <v>940268.56363838632</v>
      </c>
      <c r="J16" s="81">
        <f>'tab01'!D16</f>
        <v>1335987</v>
      </c>
      <c r="O16">
        <v>2009</v>
      </c>
      <c r="P16">
        <f>C75</f>
        <v>3360931</v>
      </c>
      <c r="Q16">
        <f>G75</f>
        <v>1499048.1245103001</v>
      </c>
    </row>
    <row r="17" spans="1:17">
      <c r="A17" t="s">
        <v>512</v>
      </c>
      <c r="B17" s="81">
        <f>J16</f>
        <v>1335987</v>
      </c>
      <c r="C17" s="156" t="s">
        <v>511</v>
      </c>
      <c r="D17" s="81">
        <v>461.73753817170001</v>
      </c>
      <c r="E17" s="81">
        <f>SUM(B17:D17)</f>
        <v>1336448.7375381717</v>
      </c>
      <c r="F17" s="81">
        <v>429615.9</v>
      </c>
      <c r="G17" s="81">
        <v>155298.12989879999</v>
      </c>
      <c r="H17" s="81">
        <f>I17-F17-G17</f>
        <v>66613.707639371685</v>
      </c>
      <c r="I17" s="81">
        <f>E17-J17</f>
        <v>651527.7375381717</v>
      </c>
      <c r="J17" s="81">
        <f>'tab01'!D17</f>
        <v>684921</v>
      </c>
      <c r="O17">
        <v>2010</v>
      </c>
      <c r="P17">
        <f>C82</f>
        <v>3331306</v>
      </c>
      <c r="Q17">
        <f>G82</f>
        <v>1504977.6390978</v>
      </c>
    </row>
    <row r="18" spans="1:17">
      <c r="A18" t="s">
        <v>513</v>
      </c>
      <c r="B18" s="81">
        <f>J17</f>
        <v>684921</v>
      </c>
      <c r="C18" s="156" t="s">
        <v>511</v>
      </c>
      <c r="D18" s="81">
        <v>374.72915470199996</v>
      </c>
      <c r="E18" s="81">
        <f>SUM(B18:D18)</f>
        <v>685295.72915470204</v>
      </c>
      <c r="F18" s="81">
        <v>394988.16666666669</v>
      </c>
      <c r="G18" s="81">
        <v>137284.64120490002</v>
      </c>
      <c r="H18" s="81">
        <f>I18-F18-G18</f>
        <v>-55038.078716864664</v>
      </c>
      <c r="I18" s="81">
        <f>E18-J18</f>
        <v>477234.72915470204</v>
      </c>
      <c r="J18" s="81">
        <f>'tab01'!D18</f>
        <v>208061</v>
      </c>
      <c r="O18">
        <v>2011</v>
      </c>
      <c r="P18">
        <f>C89</f>
        <v>3097179</v>
      </c>
      <c r="Q18">
        <f>G89</f>
        <v>1365250.9814978098</v>
      </c>
    </row>
    <row r="19" spans="1:17">
      <c r="A19" t="s">
        <v>438</v>
      </c>
      <c r="B19" s="81"/>
      <c r="C19" s="81">
        <f>SUM(C15:C18)</f>
        <v>2890682</v>
      </c>
      <c r="D19" s="81">
        <f>SUM(D15:D18)</f>
        <v>2319.7743674594999</v>
      </c>
      <c r="E19" s="81">
        <f>B15+D19+C19</f>
        <v>3140748.7743674596</v>
      </c>
      <c r="F19" s="81">
        <f>SUM(F15:F18)</f>
        <v>1699740.8</v>
      </c>
      <c r="G19" s="81">
        <f>SUM(G15:G18)</f>
        <v>1063651.4467383001</v>
      </c>
      <c r="H19" s="81">
        <f>SUM(H15:H18)</f>
        <v>169295.52762915959</v>
      </c>
      <c r="I19" s="81">
        <f>SUM(I15:I18)</f>
        <v>2932687.77436746</v>
      </c>
      <c r="J19" s="81"/>
      <c r="O19">
        <v>2012</v>
      </c>
      <c r="P19">
        <f>C96</f>
        <v>3042044</v>
      </c>
      <c r="Q19">
        <f>G96</f>
        <v>1327526</v>
      </c>
    </row>
    <row r="20" spans="1:17">
      <c r="B20" s="81"/>
      <c r="C20" s="81"/>
      <c r="D20" s="81"/>
      <c r="E20" s="81"/>
      <c r="F20" s="81"/>
      <c r="G20" s="81"/>
      <c r="H20" s="81"/>
      <c r="I20" s="81"/>
      <c r="J20" s="81"/>
      <c r="O20">
        <v>2013</v>
      </c>
      <c r="P20">
        <f>C103</f>
        <v>3357984</v>
      </c>
      <c r="Q20">
        <f>G103</f>
        <v>1638558.9397691786</v>
      </c>
    </row>
    <row r="21" spans="1:17">
      <c r="A21" t="s">
        <v>409</v>
      </c>
      <c r="B21" s="81"/>
      <c r="C21" s="81"/>
      <c r="D21" s="81"/>
      <c r="E21" s="81"/>
      <c r="F21" s="81"/>
      <c r="G21" s="81"/>
      <c r="H21" s="81"/>
      <c r="I21" s="81"/>
      <c r="J21" s="81"/>
      <c r="O21">
        <v>2014</v>
      </c>
      <c r="P21">
        <f>C110</f>
        <v>3927090</v>
      </c>
      <c r="Q21">
        <f>G110</f>
        <v>1842422.6925928909</v>
      </c>
    </row>
    <row r="22" spans="1:17">
      <c r="A22" t="s">
        <v>509</v>
      </c>
      <c r="B22" s="81">
        <f>J18</f>
        <v>208061</v>
      </c>
      <c r="C22" s="81">
        <v>2756147</v>
      </c>
      <c r="D22" s="81">
        <v>1412.6551980156</v>
      </c>
      <c r="E22" s="81">
        <f>SUM(B22:D22)</f>
        <v>2965620.6551980157</v>
      </c>
      <c r="F22" s="81">
        <v>417505.5</v>
      </c>
      <c r="G22" s="81">
        <v>320403.85145790002</v>
      </c>
      <c r="H22" s="81">
        <f>I22-F22-G22</f>
        <v>112338.30374011572</v>
      </c>
      <c r="I22" s="81">
        <f>E22-J22</f>
        <v>850247.65519801574</v>
      </c>
      <c r="J22" s="81">
        <f>'tab01'!D20</f>
        <v>2115373</v>
      </c>
      <c r="O22">
        <v>2015</v>
      </c>
      <c r="P22">
        <f>C129</f>
        <v>3926339</v>
      </c>
      <c r="Q22">
        <f>G129</f>
        <v>1942256.289243398</v>
      </c>
    </row>
    <row r="23" spans="1:17">
      <c r="A23" t="s">
        <v>510</v>
      </c>
      <c r="B23" s="81">
        <f>J22</f>
        <v>2115373</v>
      </c>
      <c r="C23" s="156" t="s">
        <v>511</v>
      </c>
      <c r="D23" s="81">
        <v>1094.9477462385</v>
      </c>
      <c r="E23" s="81">
        <f>SUM(B23:D23)</f>
        <v>2116467.9477462387</v>
      </c>
      <c r="F23" s="81">
        <v>422028.2</v>
      </c>
      <c r="G23" s="81">
        <v>425471.32255320007</v>
      </c>
      <c r="H23" s="81">
        <f>I23-F23-G23</f>
        <v>66940.425193038594</v>
      </c>
      <c r="I23" s="81">
        <f>E23-J23</f>
        <v>914439.94774623867</v>
      </c>
      <c r="J23" s="81">
        <f>'tab01'!D21</f>
        <v>1202028</v>
      </c>
      <c r="O23">
        <v>2016</v>
      </c>
      <c r="P23">
        <f>C148</f>
        <v>4296086</v>
      </c>
      <c r="Q23">
        <f>G148</f>
        <v>2173652.5417372668</v>
      </c>
    </row>
    <row r="24" spans="1:17">
      <c r="A24" t="s">
        <v>512</v>
      </c>
      <c r="B24" s="81">
        <f>J23</f>
        <v>1202028</v>
      </c>
      <c r="C24" s="156" t="s">
        <v>511</v>
      </c>
      <c r="D24" s="81">
        <v>1242.2369620794</v>
      </c>
      <c r="E24" s="81">
        <f>SUM(B24:D24)</f>
        <v>1203270.2369620793</v>
      </c>
      <c r="F24" s="81">
        <v>399520</v>
      </c>
      <c r="G24" s="81">
        <v>194410.18182599999</v>
      </c>
      <c r="H24" s="81">
        <f>I24-F24-G24</f>
        <v>6978.0551360793179</v>
      </c>
      <c r="I24" s="81">
        <f>E24-J24</f>
        <v>600908.2369620793</v>
      </c>
      <c r="J24" s="81">
        <f>'tab01'!D22</f>
        <v>602362</v>
      </c>
    </row>
    <row r="25" spans="1:17">
      <c r="A25" t="s">
        <v>513</v>
      </c>
      <c r="B25" s="81">
        <f>J24</f>
        <v>602362</v>
      </c>
      <c r="C25" s="156" t="s">
        <v>511</v>
      </c>
      <c r="D25" s="81">
        <v>911.13834232470003</v>
      </c>
      <c r="E25" s="81">
        <f>SUM(B25:D25)</f>
        <v>603273.13834232464</v>
      </c>
      <c r="F25" s="81">
        <v>375733.73333333334</v>
      </c>
      <c r="G25" s="81">
        <v>104086.74499860001</v>
      </c>
      <c r="H25" s="81">
        <f>I25-F25-G25</f>
        <v>-54876.339989608707</v>
      </c>
      <c r="I25" s="81">
        <f>E25-J25</f>
        <v>424944.13834232464</v>
      </c>
      <c r="J25" s="81">
        <f>'tab01'!D23</f>
        <v>178329</v>
      </c>
    </row>
    <row r="26" spans="1:17">
      <c r="A26" t="s">
        <v>516</v>
      </c>
      <c r="B26" s="81"/>
      <c r="C26" s="81">
        <f>SUM(C22:C25)</f>
        <v>2756147</v>
      </c>
      <c r="D26" s="81">
        <f>SUM(D22:D25)</f>
        <v>4660.9782486581998</v>
      </c>
      <c r="E26" s="81">
        <f>B22+D26+C26</f>
        <v>2968868.9782486581</v>
      </c>
      <c r="F26" s="81">
        <f>SUM(F22:F25)</f>
        <v>1614787.4333333333</v>
      </c>
      <c r="G26" s="81">
        <f>SUM(G22:G25)</f>
        <v>1044372.1008357001</v>
      </c>
      <c r="H26" s="81">
        <f>SUM(H22:H25)</f>
        <v>131380.44407962493</v>
      </c>
      <c r="I26" s="81">
        <f>SUM(I22:I25)</f>
        <v>2790539.9782486586</v>
      </c>
      <c r="J26" s="81"/>
      <c r="P26">
        <f>P23-P7</f>
        <v>1538276</v>
      </c>
      <c r="Q26">
        <f>Q23-Q7</f>
        <v>1177781.3532838668</v>
      </c>
    </row>
    <row r="27" spans="1:17">
      <c r="B27" s="81"/>
      <c r="C27" s="81"/>
      <c r="D27" s="81"/>
      <c r="E27" s="81"/>
      <c r="F27" s="81"/>
      <c r="G27" s="81"/>
      <c r="H27" s="81"/>
      <c r="I27" s="81"/>
      <c r="J27" s="81"/>
      <c r="P27" s="374">
        <f>P26*1000*27</f>
        <v>41533452000</v>
      </c>
      <c r="Q27" s="374">
        <f>Q26*1000*27</f>
        <v>31800096538.664406</v>
      </c>
    </row>
    <row r="28" spans="1:17">
      <c r="A28" t="s">
        <v>419</v>
      </c>
      <c r="B28" s="81"/>
      <c r="C28" s="81"/>
      <c r="D28" s="81"/>
      <c r="E28" s="81"/>
      <c r="F28" s="81"/>
      <c r="G28" s="81"/>
      <c r="H28" s="81"/>
      <c r="I28" s="81"/>
      <c r="J28" s="81"/>
      <c r="P28" s="374">
        <f>P27*0.005</f>
        <v>207667260</v>
      </c>
      <c r="Q28" s="374">
        <f>Q27*0.005</f>
        <v>159000482.69332203</v>
      </c>
    </row>
    <row r="29" spans="1:17">
      <c r="A29" t="s">
        <v>509</v>
      </c>
      <c r="B29" s="81">
        <f>J25</f>
        <v>178329</v>
      </c>
      <c r="C29" s="81">
        <v>2453845</v>
      </c>
      <c r="D29" s="81">
        <v>2246.2969250022002</v>
      </c>
      <c r="E29" s="81">
        <f>SUM(B29:D29)</f>
        <v>2634420.2969250022</v>
      </c>
      <c r="F29" s="81">
        <v>419401.43333333335</v>
      </c>
      <c r="G29" s="81">
        <v>383501.30889630003</v>
      </c>
      <c r="H29" s="81">
        <f>I29-F29-G29</f>
        <v>142864.55469536886</v>
      </c>
      <c r="I29" s="81">
        <f>E29-J29</f>
        <v>945767.29692500224</v>
      </c>
      <c r="J29" s="81">
        <f>'tab01'!D25</f>
        <v>1688653</v>
      </c>
      <c r="P29" s="374">
        <f>Q28/P28</f>
        <v>0.76565021705068981</v>
      </c>
    </row>
    <row r="30" spans="1:17">
      <c r="A30" t="s">
        <v>510</v>
      </c>
      <c r="B30" s="81">
        <f>J29</f>
        <v>1688653</v>
      </c>
      <c r="C30" s="156" t="s">
        <v>511</v>
      </c>
      <c r="D30" s="81">
        <v>1383.1406372720999</v>
      </c>
      <c r="E30" s="81">
        <f>SUM(B30:D30)</f>
        <v>1690036.140637272</v>
      </c>
      <c r="F30" s="81">
        <v>423116.96666666667</v>
      </c>
      <c r="G30" s="81">
        <v>333885.59265600005</v>
      </c>
      <c r="H30" s="81">
        <f>I30-F30-G30</f>
        <v>27186.581314605311</v>
      </c>
      <c r="I30" s="81">
        <f>E30-J30</f>
        <v>784189.14063727204</v>
      </c>
      <c r="J30" s="81">
        <f>'tab01'!D26</f>
        <v>905847</v>
      </c>
    </row>
    <row r="31" spans="1:17">
      <c r="A31" t="s">
        <v>512</v>
      </c>
      <c r="B31" s="81">
        <f>J30</f>
        <v>905847</v>
      </c>
      <c r="C31" s="156" t="s">
        <v>511</v>
      </c>
      <c r="D31" s="81">
        <v>994.09903980240006</v>
      </c>
      <c r="E31" s="81">
        <f>SUM(B31:D31)</f>
        <v>906841.09903980244</v>
      </c>
      <c r="F31" s="81">
        <v>359570.86666666664</v>
      </c>
      <c r="G31" s="81">
        <v>123367.22995590001</v>
      </c>
      <c r="H31" s="81">
        <f>I31-F31-G31</f>
        <v>13299.002417235795</v>
      </c>
      <c r="I31" s="81">
        <f>E31-J31</f>
        <v>496237.09903980244</v>
      </c>
      <c r="J31" s="81">
        <f>'tab01'!D27</f>
        <v>410604</v>
      </c>
    </row>
    <row r="32" spans="1:17">
      <c r="A32" t="s">
        <v>513</v>
      </c>
      <c r="B32" s="81">
        <f>J31</f>
        <v>410604</v>
      </c>
      <c r="C32" s="156" t="s">
        <v>511</v>
      </c>
      <c r="D32" s="81">
        <v>938.01691003020005</v>
      </c>
      <c r="E32" s="81">
        <f>SUM(B32:D32)</f>
        <v>411542.01691003022</v>
      </c>
      <c r="F32" s="81">
        <v>327609.46666666667</v>
      </c>
      <c r="G32" s="81">
        <v>45796.429087500008</v>
      </c>
      <c r="H32" s="81">
        <f>I32-F32-G32</f>
        <v>-74277.87884413646</v>
      </c>
      <c r="I32" s="81">
        <f>E32-J32</f>
        <v>299128.01691003022</v>
      </c>
      <c r="J32" s="81">
        <f>'tab01'!D28</f>
        <v>112414</v>
      </c>
    </row>
    <row r="33" spans="1:10">
      <c r="A33" t="s">
        <v>516</v>
      </c>
      <c r="B33" s="81"/>
      <c r="C33" s="81">
        <f>SUM(C29:C32)</f>
        <v>2453845</v>
      </c>
      <c r="D33" s="81">
        <f>SUM(D29:D32)</f>
        <v>5561.5535121068997</v>
      </c>
      <c r="E33" s="81">
        <f>B29+D33+C33</f>
        <v>2637735.5535121071</v>
      </c>
      <c r="F33" s="81">
        <f>SUM(F29:F32)</f>
        <v>1529698.7333333334</v>
      </c>
      <c r="G33" s="81">
        <f>SUM(G29:G32)</f>
        <v>886550.56059570005</v>
      </c>
      <c r="H33" s="81">
        <f>SUM(H29:H32)</f>
        <v>109072.25958307352</v>
      </c>
      <c r="I33" s="81">
        <f>SUM(I29:I32)</f>
        <v>2525321.5535121066</v>
      </c>
      <c r="J33" s="81"/>
    </row>
    <row r="34" spans="1:10">
      <c r="B34" s="81"/>
      <c r="C34" s="81"/>
      <c r="D34" s="81"/>
      <c r="E34" s="81"/>
      <c r="F34" s="81"/>
      <c r="G34" s="81"/>
      <c r="H34" s="81"/>
      <c r="I34" s="81"/>
      <c r="J34" s="81"/>
    </row>
    <row r="35" spans="1:10">
      <c r="A35" t="s">
        <v>422</v>
      </c>
      <c r="B35" s="81"/>
      <c r="C35" s="81"/>
      <c r="D35" s="81"/>
      <c r="E35" s="81"/>
      <c r="F35" s="81"/>
      <c r="G35" s="81"/>
      <c r="H35" s="81"/>
      <c r="I35" s="81"/>
      <c r="J35" s="81"/>
    </row>
    <row r="36" spans="1:10">
      <c r="A36" t="s">
        <v>509</v>
      </c>
      <c r="B36" s="81">
        <f>J32</f>
        <v>112414</v>
      </c>
      <c r="C36" s="81">
        <v>3123790</v>
      </c>
      <c r="D36" s="81">
        <v>970.57274682270008</v>
      </c>
      <c r="E36" s="81">
        <f>SUM(B36:D36)</f>
        <v>3237174.5727468226</v>
      </c>
      <c r="F36" s="81">
        <v>427364.03333333333</v>
      </c>
      <c r="G36" s="81">
        <v>405776.25842880004</v>
      </c>
      <c r="H36" s="81">
        <f>I36-F36-G36</f>
        <v>99394.280984689249</v>
      </c>
      <c r="I36" s="81">
        <f>E36-J36</f>
        <v>932534.57274682261</v>
      </c>
      <c r="J36" s="81">
        <f>'tab01'!D30</f>
        <v>2304640</v>
      </c>
    </row>
    <row r="37" spans="1:10">
      <c r="A37" t="s">
        <v>510</v>
      </c>
      <c r="B37" s="81">
        <f>J36</f>
        <v>2304640</v>
      </c>
      <c r="C37" s="156" t="s">
        <v>511</v>
      </c>
      <c r="D37" s="81">
        <v>1377.3180835953001</v>
      </c>
      <c r="E37" s="81">
        <f>SUM(B37:D37)</f>
        <v>2306017.3180835955</v>
      </c>
      <c r="F37" s="81">
        <v>436184.80000000005</v>
      </c>
      <c r="G37" s="81">
        <v>410684.18792520004</v>
      </c>
      <c r="H37" s="81">
        <f>I37-F37-G37</f>
        <v>77784.330158395402</v>
      </c>
      <c r="I37" s="81">
        <f>E37-J37</f>
        <v>924653.31808359548</v>
      </c>
      <c r="J37" s="81">
        <f>'tab01'!D31</f>
        <v>1381364</v>
      </c>
    </row>
    <row r="38" spans="1:10">
      <c r="A38" t="s">
        <v>512</v>
      </c>
      <c r="B38" s="81">
        <f>J37</f>
        <v>1381364</v>
      </c>
      <c r="C38" s="156" t="s">
        <v>511</v>
      </c>
      <c r="D38" s="81">
        <v>969.65595476399994</v>
      </c>
      <c r="E38" s="81">
        <f>SUM(B38:D38)</f>
        <v>1382333.655954764</v>
      </c>
      <c r="F38" s="81">
        <v>430721.9</v>
      </c>
      <c r="G38" s="81">
        <v>197913.1792092</v>
      </c>
      <c r="H38" s="81">
        <f>I38-F38-G38</f>
        <v>54424.576745563973</v>
      </c>
      <c r="I38" s="81">
        <f>E38-J38</f>
        <v>683059.65595476399</v>
      </c>
      <c r="J38" s="81">
        <f>'tab01'!D32</f>
        <v>699274</v>
      </c>
    </row>
    <row r="39" spans="1:10">
      <c r="A39" t="s">
        <v>513</v>
      </c>
      <c r="B39" s="81">
        <f>J38</f>
        <v>699274</v>
      </c>
      <c r="C39" s="156" t="s">
        <v>511</v>
      </c>
      <c r="D39" s="81">
        <v>2260.0176839688002</v>
      </c>
      <c r="E39" s="81">
        <f>SUM(B39:D39)</f>
        <v>701534.01768396876</v>
      </c>
      <c r="F39" s="81">
        <v>401810.49999999994</v>
      </c>
      <c r="G39" s="81">
        <v>82782.674251200006</v>
      </c>
      <c r="H39" s="81">
        <f>I39-F39-G39</f>
        <v>-38797.156567231184</v>
      </c>
      <c r="I39" s="81">
        <f>E39-J39</f>
        <v>445796.01768396876</v>
      </c>
      <c r="J39" s="81">
        <f>'tab01'!D33</f>
        <v>255738</v>
      </c>
    </row>
    <row r="40" spans="1:10">
      <c r="A40" t="s">
        <v>516</v>
      </c>
      <c r="B40" s="81"/>
      <c r="C40" s="81">
        <f>SUM(C36:C39)</f>
        <v>3123790</v>
      </c>
      <c r="D40" s="81">
        <f>SUM(D36:D39)</f>
        <v>5577.5644691508005</v>
      </c>
      <c r="E40" s="81">
        <f>B36+D40+C40</f>
        <v>3241781.5644691507</v>
      </c>
      <c r="F40" s="81">
        <f>SUM(F36:F39)</f>
        <v>1696081.2333333334</v>
      </c>
      <c r="G40" s="81">
        <f>SUM(G36:G39)</f>
        <v>1097156.2998144</v>
      </c>
      <c r="H40" s="81">
        <f>SUM(H36:H39)</f>
        <v>192806.03132141742</v>
      </c>
      <c r="I40" s="81">
        <f>SUM(I36:I39)</f>
        <v>2986043.5644691512</v>
      </c>
      <c r="J40" s="81"/>
    </row>
    <row r="41" spans="1:10">
      <c r="B41" s="81"/>
      <c r="C41" s="81"/>
      <c r="D41" s="81"/>
      <c r="E41" s="81"/>
      <c r="F41" s="81"/>
      <c r="G41" s="81"/>
      <c r="H41" s="81"/>
      <c r="I41" s="81"/>
      <c r="J41" s="81"/>
    </row>
    <row r="42" spans="1:10">
      <c r="A42" t="s">
        <v>448</v>
      </c>
      <c r="B42" s="81"/>
      <c r="C42" s="81"/>
      <c r="D42" s="81"/>
      <c r="E42" s="81"/>
      <c r="F42" s="81"/>
      <c r="G42" s="81"/>
      <c r="H42" s="81"/>
      <c r="I42" s="81"/>
      <c r="J42" s="81"/>
    </row>
    <row r="43" spans="1:10">
      <c r="A43" t="s">
        <v>509</v>
      </c>
      <c r="B43" s="81">
        <f>J39</f>
        <v>255738</v>
      </c>
      <c r="C43" s="81">
        <v>3068342</v>
      </c>
      <c r="D43" s="81">
        <v>587.62468781730001</v>
      </c>
      <c r="E43" s="81">
        <f>SUM(B43:D43)</f>
        <v>3324667.6246878174</v>
      </c>
      <c r="F43" s="81">
        <v>442350.63333333342</v>
      </c>
      <c r="G43" s="81">
        <v>312634.2123744</v>
      </c>
      <c r="H43" s="81">
        <f>I43-F43-G43</f>
        <v>68256.778980083996</v>
      </c>
      <c r="I43" s="81">
        <f>E43-J43</f>
        <v>823241.62468781741</v>
      </c>
      <c r="J43" s="81">
        <f>'tab01'!D35</f>
        <v>2501426</v>
      </c>
    </row>
    <row r="44" spans="1:10">
      <c r="A44" t="s">
        <v>510</v>
      </c>
      <c r="B44" s="81">
        <f>J43</f>
        <v>2501426</v>
      </c>
      <c r="C44" s="156" t="s">
        <v>511</v>
      </c>
      <c r="D44" s="81">
        <v>777.73802462160006</v>
      </c>
      <c r="E44" s="81">
        <f>SUM(B44:D44)</f>
        <v>2502203.7380246217</v>
      </c>
      <c r="F44" s="81">
        <v>437154.7</v>
      </c>
      <c r="G44" s="81">
        <v>305219.62766400003</v>
      </c>
      <c r="H44" s="81">
        <f>I44-F44-G44</f>
        <v>90623.410360621696</v>
      </c>
      <c r="I44" s="81">
        <f>E44-J44</f>
        <v>832997.73802462174</v>
      </c>
      <c r="J44" s="81">
        <f>'tab01'!D36</f>
        <v>1669206</v>
      </c>
    </row>
    <row r="45" spans="1:10">
      <c r="A45" t="s">
        <v>512</v>
      </c>
      <c r="B45" s="81">
        <f>J44</f>
        <v>1669206</v>
      </c>
      <c r="C45" s="156" t="s">
        <v>511</v>
      </c>
      <c r="D45" s="81">
        <v>956.18894778959998</v>
      </c>
      <c r="E45" s="81">
        <f>SUM(B45:D45)</f>
        <v>1670162.1889477896</v>
      </c>
      <c r="F45" s="81">
        <v>431251.76666666672</v>
      </c>
      <c r="G45" s="81">
        <v>184313.4172467</v>
      </c>
      <c r="H45" s="81">
        <f>I45-F45-G45</f>
        <v>63898.00503442288</v>
      </c>
      <c r="I45" s="81">
        <f>E45-J45</f>
        <v>679463.1889477896</v>
      </c>
      <c r="J45" s="81">
        <f>'tab01'!D37</f>
        <v>990699</v>
      </c>
    </row>
    <row r="46" spans="1:10">
      <c r="A46" t="s">
        <v>513</v>
      </c>
      <c r="B46" s="81">
        <f>J45</f>
        <v>990699</v>
      </c>
      <c r="C46" s="156" t="s">
        <v>511</v>
      </c>
      <c r="D46" s="81">
        <v>1050.4569310431002</v>
      </c>
      <c r="E46" s="81">
        <f>SUM(B46:D46)</f>
        <v>991749.45693104307</v>
      </c>
      <c r="F46" s="81">
        <v>428094.6333333333</v>
      </c>
      <c r="G46" s="81">
        <v>137711.49276779999</v>
      </c>
      <c r="H46" s="81">
        <f>I46-F46-G46</f>
        <v>-23382.66917009023</v>
      </c>
      <c r="I46" s="81">
        <f>E46-J46</f>
        <v>542423.45693104307</v>
      </c>
      <c r="J46" s="81">
        <f>'tab01'!D38</f>
        <v>449326</v>
      </c>
    </row>
    <row r="47" spans="1:10">
      <c r="A47" t="s">
        <v>516</v>
      </c>
      <c r="B47" s="81"/>
      <c r="C47" s="81">
        <f>SUM(C43:C46)</f>
        <v>3068342</v>
      </c>
      <c r="D47" s="81">
        <f>SUM(D43:D46)</f>
        <v>3372.0085912715999</v>
      </c>
      <c r="E47" s="81">
        <f>B43+D47+C47</f>
        <v>3327452.0085912715</v>
      </c>
      <c r="F47" s="81">
        <f>SUM(F43:F46)</f>
        <v>1738851.7333333334</v>
      </c>
      <c r="G47" s="81">
        <f>SUM(G43:G46)</f>
        <v>939878.75005290005</v>
      </c>
      <c r="H47" s="81">
        <f>SUM(H43:H46)</f>
        <v>199395.52520503834</v>
      </c>
      <c r="I47" s="81">
        <f>SUM(I43:I46)</f>
        <v>2878126.0085912715</v>
      </c>
      <c r="J47" s="81"/>
    </row>
    <row r="48" spans="1:10">
      <c r="B48" s="81"/>
      <c r="C48" s="81"/>
      <c r="D48" s="81"/>
      <c r="E48" s="81"/>
      <c r="F48" s="81"/>
      <c r="G48" s="81"/>
      <c r="H48" s="81"/>
      <c r="I48" s="81"/>
      <c r="J48" s="81"/>
    </row>
    <row r="49" spans="1:10">
      <c r="A49" t="s">
        <v>463</v>
      </c>
      <c r="B49" s="81"/>
      <c r="C49" s="81"/>
      <c r="D49" s="81"/>
      <c r="E49" s="81"/>
      <c r="F49" s="81"/>
      <c r="G49" s="81"/>
      <c r="H49" s="81"/>
      <c r="I49" s="81"/>
      <c r="J49" s="81"/>
    </row>
    <row r="50" spans="1:10">
      <c r="A50" t="s">
        <v>509</v>
      </c>
      <c r="B50" s="81">
        <f>J46</f>
        <v>449326</v>
      </c>
      <c r="C50" s="81">
        <v>3196726</v>
      </c>
      <c r="D50" s="81">
        <v>1520.9606341859999</v>
      </c>
      <c r="E50" s="81">
        <f>SUM(B50:D50)</f>
        <v>3647572.9606341859</v>
      </c>
      <c r="F50" s="81">
        <v>459203.3</v>
      </c>
      <c r="G50" s="81">
        <v>373814.78772750002</v>
      </c>
      <c r="H50" s="81">
        <f>I50-F50-G50</f>
        <v>113188.87290668592</v>
      </c>
      <c r="I50" s="81">
        <f>E50-J50</f>
        <v>946206.96063418593</v>
      </c>
      <c r="J50" s="81">
        <f>'tab01'!D40</f>
        <v>2701366</v>
      </c>
    </row>
    <row r="51" spans="1:10">
      <c r="A51" t="s">
        <v>510</v>
      </c>
      <c r="B51" s="81">
        <f>J50</f>
        <v>2701366</v>
      </c>
      <c r="C51" s="156" t="s">
        <v>511</v>
      </c>
      <c r="D51" s="81">
        <v>1910.4139815579001</v>
      </c>
      <c r="E51" s="81">
        <f>SUM(B51:D51)</f>
        <v>2703276.4139815578</v>
      </c>
      <c r="F51" s="81">
        <v>449817.45299999998</v>
      </c>
      <c r="G51" s="81">
        <v>396317.3644815</v>
      </c>
      <c r="H51" s="81">
        <f>I51-F51-G51</f>
        <v>70254.596500057844</v>
      </c>
      <c r="I51" s="81">
        <f>E51-J51</f>
        <v>916389.41398155782</v>
      </c>
      <c r="J51" s="81">
        <f>'tab01'!D41</f>
        <v>1786887</v>
      </c>
    </row>
    <row r="52" spans="1:10">
      <c r="A52" t="s">
        <v>512</v>
      </c>
      <c r="B52" s="81">
        <f>J51</f>
        <v>1786887</v>
      </c>
      <c r="C52" s="156" t="s">
        <v>511</v>
      </c>
      <c r="D52" s="81">
        <v>2568.6628165527</v>
      </c>
      <c r="E52" s="81">
        <f>SUM(B52:D52)</f>
        <v>1789455.6628165527</v>
      </c>
      <c r="F52" s="81">
        <v>453227.99633333331</v>
      </c>
      <c r="G52" s="81">
        <v>210005.31041699997</v>
      </c>
      <c r="H52" s="81">
        <f>I52-F52-G52</f>
        <v>34037.356066219392</v>
      </c>
      <c r="I52" s="81">
        <f>E52-J52</f>
        <v>697270.66281655268</v>
      </c>
      <c r="J52" s="81">
        <f>'tab01'!D42</f>
        <v>1092185</v>
      </c>
    </row>
    <row r="53" spans="1:10">
      <c r="A53" t="s">
        <v>513</v>
      </c>
      <c r="B53" s="81">
        <f>J52</f>
        <v>1092185</v>
      </c>
      <c r="C53" s="156" t="s">
        <v>511</v>
      </c>
      <c r="D53" s="81">
        <v>3033.7137178718999</v>
      </c>
      <c r="E53" s="81">
        <f>SUM(B53:D53)</f>
        <v>1095218.7137178718</v>
      </c>
      <c r="F53" s="81">
        <v>445456.89300000004</v>
      </c>
      <c r="G53" s="81">
        <v>136358.40601530002</v>
      </c>
      <c r="H53" s="81">
        <f>I53-F53-G53</f>
        <v>-60406.585297428246</v>
      </c>
      <c r="I53" s="81">
        <f>E53-J53</f>
        <v>521408.71371787181</v>
      </c>
      <c r="J53" s="81">
        <f>'tab01'!D43</f>
        <v>573810</v>
      </c>
    </row>
    <row r="54" spans="1:10">
      <c r="A54" t="s">
        <v>516</v>
      </c>
      <c r="B54" s="81"/>
      <c r="C54" s="81">
        <f>SUM(C50:C53)</f>
        <v>3196726</v>
      </c>
      <c r="D54" s="81">
        <f>SUM(D50:D53)</f>
        <v>9033.7511501685003</v>
      </c>
      <c r="E54" s="81">
        <f>B50+D54+C54</f>
        <v>3655085.7511501685</v>
      </c>
      <c r="F54" s="81">
        <f>SUM(F50:F53)</f>
        <v>1807705.6423333334</v>
      </c>
      <c r="G54" s="81">
        <f>SUM(G50:G53)</f>
        <v>1116495.8686412999</v>
      </c>
      <c r="H54" s="81">
        <f>SUM(H50:H53)</f>
        <v>157074.24017553491</v>
      </c>
      <c r="I54" s="81">
        <f>SUM(I50:I53)</f>
        <v>3081275.751150168</v>
      </c>
      <c r="J54" s="81"/>
    </row>
    <row r="55" spans="1:10">
      <c r="B55" s="81"/>
      <c r="C55" s="81"/>
      <c r="D55" s="81"/>
      <c r="E55" s="81"/>
      <c r="F55" s="81"/>
      <c r="G55" s="81"/>
      <c r="H55" s="81"/>
      <c r="I55" s="81"/>
      <c r="J55" s="81"/>
    </row>
    <row r="56" spans="1:10">
      <c r="A56" t="s">
        <v>470</v>
      </c>
      <c r="B56" s="81"/>
      <c r="C56" s="81"/>
      <c r="D56" s="81"/>
      <c r="E56" s="81"/>
      <c r="F56" s="81"/>
      <c r="G56" s="81"/>
      <c r="H56" s="81"/>
      <c r="I56" s="81"/>
      <c r="J56" s="81"/>
    </row>
    <row r="57" spans="1:10">
      <c r="A57" t="s">
        <v>509</v>
      </c>
      <c r="B57" s="81">
        <f>J53</f>
        <v>573810</v>
      </c>
      <c r="C57" s="81">
        <f>'tab02'!E53</f>
        <v>2677117</v>
      </c>
      <c r="D57" s="81">
        <v>1568.7447137250001</v>
      </c>
      <c r="E57" s="81">
        <f>SUM(B57:D57)</f>
        <v>3252495.7447137251</v>
      </c>
      <c r="F57" s="81">
        <v>467364.81099999999</v>
      </c>
      <c r="G57" s="81">
        <v>328060.35668910004</v>
      </c>
      <c r="H57" s="81">
        <f>I57-F57-G57</f>
        <v>96710.577024625032</v>
      </c>
      <c r="I57" s="81">
        <f>E57-J57</f>
        <v>892135.74471372506</v>
      </c>
      <c r="J57" s="81">
        <f>'tab01'!D45</f>
        <v>2360360</v>
      </c>
    </row>
    <row r="58" spans="1:10">
      <c r="A58" t="s">
        <v>510</v>
      </c>
      <c r="B58" s="81">
        <f>J57</f>
        <v>2360360</v>
      </c>
      <c r="C58" s="156" t="s">
        <v>511</v>
      </c>
      <c r="D58" s="81">
        <v>3726.7765839738004</v>
      </c>
      <c r="E58" s="81">
        <f>SUM(B58:D58)</f>
        <v>2364086.7765839738</v>
      </c>
      <c r="F58" s="81">
        <v>471037.22666666668</v>
      </c>
      <c r="G58" s="81">
        <v>431289.32001120003</v>
      </c>
      <c r="H58" s="81">
        <f>I58-F58-G58</f>
        <v>27778.229906107066</v>
      </c>
      <c r="I58" s="81">
        <f>E58-J58</f>
        <v>930104.77658397378</v>
      </c>
      <c r="J58" s="81">
        <f>'tab01'!D46</f>
        <v>1433982</v>
      </c>
    </row>
    <row r="59" spans="1:10">
      <c r="A59" t="s">
        <v>512</v>
      </c>
      <c r="B59" s="81">
        <f>J58</f>
        <v>1433982</v>
      </c>
      <c r="C59" s="156" t="s">
        <v>511</v>
      </c>
      <c r="D59" s="81">
        <v>2237.1732070863</v>
      </c>
      <c r="E59" s="81">
        <f>SUM(B59:D59)</f>
        <v>1436219.1732070863</v>
      </c>
      <c r="F59" s="81">
        <v>456013.5</v>
      </c>
      <c r="G59" s="81">
        <v>243753.14958120001</v>
      </c>
      <c r="H59" s="81">
        <f>I59-F59-G59</f>
        <v>60309.523625886271</v>
      </c>
      <c r="I59" s="81">
        <f>E59-J59</f>
        <v>760076.17320708628</v>
      </c>
      <c r="J59" s="81">
        <f>'tab01'!D47</f>
        <v>676143</v>
      </c>
    </row>
    <row r="60" spans="1:10">
      <c r="A60" t="s">
        <v>513</v>
      </c>
      <c r="B60" s="81">
        <f>J59</f>
        <v>676143</v>
      </c>
      <c r="C60" s="156" t="s">
        <v>511</v>
      </c>
      <c r="D60" s="81">
        <v>2338.1084081922004</v>
      </c>
      <c r="E60" s="81">
        <f>SUM(B60:D60)</f>
        <v>678481.10840819217</v>
      </c>
      <c r="F60" s="81">
        <v>408991.79999999993</v>
      </c>
      <c r="G60" s="81">
        <v>155726.23074750003</v>
      </c>
      <c r="H60" s="81">
        <f>I60-F60-G60</f>
        <v>-91270.922339307785</v>
      </c>
      <c r="I60" s="81">
        <f>E60-J60</f>
        <v>473447.10840819217</v>
      </c>
      <c r="J60" s="81">
        <f>'tab01'!D48</f>
        <v>205034</v>
      </c>
    </row>
    <row r="61" spans="1:10">
      <c r="A61" t="s">
        <v>516</v>
      </c>
      <c r="B61" s="81"/>
      <c r="C61" s="81">
        <f>SUM(C57:C60)</f>
        <v>2677117</v>
      </c>
      <c r="D61" s="81">
        <f>SUM(D57:D60)</f>
        <v>9870.8029129773004</v>
      </c>
      <c r="E61" s="81">
        <f>B57+D61+C61</f>
        <v>3260797.8029129775</v>
      </c>
      <c r="F61" s="81">
        <f>SUM(F57:F60)</f>
        <v>1803407.3376666666</v>
      </c>
      <c r="G61" s="81">
        <f>SUM(G57:G60)</f>
        <v>1158829.057029</v>
      </c>
      <c r="H61" s="81">
        <f>SUM(H57:H60)</f>
        <v>93527.408217310585</v>
      </c>
      <c r="I61" s="81">
        <f>SUM(I57:I60)</f>
        <v>3055763.8029129775</v>
      </c>
      <c r="J61" s="81"/>
    </row>
    <row r="62" spans="1:10" ht="13.25" customHeight="1">
      <c r="B62" s="81"/>
      <c r="C62" s="81"/>
      <c r="D62" s="81"/>
      <c r="E62" s="81"/>
      <c r="F62" s="81"/>
      <c r="G62" s="81"/>
      <c r="H62" s="81"/>
      <c r="I62" s="81"/>
      <c r="J62" s="81"/>
    </row>
    <row r="63" spans="1:10">
      <c r="A63" t="s">
        <v>477</v>
      </c>
      <c r="B63" s="81"/>
      <c r="C63" s="81"/>
      <c r="D63" s="81"/>
      <c r="E63" s="81"/>
      <c r="F63" s="81"/>
      <c r="G63" s="81"/>
      <c r="H63" s="81"/>
      <c r="I63" s="81"/>
      <c r="J63" s="81"/>
    </row>
    <row r="64" spans="1:10">
      <c r="A64" t="s">
        <v>509</v>
      </c>
      <c r="B64" s="81">
        <f>J60</f>
        <v>205034</v>
      </c>
      <c r="C64" s="81">
        <f>'tab02'!E54</f>
        <v>2967007</v>
      </c>
      <c r="D64" s="81">
        <v>2760.0435538011006</v>
      </c>
      <c r="E64" s="81">
        <f>SUM(B64:D64)</f>
        <v>3174801.0435538013</v>
      </c>
      <c r="F64" s="81">
        <v>420422.06666666665</v>
      </c>
      <c r="G64" s="81">
        <v>386933.7216318</v>
      </c>
      <c r="H64" s="81">
        <f>I64-F64-G64</f>
        <v>92013.255255334603</v>
      </c>
      <c r="I64" s="81">
        <f>E64-J64</f>
        <v>899369.04355380125</v>
      </c>
      <c r="J64" s="81">
        <f>'tab01'!D50</f>
        <v>2275432</v>
      </c>
    </row>
    <row r="65" spans="1:10">
      <c r="A65" t="s">
        <v>510</v>
      </c>
      <c r="B65" s="81">
        <f>J64</f>
        <v>2275432</v>
      </c>
      <c r="C65" s="156" t="s">
        <v>511</v>
      </c>
      <c r="D65" s="81">
        <v>4596.0753527766001</v>
      </c>
      <c r="E65" s="81">
        <f>SUM(B65:D65)</f>
        <v>2280028.0753527768</v>
      </c>
      <c r="F65" s="81">
        <v>421926.73333333328</v>
      </c>
      <c r="G65" s="81">
        <v>482875.27018920006</v>
      </c>
      <c r="H65" s="81">
        <f>I65-F65-G65</f>
        <v>73437.071830243454</v>
      </c>
      <c r="I65" s="81">
        <f>E65-J65</f>
        <v>978239.0753527768</v>
      </c>
      <c r="J65" s="81">
        <f>'tab01'!D51</f>
        <v>1301789</v>
      </c>
    </row>
    <row r="66" spans="1:10">
      <c r="A66" t="s">
        <v>512</v>
      </c>
      <c r="B66" s="81">
        <f>J65</f>
        <v>1301789</v>
      </c>
      <c r="C66" s="156" t="s">
        <v>511</v>
      </c>
      <c r="D66" s="81">
        <v>3771.8175993330001</v>
      </c>
      <c r="E66" s="81">
        <f>SUM(B66:D66)</f>
        <v>1305560.8175993329</v>
      </c>
      <c r="F66" s="81">
        <v>430856.66666666663</v>
      </c>
      <c r="G66" s="81">
        <v>243683.37329490003</v>
      </c>
      <c r="H66" s="81">
        <f>I66-F66-G66</f>
        <v>34861.777637766238</v>
      </c>
      <c r="I66" s="81">
        <f>E66-J66</f>
        <v>709401.81759933289</v>
      </c>
      <c r="J66" s="81">
        <f>'tab01'!D52</f>
        <v>596159</v>
      </c>
    </row>
    <row r="67" spans="1:10">
      <c r="A67" t="s">
        <v>513</v>
      </c>
      <c r="B67" s="81">
        <f>J66</f>
        <v>596159</v>
      </c>
      <c r="C67" s="156" t="s">
        <v>511</v>
      </c>
      <c r="D67" s="81">
        <v>2135.1931253835</v>
      </c>
      <c r="E67" s="81">
        <f>SUM(B67:D67)</f>
        <v>598294.19312538346</v>
      </c>
      <c r="F67" s="81">
        <v>388716.6</v>
      </c>
      <c r="G67" s="81">
        <v>165801.2063127</v>
      </c>
      <c r="H67" s="81">
        <f>I67-F67-G67</f>
        <v>-94421.613187316514</v>
      </c>
      <c r="I67" s="81">
        <f>E67-J67</f>
        <v>460096.19312538346</v>
      </c>
      <c r="J67" s="81">
        <f>'tab01'!D53</f>
        <v>138198</v>
      </c>
    </row>
    <row r="68" spans="1:10">
      <c r="A68" t="s">
        <v>516</v>
      </c>
      <c r="B68" s="81"/>
      <c r="C68" s="81">
        <f>SUM(C64:C67)</f>
        <v>2967007</v>
      </c>
      <c r="D68" s="81">
        <f>SUM(D64:D67)</f>
        <v>13263.129631294199</v>
      </c>
      <c r="E68" s="81">
        <f>B64+D68+C68</f>
        <v>3185304.1296312944</v>
      </c>
      <c r="F68" s="81">
        <f>SUM(F64:F67)</f>
        <v>1661922.0666666664</v>
      </c>
      <c r="G68" s="81">
        <f>SUM(G64:G67)</f>
        <v>1279293.5714286</v>
      </c>
      <c r="H68" s="81">
        <f>SUM(H64:H67)</f>
        <v>105890.49153602778</v>
      </c>
      <c r="I68" s="81">
        <f>SUM(I64:I67)</f>
        <v>3047106.1296312944</v>
      </c>
      <c r="J68" s="81"/>
    </row>
    <row r="69" spans="1:10">
      <c r="B69" s="81"/>
      <c r="C69" s="81"/>
      <c r="D69" s="81"/>
      <c r="E69" s="81"/>
      <c r="F69" s="81"/>
      <c r="G69" s="81"/>
      <c r="H69" s="81"/>
      <c r="I69" s="81"/>
      <c r="J69" s="81"/>
    </row>
    <row r="70" spans="1:10">
      <c r="A70" t="s">
        <v>483</v>
      </c>
      <c r="B70" s="81"/>
      <c r="C70" s="81"/>
      <c r="D70" s="81"/>
      <c r="E70" s="81"/>
      <c r="F70" s="81"/>
      <c r="G70" s="81"/>
      <c r="H70" s="81"/>
      <c r="I70" s="81"/>
      <c r="J70" s="81"/>
    </row>
    <row r="71" spans="1:10">
      <c r="A71" t="s">
        <v>509</v>
      </c>
      <c r="B71" s="81">
        <f>J67</f>
        <v>138198</v>
      </c>
      <c r="C71" s="81">
        <f>'tab02'!E55</f>
        <v>3360931</v>
      </c>
      <c r="D71" s="81">
        <v>3171.0505351308002</v>
      </c>
      <c r="E71" s="81">
        <f>SUM(B71:D71)</f>
        <v>3502300.0505351308</v>
      </c>
      <c r="F71" s="81">
        <v>445062.33333333331</v>
      </c>
      <c r="G71" s="81">
        <v>535978.25750910002</v>
      </c>
      <c r="H71" s="81">
        <f>I71-F71-G71</f>
        <v>182709.45969269751</v>
      </c>
      <c r="I71" s="81">
        <f>E71-J71</f>
        <v>1163750.0505351308</v>
      </c>
      <c r="J71" s="81">
        <f>'tab01'!D55</f>
        <v>2338550</v>
      </c>
    </row>
    <row r="72" spans="1:10">
      <c r="A72" t="s">
        <v>510</v>
      </c>
      <c r="B72" s="81">
        <f>J71</f>
        <v>2338550</v>
      </c>
      <c r="C72" s="156" t="s">
        <v>511</v>
      </c>
      <c r="D72" s="81">
        <v>5609.5613607789001</v>
      </c>
      <c r="E72" s="81">
        <f>SUM(B72:D72)</f>
        <v>2344159.5613607788</v>
      </c>
      <c r="F72" s="81">
        <v>494208.20666666667</v>
      </c>
      <c r="G72" s="81">
        <v>622287.15116190002</v>
      </c>
      <c r="H72" s="81">
        <f>I72-F72-G72</f>
        <v>-42403.796467787935</v>
      </c>
      <c r="I72" s="81">
        <f>E72-J72</f>
        <v>1074091.5613607788</v>
      </c>
      <c r="J72" s="81">
        <f>'tab01'!D56</f>
        <v>1270068</v>
      </c>
    </row>
    <row r="73" spans="1:10">
      <c r="A73" t="s">
        <v>512</v>
      </c>
      <c r="B73" s="81">
        <f>J72</f>
        <v>1270068</v>
      </c>
      <c r="C73" s="156" t="s">
        <v>511</v>
      </c>
      <c r="D73" s="81">
        <v>3181.7533502978999</v>
      </c>
      <c r="E73" s="81">
        <f>SUM(B73:D73)</f>
        <v>1273249.7533502979</v>
      </c>
      <c r="F73" s="81">
        <v>425468.53833333333</v>
      </c>
      <c r="G73" s="81">
        <v>218940.71687040001</v>
      </c>
      <c r="H73" s="81">
        <f>I73-F73-G73</f>
        <v>57717.498146564583</v>
      </c>
      <c r="I73" s="81">
        <f>E73-J73</f>
        <v>702126.75335029792</v>
      </c>
      <c r="J73" s="81">
        <f>'tab01'!D57</f>
        <v>571123</v>
      </c>
    </row>
    <row r="74" spans="1:10">
      <c r="A74" t="s">
        <v>513</v>
      </c>
      <c r="B74" s="81">
        <f>J73</f>
        <v>571123</v>
      </c>
      <c r="C74" s="156" t="s">
        <v>511</v>
      </c>
      <c r="D74" s="81">
        <v>2625.7415824436998</v>
      </c>
      <c r="E74" s="81">
        <f>SUM(B74:D74)</f>
        <v>573748.7415824437</v>
      </c>
      <c r="F74" s="81">
        <v>386947.19000000006</v>
      </c>
      <c r="G74" s="81">
        <v>121841.99896890001</v>
      </c>
      <c r="H74" s="81">
        <f>I74-F74-G74</f>
        <v>-85925.447386456362</v>
      </c>
      <c r="I74" s="81">
        <f>E74-J74</f>
        <v>422863.7415824437</v>
      </c>
      <c r="J74" s="81">
        <f>'tab01'!D58</f>
        <v>150885</v>
      </c>
    </row>
    <row r="75" spans="1:10">
      <c r="A75" t="s">
        <v>410</v>
      </c>
      <c r="B75" s="81"/>
      <c r="C75" s="81">
        <f>SUM(C71:C74)</f>
        <v>3360931</v>
      </c>
      <c r="D75" s="81">
        <f>SUM(D71:D74)</f>
        <v>14588.1068286513</v>
      </c>
      <c r="E75" s="81">
        <f>B71+D75+C75</f>
        <v>3513717.1068286514</v>
      </c>
      <c r="F75" s="81">
        <f>SUM(F71:F74)</f>
        <v>1751686.2683333335</v>
      </c>
      <c r="G75" s="81">
        <f>SUM(G71:G74)</f>
        <v>1499048.1245103001</v>
      </c>
      <c r="H75" s="81">
        <f>SUM(H71:H74)</f>
        <v>112097.71398501779</v>
      </c>
      <c r="I75" s="81">
        <f>SUM(I71:I74)</f>
        <v>3362832.1068286514</v>
      </c>
      <c r="J75" s="81"/>
    </row>
    <row r="76" spans="1:10">
      <c r="B76" s="81"/>
      <c r="C76" s="81"/>
      <c r="D76" s="81"/>
      <c r="E76" s="81"/>
      <c r="F76" s="81"/>
      <c r="G76" s="81"/>
      <c r="H76" s="81"/>
      <c r="I76" s="81"/>
      <c r="J76" s="81"/>
    </row>
    <row r="77" spans="1:10">
      <c r="A77" t="s">
        <v>487</v>
      </c>
      <c r="B77" s="81"/>
      <c r="C77" s="81"/>
      <c r="D77" s="81"/>
      <c r="E77" s="81"/>
      <c r="F77" s="81"/>
      <c r="G77" s="81"/>
      <c r="H77" s="81"/>
      <c r="I77" s="81"/>
      <c r="J77" s="81"/>
    </row>
    <row r="78" spans="1:10">
      <c r="A78" t="s">
        <v>509</v>
      </c>
      <c r="B78" s="81">
        <f>J74</f>
        <v>150885</v>
      </c>
      <c r="C78" s="81">
        <f>'tab02'!E56</f>
        <v>3331306</v>
      </c>
      <c r="D78" s="81">
        <v>3739.2416269929004</v>
      </c>
      <c r="E78" s="81">
        <f>SUM(B78:D78)</f>
        <v>3485930.2416269928</v>
      </c>
      <c r="F78" s="81">
        <v>442633.99966666673</v>
      </c>
      <c r="G78" s="81">
        <v>622063.49225999997</v>
      </c>
      <c r="H78" s="81">
        <f>I78-F78-G78</f>
        <v>143148.74970032612</v>
      </c>
      <c r="I78" s="81">
        <f>E78-J78</f>
        <v>1207846.2416269928</v>
      </c>
      <c r="J78" s="81">
        <f>'tab01'!D60</f>
        <v>2278084</v>
      </c>
    </row>
    <row r="79" spans="1:10">
      <c r="A79" t="s">
        <v>510</v>
      </c>
      <c r="B79" s="81">
        <f>J78</f>
        <v>2278084</v>
      </c>
      <c r="C79" s="156" t="s">
        <v>511</v>
      </c>
      <c r="D79" s="81">
        <v>4874.7842171721004</v>
      </c>
      <c r="E79" s="81">
        <f>SUM(B79:D79)</f>
        <v>2282958.7842171723</v>
      </c>
      <c r="F79" s="81">
        <v>430928.32833333337</v>
      </c>
      <c r="G79" s="81">
        <v>550535.00913809997</v>
      </c>
      <c r="H79" s="81">
        <f>I79-F79-G79</f>
        <v>52695.446745738969</v>
      </c>
      <c r="I79" s="81">
        <f>E79-J79</f>
        <v>1034158.7842171723</v>
      </c>
      <c r="J79" s="81">
        <f>'tab01'!D61</f>
        <v>1248800</v>
      </c>
    </row>
    <row r="80" spans="1:10">
      <c r="A80" t="s">
        <v>512</v>
      </c>
      <c r="B80" s="81">
        <f>J79</f>
        <v>1248800</v>
      </c>
      <c r="C80" s="156" t="s">
        <v>511</v>
      </c>
      <c r="D80" s="81">
        <v>2933.2424794659</v>
      </c>
      <c r="E80" s="81">
        <f>SUM(B80:D80)</f>
        <v>1251733.2424794659</v>
      </c>
      <c r="F80" s="81">
        <v>396293.86666666664</v>
      </c>
      <c r="G80" s="81">
        <v>226853.17871579999</v>
      </c>
      <c r="H80" s="81">
        <f>I80-F80-G80</f>
        <v>9303.197096999269</v>
      </c>
      <c r="I80" s="81">
        <f>E80-J80</f>
        <v>632450.2424794659</v>
      </c>
      <c r="J80" s="81">
        <f>'tab01'!D62</f>
        <v>619283</v>
      </c>
    </row>
    <row r="81" spans="1:10">
      <c r="A81" t="s">
        <v>513</v>
      </c>
      <c r="B81" s="81">
        <f>J80</f>
        <v>619283</v>
      </c>
      <c r="C81" s="156" t="s">
        <v>511</v>
      </c>
      <c r="D81" s="81">
        <v>2901.8281592013</v>
      </c>
      <c r="E81" s="81">
        <f>SUM(B81:D81)</f>
        <v>622184.82815920131</v>
      </c>
      <c r="F81" s="81">
        <v>378186.4</v>
      </c>
      <c r="G81" s="81">
        <v>105525.9589839</v>
      </c>
      <c r="H81" s="81">
        <f>I81-F81-G81</f>
        <v>-76540.530824698712</v>
      </c>
      <c r="I81" s="81">
        <f>E81-J81</f>
        <v>407171.82815920131</v>
      </c>
      <c r="J81" s="81">
        <f>'tab01'!D63</f>
        <v>215013</v>
      </c>
    </row>
    <row r="82" spans="1:10">
      <c r="A82" t="s">
        <v>410</v>
      </c>
      <c r="B82" s="81"/>
      <c r="C82" s="81">
        <f>SUM(C78:C81)</f>
        <v>3331306</v>
      </c>
      <c r="D82" s="81">
        <f>SUM(D78:D81)</f>
        <v>14449.096482832199</v>
      </c>
      <c r="E82" s="81">
        <f>B78+D82+C82</f>
        <v>3496640.096482832</v>
      </c>
      <c r="F82" s="81">
        <f>SUM(F78:F81)</f>
        <v>1648042.5946666668</v>
      </c>
      <c r="G82" s="81">
        <f>SUM(G78:G81)</f>
        <v>1504977.6390978</v>
      </c>
      <c r="H82" s="81">
        <f>SUM(H78:H81)</f>
        <v>128606.86271836565</v>
      </c>
      <c r="I82" s="81">
        <f>SUM(I78:I81)</f>
        <v>3281627.0964828325</v>
      </c>
      <c r="J82" s="81"/>
    </row>
    <row r="83" spans="1:10">
      <c r="B83" s="81"/>
      <c r="C83" s="81"/>
      <c r="D83" s="81"/>
      <c r="E83" s="81"/>
      <c r="F83" s="81"/>
      <c r="G83" s="81"/>
      <c r="H83" s="81"/>
      <c r="I83" s="81"/>
      <c r="J83" s="81"/>
    </row>
    <row r="84" spans="1:10">
      <c r="A84" t="s">
        <v>493</v>
      </c>
      <c r="B84" s="81"/>
      <c r="C84" s="81"/>
      <c r="D84" s="81"/>
      <c r="E84" s="81"/>
      <c r="F84" s="81"/>
      <c r="G84" s="81"/>
      <c r="H84" s="81"/>
      <c r="I84" s="81"/>
      <c r="J84" s="81"/>
    </row>
    <row r="85" spans="1:10">
      <c r="A85" t="s">
        <v>509</v>
      </c>
      <c r="B85" s="81">
        <f>J81</f>
        <v>215013</v>
      </c>
      <c r="C85" s="81">
        <f>'tab02'!E57</f>
        <v>3097179</v>
      </c>
      <c r="D85" s="81">
        <v>2844.1205983722002</v>
      </c>
      <c r="E85" s="81">
        <f>SUM(B85:D85)</f>
        <v>3315036.1205983721</v>
      </c>
      <c r="F85" s="156" t="s">
        <v>469</v>
      </c>
      <c r="G85" s="81">
        <v>424831.50450509996</v>
      </c>
      <c r="H85" s="156" t="s">
        <v>469</v>
      </c>
      <c r="I85" s="81">
        <f>E85-J85</f>
        <v>945151.12059837207</v>
      </c>
      <c r="J85" s="81">
        <f>'tab01'!D65</f>
        <v>2369885</v>
      </c>
    </row>
    <row r="86" spans="1:10">
      <c r="A86" t="s">
        <v>510</v>
      </c>
      <c r="B86" s="81">
        <f>J85</f>
        <v>2369885</v>
      </c>
      <c r="C86" s="156" t="s">
        <v>511</v>
      </c>
      <c r="D86" s="81">
        <v>3141.6916574442002</v>
      </c>
      <c r="E86" s="81">
        <f>SUM(B86:D86)</f>
        <v>2373026.691657444</v>
      </c>
      <c r="F86" s="156" t="s">
        <v>469</v>
      </c>
      <c r="G86" s="81">
        <v>479457.93078500731</v>
      </c>
      <c r="H86" s="156" t="s">
        <v>469</v>
      </c>
      <c r="I86" s="81">
        <f>E86-J86</f>
        <v>998538.691657444</v>
      </c>
      <c r="J86" s="81">
        <f>'tab01'!D66</f>
        <v>1374488</v>
      </c>
    </row>
    <row r="87" spans="1:10">
      <c r="A87" t="s">
        <v>512</v>
      </c>
      <c r="B87" s="81">
        <f>J86</f>
        <v>1374488</v>
      </c>
      <c r="C87" s="156" t="s">
        <v>511</v>
      </c>
      <c r="D87" s="81">
        <v>5330.7780169035004</v>
      </c>
      <c r="E87" s="81">
        <f>SUM(B87:D87)</f>
        <v>1379818.7780169034</v>
      </c>
      <c r="F87" s="156" t="s">
        <v>469</v>
      </c>
      <c r="G87" s="81">
        <v>256979.2281147</v>
      </c>
      <c r="H87" s="156" t="s">
        <v>469</v>
      </c>
      <c r="I87" s="81">
        <f>E87-J87</f>
        <v>712353.77801690344</v>
      </c>
      <c r="J87" s="81">
        <f>'tab01'!D67</f>
        <v>667465</v>
      </c>
    </row>
    <row r="88" spans="1:10">
      <c r="A88" t="s">
        <v>513</v>
      </c>
      <c r="B88" s="81">
        <f>J87</f>
        <v>667465</v>
      </c>
      <c r="C88" s="156" t="s">
        <v>511</v>
      </c>
      <c r="D88" s="81">
        <v>4815.411431859</v>
      </c>
      <c r="E88" s="81">
        <f>SUM(B88:D88)</f>
        <v>672280.41143185901</v>
      </c>
      <c r="F88" s="156" t="s">
        <v>469</v>
      </c>
      <c r="G88" s="81">
        <v>203982.31809300242</v>
      </c>
      <c r="H88" s="156" t="s">
        <v>469</v>
      </c>
      <c r="I88" s="81">
        <f>E88-J88</f>
        <v>502910.41143185901</v>
      </c>
      <c r="J88" s="81">
        <f>'tab01'!D68</f>
        <v>169370</v>
      </c>
    </row>
    <row r="89" spans="1:10">
      <c r="A89" t="s">
        <v>410</v>
      </c>
      <c r="B89" s="81"/>
      <c r="C89" s="81">
        <f>SUM(C85:C88)</f>
        <v>3097179</v>
      </c>
      <c r="D89" s="81">
        <f>SUM(D85:D88)</f>
        <v>16132.001704578901</v>
      </c>
      <c r="E89" s="81">
        <f>B85+D89+C89</f>
        <v>3328324.0017045788</v>
      </c>
      <c r="F89" s="81">
        <v>1703019</v>
      </c>
      <c r="G89" s="81">
        <f>SUM(G85:G88)</f>
        <v>1365250.9814978098</v>
      </c>
      <c r="H89" s="81">
        <f>I89-F89-G89</f>
        <v>90684.020206768531</v>
      </c>
      <c r="I89" s="81">
        <f>SUM(I85:I88)</f>
        <v>3158954.0017045783</v>
      </c>
      <c r="J89" s="81"/>
    </row>
    <row r="90" spans="1:10">
      <c r="B90" s="81"/>
      <c r="C90" s="81"/>
      <c r="D90" s="81"/>
      <c r="E90" s="81"/>
      <c r="F90" s="81"/>
      <c r="G90" s="81"/>
      <c r="H90" s="81"/>
      <c r="I90" s="81"/>
      <c r="J90" s="81"/>
    </row>
    <row r="91" spans="1:10">
      <c r="A91" t="s">
        <v>506</v>
      </c>
      <c r="B91" s="81"/>
      <c r="C91" s="81"/>
      <c r="D91" s="81"/>
      <c r="E91" s="81"/>
      <c r="F91" s="81"/>
      <c r="G91" s="81"/>
      <c r="H91" s="81"/>
      <c r="I91" s="81"/>
      <c r="J91" s="81"/>
    </row>
    <row r="92" spans="1:10">
      <c r="A92" t="s">
        <v>509</v>
      </c>
      <c r="B92" s="81">
        <f>J88</f>
        <v>169370</v>
      </c>
      <c r="C92" s="81">
        <f>'tab02'!E58</f>
        <v>3042044</v>
      </c>
      <c r="D92" s="81">
        <v>4286.3493307698</v>
      </c>
      <c r="E92" s="81">
        <f>SUM(B92:D92)</f>
        <v>3215700.3493307699</v>
      </c>
      <c r="F92" s="156" t="s">
        <v>469</v>
      </c>
      <c r="G92" s="81">
        <v>626178</v>
      </c>
      <c r="H92" s="156" t="s">
        <v>469</v>
      </c>
      <c r="I92" s="81">
        <f>E92-J92</f>
        <v>1249539.3493307699</v>
      </c>
      <c r="J92" s="81">
        <f>'tab01'!D70</f>
        <v>1966161</v>
      </c>
    </row>
    <row r="93" spans="1:10">
      <c r="A93" t="s">
        <v>510</v>
      </c>
      <c r="B93" s="81">
        <f>J92</f>
        <v>1966161</v>
      </c>
      <c r="C93" s="156" t="s">
        <v>511</v>
      </c>
      <c r="D93" s="81">
        <v>4718.1036423045007</v>
      </c>
      <c r="E93" s="81">
        <f>SUM(B93:D93)</f>
        <v>1970879.1036423044</v>
      </c>
      <c r="F93" s="156" t="s">
        <v>469</v>
      </c>
      <c r="G93" s="81">
        <v>522187</v>
      </c>
      <c r="H93" s="156" t="s">
        <v>469</v>
      </c>
      <c r="I93" s="81">
        <f>E93-J93</f>
        <v>972859.10364230443</v>
      </c>
      <c r="J93" s="81">
        <f>'tab01'!D71</f>
        <v>998020</v>
      </c>
    </row>
    <row r="94" spans="1:10">
      <c r="A94" t="s">
        <v>512</v>
      </c>
      <c r="B94" s="81">
        <f>J93</f>
        <v>998020</v>
      </c>
      <c r="C94" s="156" t="s">
        <v>511</v>
      </c>
      <c r="D94" s="81">
        <v>7837.8888527835006</v>
      </c>
      <c r="E94" s="81">
        <f>SUM(B94:D94)</f>
        <v>1005857.8888527835</v>
      </c>
      <c r="F94" s="156" t="s">
        <v>469</v>
      </c>
      <c r="G94" s="81">
        <v>128665</v>
      </c>
      <c r="H94" s="156" t="s">
        <v>469</v>
      </c>
      <c r="I94" s="81">
        <f>E94-J94</f>
        <v>571193.88885278348</v>
      </c>
      <c r="J94" s="81">
        <f>'tab01'!D72</f>
        <v>434664</v>
      </c>
    </row>
    <row r="95" spans="1:10">
      <c r="A95" t="s">
        <v>513</v>
      </c>
      <c r="B95" s="81">
        <f>J94</f>
        <v>434664</v>
      </c>
      <c r="C95" s="156" t="s">
        <v>511</v>
      </c>
      <c r="D95" s="81">
        <v>23674</v>
      </c>
      <c r="E95" s="81">
        <f>SUM(B95:D95)</f>
        <v>458338</v>
      </c>
      <c r="F95" s="156" t="s">
        <v>469</v>
      </c>
      <c r="G95" s="81">
        <v>50496</v>
      </c>
      <c r="H95" s="156" t="s">
        <v>469</v>
      </c>
      <c r="I95" s="81">
        <f>E95-J95</f>
        <v>317781</v>
      </c>
      <c r="J95" s="81">
        <f>'tab01'!D73</f>
        <v>140557</v>
      </c>
    </row>
    <row r="96" spans="1:10">
      <c r="A96" t="s">
        <v>410</v>
      </c>
      <c r="B96" s="81"/>
      <c r="C96" s="81">
        <f>SUM(C92:C95)</f>
        <v>3042044</v>
      </c>
      <c r="D96" s="81">
        <f>SUM(D92:D95)</f>
        <v>40516.341825857802</v>
      </c>
      <c r="E96" s="81">
        <f>B92+D96+C96</f>
        <v>3251930.3418258578</v>
      </c>
      <c r="F96" s="81">
        <v>1688903</v>
      </c>
      <c r="G96" s="81">
        <f>SUM(G92:G95)</f>
        <v>1327526</v>
      </c>
      <c r="H96" s="81">
        <f>I96-F96-G96</f>
        <v>94944.341825857759</v>
      </c>
      <c r="I96" s="81">
        <f>SUM(I92:I95)</f>
        <v>3111373.3418258578</v>
      </c>
      <c r="J96" s="81"/>
    </row>
    <row r="97" spans="1:10">
      <c r="B97" s="81"/>
      <c r="C97" s="81"/>
      <c r="D97" s="81"/>
      <c r="E97" s="81"/>
      <c r="F97" s="156"/>
      <c r="G97" s="81"/>
      <c r="H97" s="156"/>
      <c r="I97" s="81"/>
      <c r="J97" s="81"/>
    </row>
    <row r="98" spans="1:10">
      <c r="A98" t="s">
        <v>541</v>
      </c>
      <c r="B98" s="81"/>
      <c r="C98" s="81"/>
      <c r="D98" s="81"/>
      <c r="E98" s="81"/>
      <c r="F98" s="156"/>
      <c r="G98" s="81"/>
      <c r="H98" s="156"/>
      <c r="I98" s="81"/>
      <c r="J98" s="81"/>
    </row>
    <row r="99" spans="1:10">
      <c r="A99" t="s">
        <v>509</v>
      </c>
      <c r="B99" s="81">
        <f>J95</f>
        <v>140557</v>
      </c>
      <c r="C99" s="81">
        <f>'tab02'!E59</f>
        <v>3357984</v>
      </c>
      <c r="D99" s="81">
        <v>7488.2060411865004</v>
      </c>
      <c r="E99" s="81">
        <f>SUM(B99:D99)</f>
        <v>3506029.2060411866</v>
      </c>
      <c r="F99" s="156" t="s">
        <v>469</v>
      </c>
      <c r="G99" s="81">
        <v>676505.78762861853</v>
      </c>
      <c r="H99" s="156" t="s">
        <v>469</v>
      </c>
      <c r="I99" s="81">
        <f>E99-J99</f>
        <v>1352408.2060411866</v>
      </c>
      <c r="J99" s="81">
        <f>'tab01'!D75</f>
        <v>2153621</v>
      </c>
    </row>
    <row r="100" spans="1:10">
      <c r="A100" t="s">
        <v>510</v>
      </c>
      <c r="B100" s="81">
        <f>J99</f>
        <v>2153621</v>
      </c>
      <c r="C100" s="156" t="s">
        <v>511</v>
      </c>
      <c r="D100" s="81">
        <v>8415.7309346565016</v>
      </c>
      <c r="E100" s="81">
        <f>SUM(B100:D100)</f>
        <v>2162036.7309346567</v>
      </c>
      <c r="F100" s="156" t="s">
        <v>469</v>
      </c>
      <c r="G100" s="81">
        <v>712229.04658936174</v>
      </c>
      <c r="H100" s="156" t="s">
        <v>469</v>
      </c>
      <c r="I100" s="81">
        <f>E100-J100</f>
        <v>1168208.7309346567</v>
      </c>
      <c r="J100" s="81">
        <f>'tab01'!D76</f>
        <v>993828</v>
      </c>
    </row>
    <row r="101" spans="1:10">
      <c r="A101" t="s">
        <v>512</v>
      </c>
      <c r="B101" s="81">
        <f>J100</f>
        <v>993828</v>
      </c>
      <c r="C101" s="156" t="s">
        <v>511</v>
      </c>
      <c r="D101" s="81">
        <v>25586.9457776163</v>
      </c>
      <c r="E101" s="81">
        <f>SUM(B101:D101)</f>
        <v>1019414.9457776163</v>
      </c>
      <c r="F101" s="156" t="s">
        <v>469</v>
      </c>
      <c r="G101" s="81">
        <v>192044.2650875175</v>
      </c>
      <c r="H101" s="156" t="s">
        <v>469</v>
      </c>
      <c r="I101" s="81">
        <f>E101-J101</f>
        <v>614369.94577761635</v>
      </c>
      <c r="J101" s="81">
        <f>'tab01'!D77</f>
        <v>405045</v>
      </c>
    </row>
    <row r="102" spans="1:10">
      <c r="A102" t="s">
        <v>513</v>
      </c>
      <c r="B102" s="81">
        <f>J101</f>
        <v>405045</v>
      </c>
      <c r="C102" s="156" t="s">
        <v>511</v>
      </c>
      <c r="D102" s="81">
        <v>30286.1634153267</v>
      </c>
      <c r="E102" s="81">
        <f>SUM(B102:D102)</f>
        <v>435331.16341532668</v>
      </c>
      <c r="F102" s="156" t="s">
        <v>469</v>
      </c>
      <c r="G102" s="81">
        <v>57779.840463681008</v>
      </c>
      <c r="H102" s="156" t="s">
        <v>469</v>
      </c>
      <c r="I102" s="81">
        <f>E102-J102</f>
        <v>343340.16341532668</v>
      </c>
      <c r="J102" s="81">
        <f>'tab01'!D78</f>
        <v>91991</v>
      </c>
    </row>
    <row r="103" spans="1:10">
      <c r="A103" t="s">
        <v>410</v>
      </c>
      <c r="B103" s="81"/>
      <c r="C103" s="81">
        <f>SUM(C99:C102)</f>
        <v>3357984</v>
      </c>
      <c r="D103" s="81">
        <f>SUM(D99:D102)</f>
        <v>71777.046168786008</v>
      </c>
      <c r="E103" s="81">
        <f>B99+D103+C103</f>
        <v>3570318.046168786</v>
      </c>
      <c r="F103" s="81">
        <v>1733888</v>
      </c>
      <c r="G103" s="81">
        <f>SUM(G99:G102)</f>
        <v>1638558.9397691786</v>
      </c>
      <c r="H103" s="81">
        <f>I103-F103-G103</f>
        <v>105880.10639960784</v>
      </c>
      <c r="I103" s="81">
        <f>SUM(I99:I102)</f>
        <v>3478327.0461687865</v>
      </c>
      <c r="J103" s="81"/>
    </row>
    <row r="104" spans="1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1:10">
      <c r="A105" t="s">
        <v>572</v>
      </c>
      <c r="B105" s="81"/>
      <c r="C105" s="81"/>
      <c r="D105" s="81"/>
      <c r="E105" s="81"/>
      <c r="F105" s="156"/>
      <c r="G105" s="81"/>
      <c r="H105" s="156"/>
      <c r="I105" s="81"/>
      <c r="J105" s="81"/>
    </row>
    <row r="106" spans="1:10">
      <c r="A106" t="s">
        <v>509</v>
      </c>
      <c r="B106" s="81">
        <f>J102</f>
        <v>91991</v>
      </c>
      <c r="C106" s="81">
        <f>'tab02'!E60</f>
        <v>3927090</v>
      </c>
      <c r="D106" s="81">
        <v>7626.5134432809</v>
      </c>
      <c r="E106" s="81">
        <f>SUM(B106:D106)</f>
        <v>4026707.5134432809</v>
      </c>
      <c r="F106" s="156" t="s">
        <v>469</v>
      </c>
      <c r="G106" s="81">
        <v>812568.94971034233</v>
      </c>
      <c r="H106" s="156" t="s">
        <v>469</v>
      </c>
      <c r="I106" s="81">
        <f>E106-J106</f>
        <v>1498963.5134432809</v>
      </c>
      <c r="J106" s="81">
        <f>'tab01'!D80</f>
        <v>2527744</v>
      </c>
    </row>
    <row r="107" spans="1:10">
      <c r="A107" t="s">
        <v>510</v>
      </c>
      <c r="B107" s="81">
        <f>J106</f>
        <v>2527744</v>
      </c>
      <c r="C107" s="156" t="s">
        <v>511</v>
      </c>
      <c r="D107" s="81">
        <v>8698.9358684151011</v>
      </c>
      <c r="E107" s="81">
        <f>SUM(B107:D107)</f>
        <v>2536442.9358684151</v>
      </c>
      <c r="F107" s="156" t="s">
        <v>469</v>
      </c>
      <c r="G107" s="81">
        <v>725406.55222957116</v>
      </c>
      <c r="H107" s="156" t="s">
        <v>469</v>
      </c>
      <c r="I107" s="81">
        <f>E107-J107</f>
        <v>1209843.9358684151</v>
      </c>
      <c r="J107" s="81">
        <f>'tab01'!D81</f>
        <v>1326599</v>
      </c>
    </row>
    <row r="108" spans="1:10">
      <c r="A108" t="s">
        <v>512</v>
      </c>
      <c r="B108" s="81">
        <f>J107</f>
        <v>1326599</v>
      </c>
      <c r="C108" s="156" t="s">
        <v>511</v>
      </c>
      <c r="D108" s="81">
        <v>8256.0711071055011</v>
      </c>
      <c r="E108" s="81">
        <f>SUM(B108:D108)</f>
        <v>1334855.0711071056</v>
      </c>
      <c r="F108" s="156" t="s">
        <v>469</v>
      </c>
      <c r="G108" s="81">
        <v>187766.04864404941</v>
      </c>
      <c r="H108" s="156" t="s">
        <v>469</v>
      </c>
      <c r="I108" s="81">
        <f>E108-J108</f>
        <v>707787.07110710558</v>
      </c>
      <c r="J108" s="81">
        <f>'tab01'!D82</f>
        <v>627068</v>
      </c>
    </row>
    <row r="109" spans="1:10">
      <c r="A109" t="s">
        <v>513</v>
      </c>
      <c r="B109" s="81">
        <f>J108</f>
        <v>627068</v>
      </c>
      <c r="C109" s="156" t="s">
        <v>511</v>
      </c>
      <c r="D109" s="81">
        <v>8663.3411806578006</v>
      </c>
      <c r="E109" s="81">
        <f>SUM(B109:D109)</f>
        <v>635731.34118065785</v>
      </c>
      <c r="F109" s="81">
        <v>451978.8</v>
      </c>
      <c r="G109" s="81">
        <v>116681.142008928</v>
      </c>
      <c r="H109" s="81">
        <f>I109-F109-G109</f>
        <v>-123538.60082827014</v>
      </c>
      <c r="I109" s="81">
        <f>E109-J109</f>
        <v>445121.34118065785</v>
      </c>
      <c r="J109" s="81">
        <f>'tab01'!D83</f>
        <v>190610</v>
      </c>
    </row>
    <row r="110" spans="1:10">
      <c r="A110" t="s">
        <v>410</v>
      </c>
      <c r="B110" s="81"/>
      <c r="C110" s="81">
        <f>SUM(C106:C109)</f>
        <v>3927090</v>
      </c>
      <c r="D110" s="81">
        <f>SUM(D106:D109)</f>
        <v>33244.861599459298</v>
      </c>
      <c r="E110" s="81">
        <f>B106+D110+C110</f>
        <v>4052325.8615994593</v>
      </c>
      <c r="F110" s="81">
        <v>1873493.7851587886</v>
      </c>
      <c r="G110" s="81">
        <f>SUM(G106:G109)</f>
        <v>1842422.6925928909</v>
      </c>
      <c r="H110" s="81">
        <f>I110-F110-G110</f>
        <v>145799.38384777983</v>
      </c>
      <c r="I110" s="81">
        <f>SUM(I106:I109)</f>
        <v>3861715.8615994593</v>
      </c>
      <c r="J110" s="81"/>
    </row>
    <row r="111" spans="1:10">
      <c r="B111" s="81"/>
      <c r="C111" s="81"/>
      <c r="D111" s="81"/>
      <c r="E111" s="81"/>
      <c r="F111" s="81"/>
      <c r="G111" s="81"/>
      <c r="H111" s="81"/>
      <c r="I111" s="81"/>
      <c r="J111" s="81"/>
    </row>
    <row r="112" spans="1:10">
      <c r="A112" t="s">
        <v>575</v>
      </c>
      <c r="B112" s="81"/>
      <c r="C112" s="81"/>
      <c r="D112" s="81"/>
      <c r="E112" s="81"/>
      <c r="F112" s="81"/>
      <c r="G112" s="81"/>
      <c r="H112" s="81"/>
      <c r="I112" s="81"/>
      <c r="J112" s="81"/>
    </row>
    <row r="113" spans="1:10">
      <c r="A113" t="s">
        <v>187</v>
      </c>
      <c r="B113" s="81"/>
      <c r="C113" s="81"/>
      <c r="D113" s="81">
        <f>(22482.759+34075.833+9902.774)*2.204622/60</f>
        <v>2442.0364938941998</v>
      </c>
      <c r="E113" s="81"/>
      <c r="F113" s="81">
        <f>4036.896*2000/60</f>
        <v>134563.20000000001</v>
      </c>
      <c r="G113" s="81">
        <f>(8635.616+2340934)*2.204622/60</f>
        <v>86331.881099419203</v>
      </c>
      <c r="H113" s="81"/>
      <c r="I113" s="81"/>
      <c r="J113" s="81"/>
    </row>
    <row r="114" spans="1:10">
      <c r="A114" t="s">
        <v>188</v>
      </c>
      <c r="B114" s="81"/>
      <c r="C114" s="81"/>
      <c r="D114" s="81">
        <f>(30761.288+15402.368+14004.607)*2.204622/60</f>
        <v>2210.8046051931005</v>
      </c>
      <c r="E114" s="81"/>
      <c r="F114" s="81">
        <f>5104.01*2000/60</f>
        <v>170133.66666666666</v>
      </c>
      <c r="G114" s="81">
        <f>(54568.525+10008889)*2.204622/60</f>
        <v>369768.66426134255</v>
      </c>
      <c r="H114" s="81"/>
      <c r="I114" s="81"/>
      <c r="J114" s="81"/>
    </row>
    <row r="115" spans="1:10">
      <c r="A115" t="s">
        <v>189</v>
      </c>
      <c r="B115" s="81"/>
      <c r="C115" s="81"/>
      <c r="D115" s="81">
        <f>(18532.879+23937.18+7668.508)*2.204622/60</f>
        <v>1842.2764642779002</v>
      </c>
      <c r="E115" s="81"/>
      <c r="F115" s="81">
        <f>4973.534*2000/60</f>
        <v>165784.46666666667</v>
      </c>
      <c r="G115" s="81">
        <f>(45311.179+9126091)*2.204622/60</f>
        <v>336991.25024452229</v>
      </c>
      <c r="H115" s="81"/>
      <c r="I115" s="81"/>
      <c r="J115" s="81"/>
    </row>
    <row r="116" spans="1:10">
      <c r="A116" t="s">
        <v>509</v>
      </c>
      <c r="B116" s="81">
        <f>J109</f>
        <v>190610</v>
      </c>
      <c r="C116" s="81">
        <f>'tab02'!E61</f>
        <v>3926339</v>
      </c>
      <c r="D116" s="81">
        <f>D113+D114+D115</f>
        <v>6495.1175633652001</v>
      </c>
      <c r="E116" s="81">
        <f>SUM(B116:D116)</f>
        <v>4123444.117563365</v>
      </c>
      <c r="F116" s="81">
        <f>F113+F114+F115</f>
        <v>470481.33333333337</v>
      </c>
      <c r="G116" s="81">
        <f>G113+G114+G115</f>
        <v>793091.79560528405</v>
      </c>
      <c r="H116" s="81">
        <f>I116-F116-G116</f>
        <v>145793.98862474761</v>
      </c>
      <c r="I116" s="81">
        <f>E116-J116</f>
        <v>1409367.117563365</v>
      </c>
      <c r="J116" s="81">
        <f>'tab01'!D85</f>
        <v>2714077</v>
      </c>
    </row>
    <row r="117" spans="1:10">
      <c r="A117" t="s">
        <v>190</v>
      </c>
      <c r="B117" s="81"/>
      <c r="C117" s="81"/>
      <c r="D117" s="81">
        <f>(23066.654+23435.922+11862.994)*2.204622/60</f>
        <v>2144.566994409</v>
      </c>
      <c r="E117" s="81"/>
      <c r="F117" s="81">
        <f>5011.324*2000/60</f>
        <v>167044.13333333333</v>
      </c>
      <c r="G117" s="81">
        <f>(27739.906+6712677)*2.204622/60</f>
        <v>247667.85666899223</v>
      </c>
      <c r="H117" s="81"/>
      <c r="I117" s="81"/>
      <c r="J117" s="81"/>
    </row>
    <row r="118" spans="1:10">
      <c r="A118" t="s">
        <v>191</v>
      </c>
      <c r="B118" s="81"/>
      <c r="C118" s="81"/>
      <c r="D118" s="81">
        <f>(22180.26+50057.952+5444.698)*2.204622/60</f>
        <v>2854.3575401670005</v>
      </c>
      <c r="E118" s="81"/>
      <c r="F118" s="81">
        <f>4814.044*2000/60</f>
        <v>160468.13333333333</v>
      </c>
      <c r="G118" s="81">
        <f>(23530.122+6062143)*2.204622/60</f>
        <v>223610.14749283143</v>
      </c>
      <c r="H118" s="81"/>
      <c r="I118" s="81"/>
      <c r="J118" s="81"/>
    </row>
    <row r="119" spans="1:10">
      <c r="A119" t="s">
        <v>192</v>
      </c>
      <c r="B119" s="81"/>
      <c r="C119" s="81"/>
      <c r="D119" s="81">
        <f>(13265.191+12525.188+8042.031)*2.204622/60</f>
        <v>1243.1279233170001</v>
      </c>
      <c r="E119" s="81"/>
      <c r="F119" s="81">
        <f>4638.663*2000/60</f>
        <v>154622.1</v>
      </c>
      <c r="G119" s="81">
        <f>(37698.284+5645763)*2.204622/60</f>
        <v>208831.3963809108</v>
      </c>
      <c r="H119" s="81"/>
      <c r="I119" s="81"/>
      <c r="J119" s="81"/>
    </row>
    <row r="120" spans="1:10">
      <c r="A120" t="s">
        <v>510</v>
      </c>
      <c r="B120" s="81">
        <f>J116</f>
        <v>2714077</v>
      </c>
      <c r="C120" s="156" t="s">
        <v>511</v>
      </c>
      <c r="D120" s="81">
        <f>D117+D118+D119</f>
        <v>6242.0524578930008</v>
      </c>
      <c r="E120" s="81">
        <f>SUM(B120:D120)</f>
        <v>2720319.0524578928</v>
      </c>
      <c r="F120" s="81">
        <f>F117+F118+F119</f>
        <v>482134.3666666667</v>
      </c>
      <c r="G120" s="81">
        <f>G117+G118+G119</f>
        <v>680109.40054273442</v>
      </c>
      <c r="H120" s="81">
        <f>I120-F120-G120</f>
        <v>27169.28524849168</v>
      </c>
      <c r="I120" s="81">
        <f>E120-J120</f>
        <v>1189413.0524578928</v>
      </c>
      <c r="J120" s="81">
        <f>'tab01'!D86</f>
        <v>1530906</v>
      </c>
    </row>
    <row r="121" spans="1:10">
      <c r="A121" t="s">
        <v>193</v>
      </c>
      <c r="B121" s="81"/>
      <c r="C121" s="81"/>
      <c r="D121" s="81">
        <f>(8941.317+45345.572+14260.668)*2.204622/60</f>
        <v>2518.6908701408997</v>
      </c>
      <c r="E121" s="81"/>
      <c r="F121" s="81">
        <f>4991.626*2000/60</f>
        <v>166387.53333333333</v>
      </c>
      <c r="G121" s="81">
        <f>(43535.64+2599246)*2.204622/60</f>
        <v>97105.575745668015</v>
      </c>
      <c r="H121" s="81"/>
      <c r="I121" s="81"/>
      <c r="J121" s="81"/>
    </row>
    <row r="122" spans="1:10">
      <c r="A122" t="s">
        <v>194</v>
      </c>
      <c r="B122" s="81"/>
      <c r="C122" s="81"/>
      <c r="D122" s="81">
        <f>(3189.745+38377.125+8076.195)*2.204622/60</f>
        <v>1824.0698874405</v>
      </c>
      <c r="E122" s="81"/>
      <c r="F122" s="81">
        <f>4745.09*2000/60</f>
        <v>158169.66666666666</v>
      </c>
      <c r="G122" s="81">
        <f>(39452.6+1320232)*2.204622/60</f>
        <v>49959.84303702</v>
      </c>
      <c r="H122" s="81"/>
      <c r="I122" s="81"/>
      <c r="J122" s="81"/>
    </row>
    <row r="123" spans="1:10">
      <c r="A123" t="s">
        <v>197</v>
      </c>
      <c r="B123" s="81"/>
      <c r="C123" s="81"/>
      <c r="D123" s="81">
        <f>(2844.551+13689.488+6060.305)*2.204622/60</f>
        <v>830.19979763280003</v>
      </c>
      <c r="E123" s="81"/>
      <c r="F123" s="81">
        <f>4825.833*2000/60</f>
        <v>160861.1</v>
      </c>
      <c r="G123" s="81">
        <f>(40802.278+846531)*2.204622/60</f>
        <v>32603.907766848606</v>
      </c>
      <c r="H123" s="81"/>
      <c r="I123" s="81"/>
      <c r="J123" s="81"/>
    </row>
    <row r="124" spans="1:10">
      <c r="A124" t="s">
        <v>512</v>
      </c>
      <c r="B124" s="81">
        <f>J120</f>
        <v>1530906</v>
      </c>
      <c r="C124" s="156" t="s">
        <v>511</v>
      </c>
      <c r="D124" s="81">
        <f>D121+D122+D123</f>
        <v>5172.9605552142002</v>
      </c>
      <c r="E124" s="81">
        <f>SUM(B124:D124)</f>
        <v>1536078.9605552142</v>
      </c>
      <c r="F124" s="81">
        <f>F121+F122+F123</f>
        <v>485418.29999999993</v>
      </c>
      <c r="G124" s="81">
        <f>G121+G122+G123</f>
        <v>179669.32654953661</v>
      </c>
      <c r="H124" s="81">
        <f>I124-F124-G124</f>
        <v>-789.66599432233488</v>
      </c>
      <c r="I124" s="81">
        <f>E124-J124</f>
        <v>664297.9605552142</v>
      </c>
      <c r="J124" s="81">
        <f>'tab01'!D87</f>
        <v>871781</v>
      </c>
    </row>
    <row r="125" spans="1:10">
      <c r="A125" t="s">
        <v>149</v>
      </c>
      <c r="B125" s="81"/>
      <c r="C125" s="81"/>
      <c r="D125" s="81">
        <f>(22179.58+32095.361+10748.688)*2.204622/60</f>
        <v>2389.2087168872999</v>
      </c>
      <c r="E125" s="81"/>
      <c r="F125" s="81">
        <f>4623.752*2000/60</f>
        <v>154125.06666666668</v>
      </c>
      <c r="G125" s="81">
        <f>(43343.375+1008726)*2.204622/60</f>
        <v>38656.921494187503</v>
      </c>
      <c r="H125" s="81"/>
      <c r="I125" s="81"/>
      <c r="J125" s="81"/>
    </row>
    <row r="126" spans="1:10">
      <c r="A126" t="s">
        <v>579</v>
      </c>
      <c r="B126" s="81"/>
      <c r="C126" s="81"/>
      <c r="D126" s="81">
        <f>(9715.449+23787.495+5551.218)*2.204622/60</f>
        <v>1434.9944122794002</v>
      </c>
      <c r="E126" s="81"/>
      <c r="F126" s="81">
        <f>4603.543*2000/60</f>
        <v>153451.43333333332</v>
      </c>
      <c r="G126" s="81">
        <f>(33198.159+2628604)*2.204622/60</f>
        <v>97804.459989648298</v>
      </c>
      <c r="H126" s="81"/>
      <c r="I126" s="81"/>
      <c r="J126" s="81"/>
    </row>
    <row r="127" spans="1:10">
      <c r="A127" t="s">
        <v>401</v>
      </c>
      <c r="B127" s="81"/>
      <c r="C127" s="81"/>
      <c r="D127" s="81">
        <f>(3860.891+36534.668+8908.269)*2.204622/60</f>
        <v>1811.6050648836001</v>
      </c>
      <c r="E127" s="81"/>
      <c r="F127" s="81">
        <f>4218.789*2000/60</f>
        <v>140626.29999999999</v>
      </c>
      <c r="G127" s="81">
        <f>(66074.229+4095847)*2.204622/60</f>
        <v>152924.38506200729</v>
      </c>
      <c r="H127" s="81"/>
      <c r="I127" s="81"/>
      <c r="J127" s="81"/>
    </row>
    <row r="128" spans="1:10">
      <c r="A128" t="s">
        <v>513</v>
      </c>
      <c r="B128" s="81">
        <f>J124</f>
        <v>871781</v>
      </c>
      <c r="C128" s="156" t="s">
        <v>511</v>
      </c>
      <c r="D128" s="81">
        <f>D125+D126+D127</f>
        <v>5635.8081940502998</v>
      </c>
      <c r="E128" s="81">
        <f>SUM(B128:D128)</f>
        <v>877416.80819405033</v>
      </c>
      <c r="F128" s="81">
        <f>F125+F126+F127</f>
        <v>448202.8</v>
      </c>
      <c r="G128" s="81">
        <f>G125+G126+G127</f>
        <v>289385.7665458431</v>
      </c>
      <c r="H128" s="81">
        <f>I128-F128-G128</f>
        <v>-56900.758351792756</v>
      </c>
      <c r="I128" s="81">
        <f>E128-J128</f>
        <v>680687.80819405033</v>
      </c>
      <c r="J128" s="81">
        <f>'tab01'!D88</f>
        <v>196729</v>
      </c>
    </row>
    <row r="129" spans="1:10">
      <c r="A129" t="s">
        <v>410</v>
      </c>
      <c r="B129" s="81"/>
      <c r="C129" s="81">
        <f>SUM(C116:C128)</f>
        <v>3926339</v>
      </c>
      <c r="D129" s="81">
        <f>D116+D120+D124+D128</f>
        <v>23545.938770522702</v>
      </c>
      <c r="E129" s="81">
        <f>B116+D129+C129</f>
        <v>4140494.9387705228</v>
      </c>
      <c r="F129" s="81">
        <f>F116+F120+F124+F128</f>
        <v>1886236.8</v>
      </c>
      <c r="G129" s="81">
        <f>G116+G120+G124+G128</f>
        <v>1942256.289243398</v>
      </c>
      <c r="H129" s="81">
        <f>H116+H120+H124+H128</f>
        <v>115272.8495271242</v>
      </c>
      <c r="I129" s="81">
        <f>I116+I120+I124+I128</f>
        <v>3943765.9387705224</v>
      </c>
      <c r="J129" s="81"/>
    </row>
    <row r="130" spans="1:10">
      <c r="B130" s="81"/>
      <c r="C130" s="81"/>
      <c r="D130" s="81"/>
      <c r="E130" s="81"/>
      <c r="F130" s="81"/>
      <c r="G130" s="81"/>
      <c r="H130" s="81"/>
      <c r="I130" s="81"/>
      <c r="J130" s="81"/>
    </row>
    <row r="131" spans="1:10">
      <c r="A131" t="s">
        <v>578</v>
      </c>
      <c r="B131" s="81"/>
      <c r="C131" s="81"/>
      <c r="D131" s="81"/>
      <c r="E131" s="81"/>
      <c r="F131" s="81"/>
      <c r="G131" s="81"/>
      <c r="H131" s="81"/>
      <c r="I131" s="81"/>
      <c r="J131" s="81"/>
    </row>
    <row r="132" spans="1:10">
      <c r="A132" t="s">
        <v>187</v>
      </c>
      <c r="B132" s="81"/>
      <c r="C132" s="81"/>
      <c r="D132" s="81">
        <v>2295.6001728176998</v>
      </c>
      <c r="E132" s="81"/>
      <c r="F132" s="81">
        <f>4148.008*2000/60</f>
        <v>138266.93333333332</v>
      </c>
      <c r="G132" s="81">
        <v>136536.70033681861</v>
      </c>
      <c r="H132" s="81"/>
      <c r="I132" s="81"/>
      <c r="J132" s="81"/>
    </row>
    <row r="133" spans="1:10">
      <c r="A133" t="s">
        <v>188</v>
      </c>
      <c r="B133" s="81"/>
      <c r="C133" s="81"/>
      <c r="D133" s="81">
        <v>1752.9000595743003</v>
      </c>
      <c r="E133" s="81"/>
      <c r="F133" s="81">
        <f>5276.415*2000/60</f>
        <v>175880.5</v>
      </c>
      <c r="G133" s="81">
        <v>412151.51510326925</v>
      </c>
      <c r="H133" s="81"/>
      <c r="I133" s="81"/>
      <c r="J133" s="81"/>
    </row>
    <row r="134" spans="1:10">
      <c r="A134" t="s">
        <v>189</v>
      </c>
      <c r="B134" s="81"/>
      <c r="C134" s="81"/>
      <c r="D134" s="81">
        <v>1376.8387987725002</v>
      </c>
      <c r="E134" s="81"/>
      <c r="F134" s="81">
        <f>5122.038*2000/60</f>
        <v>170734.6</v>
      </c>
      <c r="G134" s="81">
        <v>377195.39114786976</v>
      </c>
      <c r="H134" s="81"/>
      <c r="I134" s="81"/>
      <c r="J134" s="81"/>
    </row>
    <row r="135" spans="1:10">
      <c r="A135" t="s">
        <v>509</v>
      </c>
      <c r="B135" s="81">
        <f>J128</f>
        <v>196729</v>
      </c>
      <c r="C135" s="254">
        <f>'tab02'!E62</f>
        <v>4296086</v>
      </c>
      <c r="D135" s="81">
        <f>D132+D133+D134</f>
        <v>5425.3390311644998</v>
      </c>
      <c r="E135" s="81">
        <f>SUM(B135:D135)</f>
        <v>4498240.3390311645</v>
      </c>
      <c r="F135" s="81">
        <f>F132+F133+F134</f>
        <v>484882.03333333333</v>
      </c>
      <c r="G135" s="81">
        <f>G132+G133+G134</f>
        <v>925883.60658795759</v>
      </c>
      <c r="H135" s="81">
        <f>I135-F135-G135</f>
        <v>188418.69910987373</v>
      </c>
      <c r="I135" s="81">
        <f>E135-J135</f>
        <v>1599184.3390311645</v>
      </c>
      <c r="J135" s="81">
        <f>'tab01'!D90</f>
        <v>2899056</v>
      </c>
    </row>
    <row r="136" spans="1:10">
      <c r="A136" t="s">
        <v>190</v>
      </c>
      <c r="B136" s="81"/>
      <c r="C136" s="81"/>
      <c r="D136" s="81">
        <v>1171.241446326</v>
      </c>
      <c r="E136" s="81"/>
      <c r="F136" s="81">
        <f>5071.493*2000/60</f>
        <v>169049.76666666666</v>
      </c>
      <c r="G136" s="81">
        <v>293285.02573705022</v>
      </c>
      <c r="H136" s="81"/>
      <c r="I136" s="81"/>
      <c r="J136" s="81"/>
    </row>
    <row r="137" spans="1:10">
      <c r="A137" t="s">
        <v>191</v>
      </c>
      <c r="B137" s="81"/>
      <c r="C137" s="81"/>
      <c r="D137" s="81">
        <v>3204.7438833879</v>
      </c>
      <c r="E137" s="81"/>
      <c r="F137" s="81">
        <f>5139.706*2000/60</f>
        <v>171323.53333333333</v>
      </c>
      <c r="G137" s="81">
        <v>272748.44052989187</v>
      </c>
      <c r="H137" s="81"/>
      <c r="I137" s="81"/>
      <c r="J137" s="81"/>
    </row>
    <row r="138" spans="1:10">
      <c r="A138" t="s">
        <v>192</v>
      </c>
      <c r="B138" s="81"/>
      <c r="C138" s="81"/>
      <c r="D138" s="81">
        <v>2260.6504472265001</v>
      </c>
      <c r="E138" s="81"/>
      <c r="F138" s="81">
        <f>4542.336*2000/60</f>
        <v>151411.20000000001</v>
      </c>
      <c r="G138" s="81">
        <v>162261.85750524121</v>
      </c>
      <c r="H138" s="81"/>
      <c r="I138" s="81"/>
      <c r="J138" s="81"/>
    </row>
    <row r="139" spans="1:10">
      <c r="A139" t="s">
        <v>510</v>
      </c>
      <c r="B139" s="81">
        <f>J135</f>
        <v>2899056</v>
      </c>
      <c r="C139" s="156" t="s">
        <v>511</v>
      </c>
      <c r="D139" s="81">
        <f>D136+D137+D138</f>
        <v>6636.6357769404003</v>
      </c>
      <c r="E139" s="81">
        <f>SUM(B139:D139)</f>
        <v>2905692.6357769403</v>
      </c>
      <c r="F139" s="81">
        <f>F136+F137+F138</f>
        <v>491784.5</v>
      </c>
      <c r="G139" s="81">
        <f>G136+G137+G138</f>
        <v>728295.32377218327</v>
      </c>
      <c r="H139" s="81">
        <f>I139-F139-G139</f>
        <v>-53320.187995243003</v>
      </c>
      <c r="I139" s="81">
        <f>E139-J139</f>
        <v>1166759.6357769403</v>
      </c>
      <c r="J139" s="81">
        <f>'tab01'!D91</f>
        <v>1738933</v>
      </c>
    </row>
    <row r="140" spans="1:10">
      <c r="A140" t="s">
        <v>193</v>
      </c>
      <c r="B140" s="81"/>
      <c r="C140" s="81"/>
      <c r="D140" s="254">
        <v>2222.236194906</v>
      </c>
      <c r="E140" s="254"/>
      <c r="F140" s="81">
        <f>4822.961*2000/60</f>
        <v>160765.36666666667</v>
      </c>
      <c r="G140" s="254">
        <v>114662.43159340622</v>
      </c>
      <c r="H140" s="81"/>
      <c r="I140" s="81"/>
      <c r="J140" s="81"/>
    </row>
    <row r="141" spans="1:10">
      <c r="A141" t="s">
        <v>194</v>
      </c>
      <c r="B141" s="81"/>
      <c r="C141" s="81"/>
      <c r="D141" s="254">
        <v>1604.5448722526999</v>
      </c>
      <c r="E141" s="254"/>
      <c r="F141" s="81">
        <f>4509.463*2000/60</f>
        <v>150315.43333333332</v>
      </c>
      <c r="G141" s="254">
        <v>89379.571790077796</v>
      </c>
      <c r="H141" s="81"/>
      <c r="I141" s="81"/>
      <c r="J141" s="81"/>
    </row>
    <row r="142" spans="1:10">
      <c r="A142" t="s">
        <v>197</v>
      </c>
      <c r="B142" s="81"/>
      <c r="C142" s="81"/>
      <c r="D142" s="254">
        <v>2126.7561472206003</v>
      </c>
      <c r="E142" s="254"/>
      <c r="F142" s="81">
        <f>4739.387*2000/60</f>
        <v>157979.56666666668</v>
      </c>
      <c r="G142" s="254">
        <v>53277.266951269201</v>
      </c>
      <c r="H142" s="81"/>
      <c r="I142" s="81"/>
      <c r="J142" s="81"/>
    </row>
    <row r="143" spans="1:10">
      <c r="A143" t="s">
        <v>512</v>
      </c>
      <c r="B143" s="81">
        <f>J139</f>
        <v>1738933</v>
      </c>
      <c r="C143" s="156" t="s">
        <v>511</v>
      </c>
      <c r="D143" s="81">
        <f>D140+D141+D142</f>
        <v>5953.5372143793002</v>
      </c>
      <c r="E143" s="81">
        <f>SUM(B143:D143)</f>
        <v>1744886.5372143793</v>
      </c>
      <c r="F143" s="81">
        <f>F140+F141+F142</f>
        <v>469060.3666666667</v>
      </c>
      <c r="G143" s="81">
        <f>G140+G141+G142</f>
        <v>257319.27033475324</v>
      </c>
      <c r="H143" s="81">
        <f>I143-F143-G143</f>
        <v>52650.900212959357</v>
      </c>
      <c r="I143" s="81">
        <f>E143-J143</f>
        <v>779030.53721437929</v>
      </c>
      <c r="J143" s="81">
        <f>'tab01'!D92</f>
        <v>965856</v>
      </c>
    </row>
    <row r="144" spans="1:10">
      <c r="A144" t="s">
        <v>149</v>
      </c>
      <c r="B144" s="81"/>
      <c r="C144" s="81"/>
      <c r="D144" s="254">
        <v>1053.7583524880999</v>
      </c>
      <c r="E144" s="254"/>
      <c r="F144" s="81">
        <f>4446.863*2000/60</f>
        <v>148228.76666666666</v>
      </c>
      <c r="G144" s="254">
        <v>65971.522682524199</v>
      </c>
      <c r="H144" s="81"/>
      <c r="I144" s="81"/>
      <c r="J144" s="81"/>
    </row>
    <row r="145" spans="1:10">
      <c r="A145" t="s">
        <v>579</v>
      </c>
      <c r="B145" s="81"/>
      <c r="C145" s="81"/>
      <c r="D145" s="254">
        <v>1718.3464310690999</v>
      </c>
      <c r="E145" s="254"/>
      <c r="F145" s="81">
        <f>4668.68*2000/60</f>
        <v>155622.66666666666</v>
      </c>
      <c r="G145" s="254">
        <v>83149.622890683298</v>
      </c>
      <c r="H145" s="81"/>
      <c r="I145" s="81"/>
      <c r="J145" s="81"/>
    </row>
    <row r="146" spans="1:10">
      <c r="A146" t="s">
        <v>401</v>
      </c>
      <c r="B146" s="81"/>
      <c r="C146" s="81"/>
      <c r="D146" s="254">
        <v>1454.1597424808999</v>
      </c>
      <c r="E146" s="254"/>
      <c r="F146" s="81">
        <f>4548.592*2000/60</f>
        <v>151619.73333333334</v>
      </c>
      <c r="G146" s="254">
        <v>113033.19546916531</v>
      </c>
      <c r="H146" s="81"/>
      <c r="I146" s="81"/>
      <c r="J146" s="81"/>
    </row>
    <row r="147" spans="1:10">
      <c r="A147" t="s">
        <v>513</v>
      </c>
      <c r="B147" s="81">
        <f>J143</f>
        <v>965856</v>
      </c>
      <c r="C147" s="156" t="s">
        <v>511</v>
      </c>
      <c r="D147" s="81">
        <f>D144+D145+D146</f>
        <v>4226.2645260380996</v>
      </c>
      <c r="E147" s="81">
        <f>SUM(B147:D147)</f>
        <v>970082.26452603808</v>
      </c>
      <c r="F147" s="81">
        <f>F144+F145+F146</f>
        <v>455471.16666666669</v>
      </c>
      <c r="G147" s="81">
        <f>G144+G145+G146</f>
        <v>262154.34104237281</v>
      </c>
      <c r="H147" s="81">
        <f>I147-F147-G147</f>
        <v>-49138.24318300141</v>
      </c>
      <c r="I147" s="81">
        <f>E147-J147</f>
        <v>668487.26452603808</v>
      </c>
      <c r="J147" s="81">
        <f>'tab01'!D93</f>
        <v>301595</v>
      </c>
    </row>
    <row r="148" spans="1:10">
      <c r="A148" t="s">
        <v>410</v>
      </c>
      <c r="B148" s="81"/>
      <c r="C148" s="81">
        <f>SUM(C135:C147)</f>
        <v>4296086</v>
      </c>
      <c r="D148" s="81">
        <f>D135+D139+D143+D147</f>
        <v>22241.776548522299</v>
      </c>
      <c r="E148" s="81">
        <f>B135+D148+C148</f>
        <v>4515056.7765485225</v>
      </c>
      <c r="F148" s="81">
        <f>F135+F139+F143+F147</f>
        <v>1901198.0666666667</v>
      </c>
      <c r="G148" s="81">
        <f>G135+G139+G143+G147</f>
        <v>2173652.5417372668</v>
      </c>
      <c r="H148" s="81">
        <f>H135+H139+H143+H147</f>
        <v>138611.16814458868</v>
      </c>
      <c r="I148" s="81">
        <f>I135+I139+I143+I147</f>
        <v>4213461.7765485225</v>
      </c>
      <c r="J148" s="81"/>
    </row>
    <row r="149" spans="1:10">
      <c r="B149" s="81"/>
      <c r="C149" s="81"/>
      <c r="D149" s="81"/>
      <c r="E149" s="81"/>
      <c r="F149" s="81"/>
      <c r="G149" s="81"/>
      <c r="H149" s="81"/>
      <c r="I149" s="81"/>
      <c r="J149" s="81"/>
    </row>
    <row r="150" spans="1:10">
      <c r="A150" t="s">
        <v>659</v>
      </c>
      <c r="B150" s="81"/>
      <c r="C150" s="81"/>
      <c r="D150" s="81"/>
      <c r="E150" s="81"/>
      <c r="F150" s="81"/>
      <c r="G150" s="81"/>
      <c r="H150" s="81"/>
      <c r="I150" s="81"/>
      <c r="J150" s="81"/>
    </row>
    <row r="151" spans="1:10">
      <c r="A151" t="s">
        <v>187</v>
      </c>
      <c r="B151" s="81"/>
      <c r="C151" s="81"/>
      <c r="D151" s="254">
        <v>1351.522573191</v>
      </c>
      <c r="E151" s="81"/>
      <c r="F151" s="254">
        <v>145373.56666666668</v>
      </c>
      <c r="G151" s="254">
        <v>170513.23875670979</v>
      </c>
      <c r="H151" s="81"/>
      <c r="I151" s="81"/>
      <c r="J151" s="81"/>
    </row>
    <row r="152" spans="1:10">
      <c r="A152" t="s">
        <v>188</v>
      </c>
      <c r="B152" s="81"/>
      <c r="C152" s="81"/>
      <c r="D152" s="254">
        <v>2839.4991227610003</v>
      </c>
      <c r="E152" s="81"/>
      <c r="F152" s="254">
        <v>175913.23333333334</v>
      </c>
      <c r="G152" s="254">
        <v>346907.26870543382</v>
      </c>
      <c r="H152" s="81"/>
      <c r="I152" s="81"/>
      <c r="J152" s="81"/>
    </row>
    <row r="153" spans="1:10">
      <c r="A153" t="s">
        <v>189</v>
      </c>
      <c r="B153" s="81"/>
      <c r="C153" s="81"/>
      <c r="D153" s="254">
        <v>1427.7526331900999</v>
      </c>
      <c r="E153" s="81"/>
      <c r="F153" s="254">
        <v>173348.73333333334</v>
      </c>
      <c r="G153" s="254">
        <v>331883.90658876818</v>
      </c>
      <c r="H153" s="81"/>
      <c r="I153" s="81"/>
      <c r="J153" s="81"/>
    </row>
    <row r="154" spans="1:10">
      <c r="A154" t="s">
        <v>509</v>
      </c>
      <c r="B154" s="81">
        <f>J147</f>
        <v>301595</v>
      </c>
      <c r="C154" s="254">
        <f>'tab02'!E63</f>
        <v>4391553</v>
      </c>
      <c r="D154" s="81">
        <f>D151+D152+D153</f>
        <v>5618.7743291421002</v>
      </c>
      <c r="E154" s="81">
        <f>SUM(B154:D154)</f>
        <v>4698766.7743291417</v>
      </c>
      <c r="F154" s="81">
        <f>F151+F152+F153</f>
        <v>494635.53333333338</v>
      </c>
      <c r="G154" s="81">
        <f>G151+G152+G153</f>
        <v>849304.41405091179</v>
      </c>
      <c r="H154" s="81">
        <f>I154-F154-G154</f>
        <v>197806.82694489649</v>
      </c>
      <c r="I154" s="81">
        <f>E154-J154</f>
        <v>1541746.7743291417</v>
      </c>
      <c r="J154" s="81">
        <f>'tab01'!D95</f>
        <v>3157020</v>
      </c>
    </row>
    <row r="155" spans="1:10">
      <c r="A155" s="1"/>
      <c r="B155" s="32"/>
      <c r="C155" s="163"/>
      <c r="D155" s="32"/>
      <c r="E155" s="32"/>
      <c r="F155" s="32"/>
      <c r="G155" s="32"/>
      <c r="H155" s="32"/>
      <c r="I155" s="32"/>
      <c r="J155" s="32"/>
    </row>
    <row r="156" spans="1:10">
      <c r="A156" t="s">
        <v>625</v>
      </c>
      <c r="B156" s="81"/>
      <c r="C156" s="156"/>
      <c r="D156" s="81"/>
      <c r="E156" s="81"/>
      <c r="F156" s="81"/>
      <c r="G156" s="81"/>
      <c r="H156" s="81"/>
      <c r="I156" s="81"/>
      <c r="J156" s="81"/>
    </row>
    <row r="157" spans="1:10" ht="10.25" customHeight="1">
      <c r="A157" t="s">
        <v>587</v>
      </c>
      <c r="B157" s="81"/>
      <c r="C157" s="156"/>
      <c r="D157" s="81"/>
      <c r="E157" s="81"/>
      <c r="F157" s="81"/>
      <c r="G157" s="81"/>
      <c r="H157" s="81"/>
      <c r="J157" s="305" t="s">
        <v>679</v>
      </c>
    </row>
    <row r="158" spans="1:10">
      <c r="B158" s="81"/>
      <c r="C158" s="81"/>
      <c r="D158" s="81"/>
      <c r="E158" s="81"/>
      <c r="F158" s="81"/>
      <c r="G158" s="81"/>
      <c r="H158" s="81"/>
    </row>
    <row r="159" spans="1:10">
      <c r="B159" s="81"/>
      <c r="C159" s="81"/>
      <c r="D159" s="81"/>
      <c r="E159" s="81"/>
      <c r="F159" s="81"/>
      <c r="G159" s="81"/>
      <c r="H159" s="81"/>
      <c r="I159" s="81"/>
      <c r="J159" s="81"/>
    </row>
    <row r="160" spans="1:10">
      <c r="B160" s="81"/>
      <c r="C160" s="81"/>
      <c r="D160" s="81"/>
      <c r="E160" s="81"/>
      <c r="F160" s="81"/>
      <c r="G160" s="81"/>
      <c r="H160" s="81"/>
      <c r="I160" s="81"/>
      <c r="J160" s="81"/>
    </row>
    <row r="161" spans="2:10">
      <c r="B161" s="81"/>
      <c r="C161" s="81"/>
      <c r="D161" s="81"/>
      <c r="E161" s="81"/>
      <c r="F161" s="81"/>
      <c r="G161" s="81"/>
      <c r="H161" s="81"/>
      <c r="I161" s="81"/>
      <c r="J161" s="81"/>
    </row>
    <row r="162" spans="2:10">
      <c r="B162" s="81"/>
      <c r="C162" s="156"/>
      <c r="D162" s="81"/>
      <c r="E162" s="81"/>
      <c r="F162" s="81"/>
      <c r="G162" s="81"/>
      <c r="H162" s="81"/>
      <c r="I162" s="81"/>
      <c r="J162" s="81"/>
    </row>
    <row r="163" spans="2:10">
      <c r="B163" s="81"/>
      <c r="C163" s="156"/>
      <c r="D163" s="81"/>
      <c r="E163" s="81"/>
      <c r="F163" s="81"/>
      <c r="G163" s="81"/>
      <c r="H163" s="81"/>
      <c r="I163" s="81"/>
      <c r="J163" s="81"/>
    </row>
    <row r="164" spans="2:10">
      <c r="B164" s="81"/>
      <c r="C164" s="156"/>
      <c r="D164" s="81"/>
      <c r="E164" s="81"/>
      <c r="F164" s="81"/>
      <c r="G164" s="81"/>
      <c r="H164" s="81"/>
      <c r="I164" s="81"/>
      <c r="J164" s="81"/>
    </row>
    <row r="165" spans="2:10">
      <c r="B165" s="81"/>
      <c r="C165" s="81"/>
      <c r="D165" s="81"/>
      <c r="E165" s="81"/>
      <c r="F165" s="81"/>
      <c r="G165" s="81"/>
      <c r="H165" s="81"/>
      <c r="I165" s="81"/>
      <c r="J165" s="81"/>
    </row>
    <row r="166" spans="2:10">
      <c r="B166" s="81"/>
      <c r="C166" s="81"/>
      <c r="D166" s="81"/>
      <c r="E166" s="81"/>
      <c r="F166" s="81"/>
      <c r="G166" s="81"/>
      <c r="H166" s="81"/>
      <c r="I166" s="81"/>
      <c r="J166" s="81"/>
    </row>
    <row r="167" spans="2:10">
      <c r="B167" s="81"/>
      <c r="C167" s="81"/>
      <c r="D167" s="81"/>
      <c r="E167" s="81"/>
      <c r="F167" s="81"/>
      <c r="G167" s="81"/>
      <c r="H167" s="81"/>
      <c r="I167" s="81"/>
      <c r="J167" s="81"/>
    </row>
    <row r="168" spans="2:10">
      <c r="B168" s="81"/>
      <c r="C168" s="81"/>
      <c r="D168" s="81"/>
      <c r="E168" s="81"/>
      <c r="F168" s="81"/>
      <c r="G168" s="81"/>
      <c r="H168" s="81"/>
      <c r="I168" s="81"/>
      <c r="J168" s="81"/>
    </row>
    <row r="169" spans="2:10">
      <c r="B169" s="81"/>
      <c r="C169" s="156"/>
      <c r="D169" s="81"/>
      <c r="E169" s="81"/>
      <c r="F169" s="81"/>
      <c r="G169" s="81"/>
      <c r="H169" s="81"/>
      <c r="I169" s="81"/>
      <c r="J169" s="81"/>
    </row>
    <row r="170" spans="2:10">
      <c r="B170" s="81"/>
      <c r="C170" s="156"/>
      <c r="D170" s="81"/>
      <c r="E170" s="81"/>
      <c r="F170" s="81"/>
      <c r="G170" s="81"/>
      <c r="H170" s="81"/>
      <c r="I170" s="81"/>
      <c r="J170" s="81"/>
    </row>
    <row r="171" spans="2:10">
      <c r="B171" s="81"/>
      <c r="C171" s="156"/>
      <c r="D171" s="81"/>
      <c r="E171" s="81"/>
      <c r="F171" s="81"/>
      <c r="G171" s="81"/>
      <c r="H171" s="81"/>
      <c r="I171" s="81"/>
      <c r="J171" s="81"/>
    </row>
    <row r="172" spans="2:10">
      <c r="B172" s="81"/>
      <c r="C172" s="81"/>
      <c r="D172" s="81"/>
      <c r="E172" s="81"/>
      <c r="F172" s="81"/>
      <c r="G172" s="81"/>
      <c r="H172" s="81"/>
      <c r="I172" s="81"/>
      <c r="J172" s="81"/>
    </row>
    <row r="173" spans="2:10">
      <c r="B173" s="81"/>
      <c r="C173" s="81"/>
      <c r="D173" s="81"/>
      <c r="E173" s="81"/>
      <c r="F173" s="81"/>
      <c r="G173" s="81"/>
      <c r="H173" s="81"/>
      <c r="I173" s="81"/>
      <c r="J173" s="81"/>
    </row>
    <row r="174" spans="2:10">
      <c r="B174" s="81"/>
      <c r="C174" s="81"/>
      <c r="D174" s="81"/>
      <c r="E174" s="81"/>
      <c r="F174" s="81"/>
      <c r="G174" s="81"/>
      <c r="H174" s="81"/>
      <c r="I174" s="81"/>
      <c r="J174" s="81"/>
    </row>
    <row r="175" spans="2:10">
      <c r="B175" s="81"/>
      <c r="C175" s="81"/>
      <c r="D175" s="81"/>
      <c r="E175" s="81"/>
      <c r="F175" s="81"/>
      <c r="G175" s="81"/>
      <c r="H175" s="81"/>
      <c r="I175" s="81"/>
      <c r="J175" s="81"/>
    </row>
    <row r="176" spans="2:10">
      <c r="B176" s="81"/>
      <c r="C176" s="156"/>
      <c r="D176" s="81"/>
      <c r="E176" s="81"/>
      <c r="F176" s="81"/>
      <c r="G176" s="81"/>
      <c r="H176" s="81"/>
      <c r="I176" s="81"/>
      <c r="J176" s="81"/>
    </row>
    <row r="177" spans="2:10">
      <c r="B177" s="81"/>
      <c r="C177" s="156"/>
      <c r="D177" s="81"/>
      <c r="E177" s="81"/>
      <c r="F177" s="81"/>
      <c r="G177" s="81"/>
      <c r="H177" s="81"/>
      <c r="I177" s="81"/>
      <c r="J177" s="81"/>
    </row>
    <row r="178" spans="2:10">
      <c r="B178" s="81"/>
      <c r="C178" s="156"/>
      <c r="D178" s="81"/>
      <c r="E178" s="81"/>
      <c r="F178" s="81"/>
      <c r="G178" s="81"/>
      <c r="H178" s="81"/>
      <c r="I178" s="81"/>
      <c r="J178" s="81"/>
    </row>
    <row r="179" spans="2:10">
      <c r="B179" s="81"/>
      <c r="C179" s="81"/>
      <c r="D179" s="81"/>
      <c r="E179" s="81"/>
      <c r="F179" s="81"/>
      <c r="G179" s="81"/>
      <c r="H179" s="81"/>
      <c r="I179" s="81"/>
      <c r="J179" s="81"/>
    </row>
    <row r="180" spans="2:10">
      <c r="B180" s="81"/>
      <c r="C180" s="81"/>
      <c r="D180" s="81"/>
      <c r="E180" s="81"/>
      <c r="F180" s="81"/>
      <c r="G180" s="81"/>
      <c r="H180" s="81"/>
      <c r="I180" s="81"/>
      <c r="J180" s="81"/>
    </row>
    <row r="181" spans="2:10">
      <c r="B181" s="81"/>
      <c r="C181" s="81"/>
      <c r="D181" s="81"/>
      <c r="E181" s="81"/>
      <c r="F181" s="81"/>
      <c r="G181" s="81"/>
      <c r="H181" s="81"/>
      <c r="I181" s="81"/>
      <c r="J181" s="81"/>
    </row>
    <row r="182" spans="2:10">
      <c r="B182" s="81"/>
      <c r="C182" s="81"/>
      <c r="D182" s="81"/>
      <c r="E182" s="81"/>
      <c r="F182" s="81"/>
      <c r="G182" s="81"/>
      <c r="H182" s="81"/>
      <c r="I182" s="81"/>
      <c r="J182" s="81"/>
    </row>
    <row r="183" spans="2:10">
      <c r="B183" s="81"/>
      <c r="C183" s="156"/>
      <c r="D183" s="81"/>
      <c r="E183" s="81"/>
      <c r="F183" s="81"/>
      <c r="G183" s="81"/>
      <c r="H183" s="81"/>
      <c r="I183" s="81"/>
      <c r="J183" s="81"/>
    </row>
    <row r="184" spans="2:10">
      <c r="B184" s="81"/>
      <c r="C184" s="156"/>
      <c r="D184" s="81"/>
      <c r="E184" s="81"/>
      <c r="F184" s="81"/>
      <c r="G184" s="81"/>
      <c r="H184" s="81"/>
      <c r="I184" s="81"/>
      <c r="J184" s="81"/>
    </row>
    <row r="185" spans="2:10">
      <c r="B185" s="81"/>
      <c r="C185" s="156"/>
      <c r="D185" s="81"/>
      <c r="E185" s="81"/>
      <c r="F185" s="81"/>
      <c r="G185" s="81"/>
      <c r="H185" s="81"/>
      <c r="I185" s="81"/>
      <c r="J185" s="81"/>
    </row>
    <row r="186" spans="2:10">
      <c r="B186" s="81"/>
      <c r="C186" s="81"/>
      <c r="D186" s="81"/>
      <c r="E186" s="81"/>
      <c r="F186" s="81"/>
      <c r="G186" s="81"/>
      <c r="H186" s="81"/>
      <c r="I186" s="81"/>
      <c r="J186" s="81"/>
    </row>
    <row r="187" spans="2:10">
      <c r="B187" s="81"/>
      <c r="C187" s="81"/>
      <c r="D187" s="81"/>
      <c r="E187" s="81"/>
      <c r="F187" s="81"/>
      <c r="G187" s="81"/>
      <c r="H187" s="81"/>
      <c r="I187" s="81"/>
      <c r="J187" s="81"/>
    </row>
    <row r="188" spans="2:10">
      <c r="B188" s="81"/>
      <c r="C188" s="81"/>
      <c r="D188" s="81"/>
      <c r="E188" s="81"/>
      <c r="F188" s="81"/>
      <c r="G188" s="81"/>
      <c r="H188" s="81"/>
      <c r="I188" s="81"/>
      <c r="J188" s="81"/>
    </row>
    <row r="189" spans="2:10">
      <c r="B189" s="81"/>
      <c r="C189" s="81"/>
      <c r="D189" s="81"/>
      <c r="E189" s="81"/>
      <c r="F189" s="81"/>
      <c r="G189" s="81"/>
      <c r="H189" s="81"/>
      <c r="I189" s="81"/>
      <c r="J189" s="81"/>
    </row>
    <row r="190" spans="2:10">
      <c r="B190" s="81"/>
      <c r="C190" s="156"/>
      <c r="D190" s="81"/>
      <c r="E190" s="81"/>
      <c r="F190" s="81"/>
      <c r="G190" s="81"/>
      <c r="H190" s="81"/>
      <c r="I190" s="81"/>
      <c r="J190" s="81"/>
    </row>
    <row r="191" spans="2:10">
      <c r="B191" s="81"/>
      <c r="C191" s="156"/>
      <c r="D191" s="81"/>
      <c r="E191" s="81"/>
      <c r="F191" s="81"/>
      <c r="G191" s="81"/>
      <c r="H191" s="81"/>
      <c r="I191" s="81"/>
      <c r="J191" s="81"/>
    </row>
    <row r="192" spans="2:10">
      <c r="B192" s="81"/>
      <c r="C192" s="156"/>
      <c r="D192" s="81"/>
      <c r="E192" s="81"/>
      <c r="F192" s="81"/>
      <c r="G192" s="81"/>
      <c r="H192" s="81"/>
      <c r="I192" s="81"/>
      <c r="J192" s="81"/>
    </row>
    <row r="193" spans="2:10">
      <c r="B193" s="81"/>
      <c r="C193" s="81"/>
      <c r="D193" s="81"/>
      <c r="E193" s="81"/>
      <c r="F193" s="81"/>
      <c r="G193" s="81"/>
      <c r="H193" s="81"/>
      <c r="I193" s="81"/>
      <c r="J193" s="81"/>
    </row>
    <row r="194" spans="2:10">
      <c r="B194" s="81"/>
      <c r="C194" s="81"/>
      <c r="D194" s="81"/>
      <c r="E194" s="81"/>
      <c r="F194" s="81"/>
      <c r="G194" s="81"/>
      <c r="H194" s="81"/>
      <c r="I194" s="81"/>
      <c r="J194" s="81"/>
    </row>
    <row r="195" spans="2:10">
      <c r="B195" s="81"/>
      <c r="C195" s="81"/>
      <c r="D195" s="81"/>
      <c r="E195" s="81"/>
      <c r="F195" s="81"/>
      <c r="G195" s="81"/>
      <c r="H195" s="81"/>
      <c r="I195" s="81"/>
      <c r="J195" s="81"/>
    </row>
    <row r="196" spans="2:10">
      <c r="B196" s="81"/>
      <c r="C196" s="81"/>
      <c r="D196" s="81"/>
      <c r="E196" s="81"/>
      <c r="F196" s="81"/>
      <c r="G196" s="81"/>
      <c r="H196" s="81"/>
      <c r="I196" s="81"/>
      <c r="J196" s="81"/>
    </row>
    <row r="197" spans="2:10">
      <c r="B197" s="81"/>
      <c r="C197" s="156"/>
      <c r="D197" s="81"/>
      <c r="E197" s="81"/>
      <c r="F197" s="81"/>
      <c r="G197" s="81"/>
      <c r="H197" s="81"/>
      <c r="I197" s="81"/>
      <c r="J197" s="81"/>
    </row>
    <row r="198" spans="2:10">
      <c r="B198" s="81"/>
      <c r="C198" s="156"/>
      <c r="D198" s="81"/>
      <c r="E198" s="81"/>
      <c r="F198" s="81"/>
      <c r="G198" s="81"/>
      <c r="H198" s="81"/>
      <c r="I198" s="81"/>
      <c r="J198" s="81"/>
    </row>
    <row r="199" spans="2:10">
      <c r="B199" s="81"/>
      <c r="C199" s="156"/>
      <c r="D199" s="81"/>
      <c r="E199" s="81"/>
      <c r="F199" s="81"/>
      <c r="G199" s="81"/>
      <c r="H199" s="81"/>
      <c r="I199" s="81"/>
      <c r="J199" s="81"/>
    </row>
    <row r="200" spans="2:10">
      <c r="B200" s="81"/>
      <c r="C200" s="81"/>
      <c r="D200" s="81"/>
      <c r="E200" s="81"/>
      <c r="F200" s="81"/>
      <c r="G200" s="81"/>
      <c r="H200" s="81"/>
      <c r="I200" s="81"/>
      <c r="J200" s="81"/>
    </row>
    <row r="201" spans="2:10">
      <c r="B201" s="81"/>
      <c r="C201" s="81"/>
      <c r="D201" s="81"/>
      <c r="E201" s="81"/>
      <c r="F201" s="81"/>
      <c r="G201" s="81"/>
      <c r="H201" s="81"/>
      <c r="I201" s="81"/>
      <c r="J201" s="81"/>
    </row>
    <row r="202" spans="2:10">
      <c r="B202" s="81"/>
      <c r="C202" s="81"/>
      <c r="D202" s="81"/>
      <c r="E202" s="81"/>
      <c r="F202" s="81"/>
      <c r="G202" s="81"/>
      <c r="H202" s="81"/>
      <c r="I202" s="81"/>
      <c r="J202" s="81"/>
    </row>
    <row r="203" spans="2:10">
      <c r="B203" s="81"/>
      <c r="C203" s="81"/>
      <c r="D203" s="81"/>
      <c r="E203" s="81"/>
      <c r="F203" s="81"/>
      <c r="G203" s="81"/>
      <c r="H203" s="81"/>
      <c r="I203" s="81"/>
      <c r="J203" s="81"/>
    </row>
    <row r="204" spans="2:10">
      <c r="B204" s="81"/>
      <c r="C204" s="156"/>
      <c r="D204" s="81"/>
      <c r="E204" s="81"/>
      <c r="F204" s="81"/>
      <c r="G204" s="81"/>
      <c r="H204" s="81"/>
      <c r="I204" s="81"/>
      <c r="J204" s="81"/>
    </row>
    <row r="205" spans="2:10">
      <c r="B205" s="81"/>
      <c r="C205" s="156"/>
      <c r="D205" s="81"/>
      <c r="E205" s="81"/>
      <c r="F205" s="81"/>
      <c r="G205" s="81"/>
      <c r="H205" s="81"/>
      <c r="I205" s="81"/>
      <c r="J205" s="81"/>
    </row>
    <row r="206" spans="2:10">
      <c r="B206" s="81"/>
      <c r="C206" s="156"/>
      <c r="D206" s="81"/>
      <c r="E206" s="81"/>
      <c r="F206" s="81"/>
      <c r="G206" s="81"/>
      <c r="H206" s="81"/>
      <c r="I206" s="81"/>
      <c r="J206" s="81"/>
    </row>
    <row r="207" spans="2:10">
      <c r="B207" s="81"/>
      <c r="C207" s="81"/>
      <c r="D207" s="81"/>
      <c r="E207" s="81"/>
      <c r="F207" s="81"/>
      <c r="G207" s="81"/>
      <c r="H207" s="81"/>
      <c r="I207" s="81"/>
      <c r="J207" s="81"/>
    </row>
    <row r="208" spans="2:10">
      <c r="B208" s="81"/>
      <c r="C208" s="81"/>
      <c r="D208" s="81"/>
      <c r="E208" s="81"/>
      <c r="F208" s="81"/>
      <c r="G208" s="81"/>
      <c r="H208" s="81"/>
      <c r="I208" s="81"/>
      <c r="J208" s="81"/>
    </row>
    <row r="209" spans="2:10">
      <c r="B209" s="81"/>
      <c r="C209" s="81"/>
      <c r="D209" s="81"/>
      <c r="E209" s="81"/>
      <c r="F209" s="81"/>
      <c r="G209" s="81"/>
      <c r="H209" s="81"/>
      <c r="I209" s="81"/>
      <c r="J209" s="81"/>
    </row>
    <row r="210" spans="2:10">
      <c r="B210" s="81"/>
      <c r="C210" s="81"/>
      <c r="D210" s="81"/>
      <c r="E210" s="81"/>
      <c r="F210" s="81"/>
      <c r="G210" s="81"/>
      <c r="H210" s="81"/>
      <c r="I210" s="81"/>
      <c r="J210" s="81"/>
    </row>
    <row r="211" spans="2:10">
      <c r="B211" s="81"/>
      <c r="C211" s="156"/>
      <c r="D211" s="81"/>
      <c r="E211" s="81"/>
      <c r="F211" s="81"/>
      <c r="G211" s="81"/>
      <c r="H211" s="81"/>
      <c r="I211" s="81"/>
      <c r="J211" s="81"/>
    </row>
    <row r="212" spans="2:10">
      <c r="B212" s="81"/>
      <c r="C212" s="156"/>
      <c r="D212" s="81"/>
      <c r="E212" s="81"/>
      <c r="F212" s="81"/>
      <c r="G212" s="81"/>
      <c r="H212" s="81"/>
      <c r="I212" s="81"/>
      <c r="J212" s="81"/>
    </row>
    <row r="213" spans="2:10">
      <c r="B213" s="81"/>
      <c r="C213" s="156"/>
      <c r="D213" s="81"/>
      <c r="E213" s="81"/>
      <c r="F213" s="81"/>
      <c r="G213" s="81"/>
      <c r="H213" s="81"/>
      <c r="I213" s="81"/>
      <c r="J213" s="81"/>
    </row>
    <row r="214" spans="2:10">
      <c r="B214" s="81"/>
      <c r="C214" s="81"/>
      <c r="D214" s="81"/>
      <c r="E214" s="81"/>
      <c r="F214" s="81"/>
      <c r="G214" s="81"/>
      <c r="H214" s="81"/>
      <c r="I214" s="81"/>
      <c r="J214" s="81"/>
    </row>
    <row r="215" spans="2:10">
      <c r="B215" s="81"/>
      <c r="C215" s="81"/>
      <c r="D215" s="81"/>
      <c r="E215" s="81"/>
      <c r="F215" s="81"/>
      <c r="G215" s="81"/>
      <c r="H215" s="81"/>
      <c r="I215" s="81"/>
      <c r="J215" s="81"/>
    </row>
    <row r="216" spans="2:10">
      <c r="B216" s="81"/>
      <c r="C216" s="81"/>
      <c r="D216" s="81"/>
      <c r="E216" s="81"/>
      <c r="F216" s="81"/>
      <c r="G216" s="81"/>
      <c r="H216" s="81"/>
      <c r="I216" s="81"/>
      <c r="J216" s="81"/>
    </row>
    <row r="217" spans="2:10">
      <c r="B217" s="81"/>
      <c r="C217" s="81"/>
      <c r="D217" s="81"/>
      <c r="E217" s="81"/>
      <c r="F217" s="81"/>
      <c r="G217" s="81"/>
      <c r="H217" s="81"/>
      <c r="I217" s="81"/>
      <c r="J217" s="81"/>
    </row>
    <row r="218" spans="2:10">
      <c r="B218" s="81"/>
      <c r="C218" s="156"/>
      <c r="D218" s="81"/>
      <c r="E218" s="81"/>
      <c r="F218" s="81"/>
      <c r="G218" s="81"/>
      <c r="H218" s="81"/>
      <c r="I218" s="81"/>
      <c r="J218" s="81"/>
    </row>
    <row r="219" spans="2:10">
      <c r="B219" s="81"/>
      <c r="C219" s="156"/>
      <c r="D219" s="81"/>
      <c r="E219" s="81"/>
      <c r="F219" s="81"/>
      <c r="G219" s="81"/>
      <c r="H219" s="81"/>
      <c r="I219" s="81"/>
      <c r="J219" s="81"/>
    </row>
    <row r="220" spans="2:10">
      <c r="B220" s="81"/>
      <c r="C220" s="156"/>
      <c r="D220" s="81"/>
      <c r="E220" s="81"/>
      <c r="F220" s="81"/>
      <c r="G220" s="81"/>
      <c r="H220" s="81"/>
      <c r="I220" s="81"/>
      <c r="J220" s="81"/>
    </row>
    <row r="221" spans="2:10">
      <c r="B221" s="81"/>
      <c r="C221" s="81"/>
      <c r="D221" s="81"/>
      <c r="E221" s="81"/>
      <c r="F221" s="81"/>
      <c r="G221" s="81"/>
      <c r="H221" s="81"/>
      <c r="I221" s="81"/>
      <c r="J221" s="81"/>
    </row>
    <row r="222" spans="2:10">
      <c r="B222" s="81"/>
      <c r="C222" s="81"/>
      <c r="D222" s="81"/>
      <c r="E222" s="81"/>
      <c r="F222" s="81"/>
      <c r="G222" s="81"/>
      <c r="H222" s="81"/>
      <c r="I222" s="81"/>
      <c r="J222" s="81"/>
    </row>
    <row r="223" spans="2:10">
      <c r="B223" s="81"/>
      <c r="C223" s="81"/>
      <c r="D223" s="81"/>
      <c r="E223" s="81"/>
      <c r="F223" s="81"/>
      <c r="G223" s="81"/>
      <c r="H223" s="81"/>
      <c r="I223" s="81"/>
      <c r="J223" s="81"/>
    </row>
    <row r="224" spans="2:10">
      <c r="B224" s="81"/>
      <c r="C224" s="81"/>
      <c r="D224" s="81"/>
      <c r="E224" s="81"/>
      <c r="F224" s="81"/>
      <c r="G224" s="81"/>
      <c r="H224" s="81"/>
      <c r="I224" s="81"/>
      <c r="J224" s="81"/>
    </row>
    <row r="225" spans="2:10">
      <c r="B225" s="81"/>
      <c r="C225" s="156"/>
      <c r="D225" s="81"/>
      <c r="E225" s="81"/>
      <c r="F225" s="81"/>
      <c r="G225" s="81"/>
      <c r="H225" s="81"/>
      <c r="I225" s="81"/>
      <c r="J225" s="81"/>
    </row>
    <row r="226" spans="2:10">
      <c r="B226" s="81"/>
      <c r="C226" s="156"/>
      <c r="D226" s="81"/>
      <c r="E226" s="81"/>
      <c r="F226" s="81"/>
      <c r="G226" s="81"/>
      <c r="H226" s="81"/>
      <c r="I226" s="81"/>
      <c r="J226" s="81"/>
    </row>
    <row r="227" spans="2:10">
      <c r="B227" s="81"/>
      <c r="C227" s="156"/>
      <c r="D227" s="81"/>
      <c r="E227" s="81"/>
      <c r="F227" s="81"/>
      <c r="G227" s="81"/>
      <c r="H227" s="81"/>
      <c r="I227" s="81"/>
      <c r="J227" s="81"/>
    </row>
    <row r="228" spans="2:10">
      <c r="B228" s="81"/>
      <c r="C228" s="81"/>
      <c r="D228" s="81"/>
      <c r="E228" s="81"/>
      <c r="F228" s="81"/>
      <c r="G228" s="81"/>
      <c r="H228" s="81"/>
      <c r="I228" s="81"/>
      <c r="J228" s="81"/>
    </row>
    <row r="229" spans="2:10">
      <c r="B229" s="81"/>
      <c r="C229" s="81"/>
      <c r="D229" s="81"/>
      <c r="E229" s="81"/>
      <c r="F229" s="81"/>
      <c r="G229" s="81"/>
      <c r="H229" s="81"/>
      <c r="I229" s="81"/>
      <c r="J229" s="81"/>
    </row>
    <row r="230" spans="2:10">
      <c r="B230" s="81"/>
      <c r="C230" s="81"/>
      <c r="D230" s="81"/>
      <c r="E230" s="81"/>
      <c r="F230" s="81"/>
      <c r="G230" s="81"/>
      <c r="H230" s="81"/>
      <c r="I230" s="81"/>
      <c r="J230" s="81"/>
    </row>
    <row r="231" spans="2:10">
      <c r="B231" s="81"/>
      <c r="C231" s="81"/>
      <c r="D231" s="81"/>
      <c r="E231" s="81"/>
      <c r="F231" s="81"/>
      <c r="G231" s="81"/>
      <c r="H231" s="81"/>
      <c r="I231" s="81"/>
      <c r="J231" s="81"/>
    </row>
    <row r="232" spans="2:10">
      <c r="B232" s="81"/>
      <c r="C232" s="156"/>
      <c r="D232" s="81"/>
      <c r="E232" s="81"/>
      <c r="F232" s="81"/>
      <c r="G232" s="81"/>
      <c r="H232" s="81"/>
      <c r="I232" s="81"/>
      <c r="J232" s="81"/>
    </row>
    <row r="233" spans="2:10">
      <c r="B233" s="81"/>
      <c r="C233" s="156"/>
      <c r="D233" s="81"/>
      <c r="E233" s="81"/>
      <c r="F233" s="81"/>
      <c r="G233" s="81"/>
      <c r="H233" s="81"/>
      <c r="I233" s="81"/>
      <c r="J233" s="81"/>
    </row>
    <row r="234" spans="2:10">
      <c r="B234" s="81"/>
      <c r="C234" s="156"/>
      <c r="D234" s="81"/>
      <c r="E234" s="81"/>
      <c r="F234" s="81"/>
      <c r="G234" s="81"/>
      <c r="H234" s="81"/>
      <c r="I234" s="81"/>
      <c r="J234" s="81"/>
    </row>
    <row r="235" spans="2:10">
      <c r="B235" s="81"/>
      <c r="C235" s="81"/>
      <c r="D235" s="81"/>
      <c r="E235" s="81"/>
      <c r="F235" s="81"/>
      <c r="G235" s="81"/>
      <c r="H235" s="81"/>
      <c r="I235" s="81"/>
      <c r="J235" s="81"/>
    </row>
    <row r="236" spans="2:10">
      <c r="B236" s="81"/>
      <c r="C236" s="81"/>
      <c r="D236" s="81"/>
      <c r="E236" s="81"/>
      <c r="F236" s="81"/>
      <c r="G236" s="81"/>
      <c r="H236" s="81"/>
      <c r="I236" s="81"/>
      <c r="J236" s="81"/>
    </row>
    <row r="237" spans="2:10">
      <c r="B237" s="81"/>
      <c r="C237" s="81"/>
      <c r="D237" s="81"/>
      <c r="E237" s="81"/>
      <c r="F237" s="81"/>
      <c r="G237" s="81"/>
      <c r="H237" s="81"/>
      <c r="I237" s="81"/>
      <c r="J237" s="81"/>
    </row>
    <row r="238" spans="2:10">
      <c r="B238" s="81"/>
      <c r="C238" s="81"/>
      <c r="D238" s="81"/>
      <c r="E238" s="81"/>
      <c r="F238" s="81"/>
      <c r="G238" s="81"/>
      <c r="H238" s="81"/>
      <c r="I238" s="81"/>
      <c r="J238" s="81"/>
    </row>
    <row r="239" spans="2:10">
      <c r="B239" s="81"/>
      <c r="C239" s="156"/>
      <c r="D239" s="81"/>
      <c r="E239" s="81"/>
      <c r="F239" s="81"/>
      <c r="G239" s="81"/>
      <c r="H239" s="81"/>
      <c r="I239" s="81"/>
      <c r="J239" s="81"/>
    </row>
    <row r="240" spans="2:10">
      <c r="B240" s="81"/>
      <c r="C240" s="156"/>
      <c r="D240" s="81"/>
      <c r="E240" s="81"/>
      <c r="F240" s="81"/>
      <c r="G240" s="81"/>
      <c r="H240" s="81"/>
      <c r="I240" s="81"/>
      <c r="J240" s="81"/>
    </row>
    <row r="241" spans="2:10">
      <c r="B241" s="81"/>
      <c r="C241" s="156"/>
      <c r="D241" s="81"/>
      <c r="E241" s="81"/>
      <c r="F241" s="81"/>
      <c r="G241" s="81"/>
      <c r="H241" s="81"/>
      <c r="I241" s="81"/>
      <c r="J241" s="81"/>
    </row>
    <row r="242" spans="2:10">
      <c r="B242" s="81"/>
      <c r="C242" s="81"/>
      <c r="D242" s="81"/>
      <c r="E242" s="81"/>
      <c r="F242" s="81"/>
      <c r="G242" s="81"/>
      <c r="H242" s="81"/>
      <c r="I242" s="81"/>
      <c r="J242" s="81"/>
    </row>
    <row r="243" spans="2:10">
      <c r="B243" s="81"/>
      <c r="C243" s="81"/>
      <c r="D243" s="81"/>
      <c r="E243" s="81"/>
      <c r="F243" s="81"/>
      <c r="G243" s="81"/>
      <c r="H243" s="81"/>
      <c r="I243" s="81"/>
      <c r="J243" s="81"/>
    </row>
    <row r="330" spans="2:2">
      <c r="B330" s="81"/>
    </row>
    <row r="331" spans="2:2">
      <c r="B331" s="81"/>
    </row>
    <row r="340" spans="2:2">
      <c r="B340" s="81"/>
    </row>
  </sheetData>
  <phoneticPr fontId="0" type="noConversion"/>
  <pageMargins left="0.25" right="0.25" top="0.75" bottom="0.75" header="0.3" footer="0.3"/>
  <pageSetup scale="75" firstPageNumber="33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235" max="9" man="1"/>
  </rowBreaks>
  <ignoredErrors>
    <ignoredError sqref="E12 E19 E26 E33 E40 E47 E54 E61 E68 E75 E82 E116 E120 E124 E128:E129 E135 H110 H103 H96 H89" 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93"/>
  <sheetViews>
    <sheetView zoomScale="106" zoomScaleNormal="106" zoomScaleSheetLayoutView="100" workbookViewId="0">
      <pane xSplit="1" ySplit="6" topLeftCell="B58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8.75" defaultRowHeight="11"/>
  <cols>
    <col min="1" max="1" width="15.25" customWidth="1"/>
    <col min="2" max="5" width="12.75" customWidth="1"/>
    <col min="6" max="6" width="0.75" customWidth="1"/>
    <col min="7" max="10" width="12.75" customWidth="1"/>
  </cols>
  <sheetData>
    <row r="1" spans="1:10">
      <c r="A1" s="150" t="s">
        <v>692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314"/>
      <c r="C2" s="335" t="s">
        <v>203</v>
      </c>
      <c r="D2" s="314"/>
      <c r="E2" s="314"/>
      <c r="G2" s="3"/>
      <c r="H2" s="306" t="s">
        <v>204</v>
      </c>
      <c r="I2" s="306"/>
    </row>
    <row r="3" spans="1:10">
      <c r="A3" t="s">
        <v>147</v>
      </c>
      <c r="B3" s="7" t="s">
        <v>141</v>
      </c>
      <c r="G3" s="38" t="s">
        <v>142</v>
      </c>
      <c r="J3" s="7" t="s">
        <v>143</v>
      </c>
    </row>
    <row r="4" spans="1:10">
      <c r="A4" t="s">
        <v>100</v>
      </c>
      <c r="B4" s="38" t="s">
        <v>110</v>
      </c>
      <c r="C4" s="191" t="s">
        <v>66</v>
      </c>
      <c r="D4" s="188" t="s">
        <v>88</v>
      </c>
      <c r="E4" s="193" t="s">
        <v>3</v>
      </c>
      <c r="G4" s="7" t="s">
        <v>205</v>
      </c>
      <c r="H4" s="38" t="s">
        <v>90</v>
      </c>
      <c r="I4" s="192" t="s">
        <v>3</v>
      </c>
      <c r="J4" s="38" t="s">
        <v>110</v>
      </c>
    </row>
    <row r="5" spans="1:10">
      <c r="A5" s="1" t="s">
        <v>200</v>
      </c>
      <c r="B5" s="1"/>
      <c r="C5" s="1"/>
      <c r="D5" s="1"/>
      <c r="E5" s="1"/>
      <c r="F5" s="1"/>
      <c r="G5" s="1"/>
      <c r="H5" s="1"/>
      <c r="I5" s="1"/>
      <c r="J5" s="1"/>
    </row>
    <row r="6" spans="1:10">
      <c r="C6" s="312"/>
      <c r="D6" s="312"/>
      <c r="E6" s="342" t="s">
        <v>202</v>
      </c>
      <c r="F6" s="312"/>
      <c r="G6" s="312"/>
      <c r="H6" s="312"/>
      <c r="I6" s="312"/>
      <c r="J6" s="312"/>
    </row>
    <row r="7" spans="1:10">
      <c r="A7" t="s">
        <v>470</v>
      </c>
      <c r="B7" s="41"/>
      <c r="C7" s="86"/>
      <c r="D7" s="86"/>
      <c r="E7" s="86"/>
      <c r="F7" s="86"/>
      <c r="G7" s="86"/>
      <c r="H7" s="86"/>
      <c r="I7" s="86"/>
      <c r="J7" s="87"/>
    </row>
    <row r="8" spans="1:10">
      <c r="A8" t="s">
        <v>188</v>
      </c>
      <c r="B8" s="87">
        <f>308.205+34.764</f>
        <v>342.96899999999999</v>
      </c>
      <c r="C8" s="86">
        <f>3587.55509+281.92317</f>
        <v>3869.4782599999999</v>
      </c>
      <c r="D8" s="86">
        <f>(7928.249+2242+1077.358)*2.204622/2000</f>
        <v>12.398360919777</v>
      </c>
      <c r="E8" s="42">
        <f t="shared" ref="E8:E19" si="0">B8+C8+D8</f>
        <v>4224.8456209197766</v>
      </c>
      <c r="G8" s="42">
        <f t="shared" ref="G8:G19" si="1">I8-H8</f>
        <v>3210.5927098682037</v>
      </c>
      <c r="H8" s="87">
        <f>((529.163932+6.5+107.626311))*(2.204622/2)</f>
        <v>709.10591105157312</v>
      </c>
      <c r="I8" s="42">
        <f>E8-J8</f>
        <v>3919.6986209197767</v>
      </c>
      <c r="J8" s="87">
        <f>274.757+30.39</f>
        <v>305.14699999999999</v>
      </c>
    </row>
    <row r="9" spans="1:10">
      <c r="A9" t="s">
        <v>189</v>
      </c>
      <c r="B9" s="86">
        <f>+J8</f>
        <v>305.14699999999999</v>
      </c>
      <c r="C9" s="86">
        <f>3434.1827+275.2598</f>
        <v>3709.4424999999997</v>
      </c>
      <c r="D9" s="86">
        <f>(7477.211+1890+1626.705)*2.204622/2000</f>
        <v>12.118714539876001</v>
      </c>
      <c r="E9" s="42">
        <f t="shared" si="0"/>
        <v>4026.7082145398754</v>
      </c>
      <c r="G9" s="42">
        <f t="shared" si="1"/>
        <v>2829.0393881243926</v>
      </c>
      <c r="H9" s="87">
        <f>((682.816496+31.632+104.014557))*(2.204622/2)</f>
        <v>902.20082641548299</v>
      </c>
      <c r="I9" s="42">
        <f t="shared" ref="I9:I19" si="2">E9-J9</f>
        <v>3731.2402145398755</v>
      </c>
      <c r="J9" s="87">
        <f>266.814+28.654</f>
        <v>295.46800000000002</v>
      </c>
    </row>
    <row r="10" spans="1:10">
      <c r="A10" t="s">
        <v>190</v>
      </c>
      <c r="B10" s="86">
        <f t="shared" ref="B10:B19" si="3">+J9</f>
        <v>295.46800000000002</v>
      </c>
      <c r="C10" s="86">
        <f>3604.53275+283.0072</f>
        <v>3887.5399499999999</v>
      </c>
      <c r="D10" s="86">
        <f>(6437.678+2223+1298.018)*2.204622/2000</f>
        <v>10.977580146456001</v>
      </c>
      <c r="E10" s="42">
        <f t="shared" si="0"/>
        <v>4193.9855301464559</v>
      </c>
      <c r="G10" s="42">
        <f t="shared" si="1"/>
        <v>3009.3667435990637</v>
      </c>
      <c r="H10" s="87">
        <f>((584.639907+9.653+97.878165))*(2.204622/2)</f>
        <v>762.98778654739203</v>
      </c>
      <c r="I10" s="42">
        <f t="shared" si="2"/>
        <v>3772.354530146456</v>
      </c>
      <c r="J10" s="87">
        <f>380.865+40.766</f>
        <v>421.63100000000003</v>
      </c>
    </row>
    <row r="11" spans="1:10">
      <c r="A11" t="s">
        <v>191</v>
      </c>
      <c r="B11" s="86">
        <f t="shared" si="3"/>
        <v>421.63100000000003</v>
      </c>
      <c r="C11" s="86">
        <f>3515.10339+276.07502</f>
        <v>3791.1784100000004</v>
      </c>
      <c r="D11" s="86">
        <f>(6022.254+1776+1092.036)*2.204622/2000</f>
        <v>9.7998644601900011</v>
      </c>
      <c r="E11" s="42">
        <f t="shared" si="0"/>
        <v>4222.609274460191</v>
      </c>
      <c r="G11" s="42">
        <f t="shared" si="1"/>
        <v>3096.5572079297381</v>
      </c>
      <c r="H11" s="87">
        <f>((632.982622+2.539+125.322701))*(2.204622/2)</f>
        <v>838.68706653045308</v>
      </c>
      <c r="I11" s="42">
        <f t="shared" si="2"/>
        <v>3935.2442744601913</v>
      </c>
      <c r="J11" s="87">
        <f>259.496+27.869</f>
        <v>287.36500000000001</v>
      </c>
    </row>
    <row r="12" spans="1:10">
      <c r="A12" t="s">
        <v>192</v>
      </c>
      <c r="B12" s="86">
        <f t="shared" si="3"/>
        <v>287.36500000000001</v>
      </c>
      <c r="C12" s="86">
        <f>3223.9013+249.76185</f>
        <v>3473.6631499999999</v>
      </c>
      <c r="D12" s="86">
        <f>(6015.809+2334+2573.124)*2.204622/2000</f>
        <v>12.040469198163002</v>
      </c>
      <c r="E12" s="42">
        <f t="shared" si="0"/>
        <v>3773.0686191981631</v>
      </c>
      <c r="G12" s="42">
        <f t="shared" si="1"/>
        <v>2528.6396734961863</v>
      </c>
      <c r="H12" s="87">
        <f>((686.266975+2.15+139.950832))*(2.204622/2)</f>
        <v>913.11894570197705</v>
      </c>
      <c r="I12" s="42">
        <f t="shared" si="2"/>
        <v>3441.7586191981632</v>
      </c>
      <c r="J12" s="87">
        <f>306.554+24.756</f>
        <v>331.30999999999995</v>
      </c>
    </row>
    <row r="13" spans="1:10">
      <c r="A13" t="s">
        <v>193</v>
      </c>
      <c r="B13" s="86">
        <f t="shared" si="3"/>
        <v>331.30999999999995</v>
      </c>
      <c r="C13" s="86">
        <f>3428.23247+272.87347</f>
        <v>3701.1059399999999</v>
      </c>
      <c r="D13" s="86">
        <f>(5798.892+2406+1554.696)*2.204622/2000</f>
        <v>10.758101207868</v>
      </c>
      <c r="E13" s="42">
        <f t="shared" si="0"/>
        <v>4043.174041207868</v>
      </c>
      <c r="G13" s="42">
        <f t="shared" si="1"/>
        <v>2849.3586140572461</v>
      </c>
      <c r="H13" s="87">
        <f>((590.659488+7.91+125.716514))*(2.204622/2)</f>
        <v>798.38842715062196</v>
      </c>
      <c r="I13" s="42">
        <f t="shared" si="2"/>
        <v>3647.7470412078678</v>
      </c>
      <c r="J13" s="87">
        <f>359.669+35.758</f>
        <v>395.42699999999996</v>
      </c>
    </row>
    <row r="14" spans="1:10">
      <c r="A14" t="s">
        <v>194</v>
      </c>
      <c r="B14" s="86">
        <f t="shared" si="3"/>
        <v>395.42699999999996</v>
      </c>
      <c r="C14" s="86">
        <f>3245.8437+254.80026</f>
        <v>3500.6439599999999</v>
      </c>
      <c r="D14" s="86">
        <f>(7784.718+2514+2158.008)*2.204622/2000</f>
        <v>13.731186093786002</v>
      </c>
      <c r="E14" s="42">
        <f t="shared" si="0"/>
        <v>3909.8021460937862</v>
      </c>
      <c r="G14" s="42">
        <f t="shared" si="1"/>
        <v>2712.829971547375</v>
      </c>
      <c r="H14" s="87">
        <f>((625.771284+6.087+145.624817))*(2.204622/2)</f>
        <v>857.02817454641104</v>
      </c>
      <c r="I14" s="42">
        <f t="shared" si="2"/>
        <v>3569.8581460937862</v>
      </c>
      <c r="J14" s="87">
        <f>304.583+35.361</f>
        <v>339.94400000000002</v>
      </c>
    </row>
    <row r="15" spans="1:10">
      <c r="A15" t="s">
        <v>201</v>
      </c>
      <c r="B15" s="86">
        <f t="shared" si="3"/>
        <v>339.94400000000002</v>
      </c>
      <c r="C15" s="86">
        <f>3366.8766+266.8909</f>
        <v>3633.7674999999999</v>
      </c>
      <c r="D15" s="86">
        <f>(7738+2535+1834.332)*2.204622/2000</f>
        <v>13.346045244252</v>
      </c>
      <c r="E15" s="42">
        <f t="shared" si="0"/>
        <v>3987.0575452442517</v>
      </c>
      <c r="G15" s="42">
        <f t="shared" si="1"/>
        <v>2830.0320771549846</v>
      </c>
      <c r="H15" s="87">
        <f>((563.135399+9.306+84.352798))*(2.204622/2)</f>
        <v>723.99146808926707</v>
      </c>
      <c r="I15" s="42">
        <f t="shared" si="2"/>
        <v>3554.0235452442516</v>
      </c>
      <c r="J15" s="87">
        <f>388.197+44.837</f>
        <v>433.03399999999999</v>
      </c>
    </row>
    <row r="16" spans="1:10">
      <c r="A16" t="s">
        <v>195</v>
      </c>
      <c r="B16" s="86">
        <f t="shared" si="3"/>
        <v>433.03399999999999</v>
      </c>
      <c r="C16" s="86">
        <f>3098.01928+254.25166</f>
        <v>3352.2709399999999</v>
      </c>
      <c r="D16" s="86">
        <f>(7300.966+2104+1422.621)*2.204622/2000</f>
        <v>11.935368253557</v>
      </c>
      <c r="E16" s="42">
        <f t="shared" si="0"/>
        <v>3797.240308253557</v>
      </c>
      <c r="F16" s="86"/>
      <c r="G16" s="42">
        <f t="shared" si="1"/>
        <v>2524.8626547604813</v>
      </c>
      <c r="H16" s="87">
        <f>((594.908585+15.117+159.349531))*(2.204622/2)</f>
        <v>848.09065349307593</v>
      </c>
      <c r="I16" s="42">
        <f t="shared" si="2"/>
        <v>3372.9533082535572</v>
      </c>
      <c r="J16" s="87">
        <f>379.424+44.863</f>
        <v>424.28699999999998</v>
      </c>
    </row>
    <row r="17" spans="1:10">
      <c r="A17" t="s">
        <v>196</v>
      </c>
      <c r="B17" s="86">
        <f t="shared" si="3"/>
        <v>424.28699999999998</v>
      </c>
      <c r="C17" s="86">
        <f>3072.3696+243.9096</f>
        <v>3316.2791999999999</v>
      </c>
      <c r="D17" s="86">
        <f>(6877.055+1111+995.184)*2.204622/2000</f>
        <v>9.9023231653290011</v>
      </c>
      <c r="E17" s="42">
        <f t="shared" si="0"/>
        <v>3750.4685231653289</v>
      </c>
      <c r="F17" s="86"/>
      <c r="G17" s="42">
        <f t="shared" si="1"/>
        <v>2703.5052122596549</v>
      </c>
      <c r="H17" s="87">
        <f>((553.074368+29.929+97.032766))*(2.204622/2)</f>
        <v>749.61131090567415</v>
      </c>
      <c r="I17" s="42">
        <f t="shared" si="2"/>
        <v>3453.116523165329</v>
      </c>
      <c r="J17" s="87">
        <f>268.155+29.197</f>
        <v>297.35199999999998</v>
      </c>
    </row>
    <row r="18" spans="1:10">
      <c r="A18" t="s">
        <v>206</v>
      </c>
      <c r="B18" s="86">
        <f t="shared" si="3"/>
        <v>297.35199999999998</v>
      </c>
      <c r="C18" s="86">
        <f>2821.738+230.64505</f>
        <v>3052.3830499999999</v>
      </c>
      <c r="D18" s="86">
        <f>(6123.554+1972+1883.773)*2.204622/2000</f>
        <v>11.000321924696999</v>
      </c>
      <c r="E18" s="42">
        <f t="shared" si="0"/>
        <v>3360.7353719246967</v>
      </c>
      <c r="F18" s="86"/>
      <c r="G18" s="42">
        <f t="shared" si="1"/>
        <v>2365.0915341430568</v>
      </c>
      <c r="H18" s="87">
        <f>((440.510518+3.928+82.118722))*(2.204622/2)</f>
        <v>580.42983778164</v>
      </c>
      <c r="I18" s="42">
        <f t="shared" si="2"/>
        <v>2945.5213719246967</v>
      </c>
      <c r="J18" s="87">
        <f>375.852+39.362</f>
        <v>415.214</v>
      </c>
    </row>
    <row r="19" spans="1:10">
      <c r="A19" t="s">
        <v>187</v>
      </c>
      <c r="B19" s="86">
        <f t="shared" si="3"/>
        <v>415.214</v>
      </c>
      <c r="C19" s="86">
        <f>2772.8303+223.4933</f>
        <v>2996.3236000000002</v>
      </c>
      <c r="D19" s="86">
        <f>(6717.858+2063+2662.006)*2.204622/2000</f>
        <v>12.613594858703999</v>
      </c>
      <c r="E19" s="42">
        <f t="shared" si="0"/>
        <v>3424.151194858704</v>
      </c>
      <c r="F19" s="86"/>
      <c r="G19" s="42">
        <f t="shared" si="1"/>
        <v>2571.979750845624</v>
      </c>
      <c r="H19" s="87">
        <f>((404.991459+14.273+87.241821))*(2.204622/2)</f>
        <v>558.32744401308014</v>
      </c>
      <c r="I19" s="42">
        <f t="shared" si="2"/>
        <v>3130.307194858704</v>
      </c>
      <c r="J19" s="87">
        <f>259.886+33.958</f>
        <v>293.84400000000005</v>
      </c>
    </row>
    <row r="20" spans="1:10">
      <c r="A20" s="41" t="s">
        <v>410</v>
      </c>
      <c r="B20" s="41"/>
      <c r="C20" s="86">
        <f>SUM(C8:C19)</f>
        <v>42284.076460000004</v>
      </c>
      <c r="D20" s="86">
        <f>SUM(D8:D19)</f>
        <v>140.62193001265501</v>
      </c>
      <c r="E20" s="86">
        <f>B8+C20+D20</f>
        <v>42767.667390012655</v>
      </c>
      <c r="F20" s="86"/>
      <c r="G20" s="87">
        <f>SUM(G8:G19)</f>
        <v>33231.855537786003</v>
      </c>
      <c r="H20" s="87">
        <f>SUM(H8:H19)</f>
        <v>9241.9678522266495</v>
      </c>
      <c r="I20" s="87">
        <f>SUM(I8:I19)</f>
        <v>42473.823390012658</v>
      </c>
      <c r="J20" s="42"/>
    </row>
    <row r="21" spans="1:10">
      <c r="A21" t="s">
        <v>477</v>
      </c>
      <c r="B21" s="41"/>
      <c r="C21" s="86"/>
      <c r="D21" s="86"/>
      <c r="E21" s="86"/>
      <c r="F21" s="86"/>
      <c r="G21" s="86"/>
      <c r="H21" s="86"/>
      <c r="I21" s="86"/>
      <c r="J21" s="87"/>
    </row>
    <row r="22" spans="1:10">
      <c r="A22" t="s">
        <v>188</v>
      </c>
      <c r="B22" s="86">
        <f>+J19</f>
        <v>293.84400000000005</v>
      </c>
      <c r="C22" s="86">
        <f>3267.43129+252.01493</f>
        <v>3519.4462199999998</v>
      </c>
      <c r="D22" s="86">
        <f>(5799.907+2280+168.321)*2.204622/2000</f>
        <v>9.0921124549080012</v>
      </c>
      <c r="E22" s="42">
        <f t="shared" ref="E22:E33" si="4">B22+C22+D22</f>
        <v>3822.382332454908</v>
      </c>
      <c r="G22" s="42">
        <f t="shared" ref="G22:G33" si="5">I22-H22</f>
        <v>2780.1005339050562</v>
      </c>
      <c r="H22" s="87">
        <f>((478.22002+3.343+126.473912))*(2.204622/2)</f>
        <v>670.245798549852</v>
      </c>
      <c r="I22" s="42">
        <f>E22-J22</f>
        <v>3450.346332454908</v>
      </c>
      <c r="J22" s="87">
        <f>335.488+36.548</f>
        <v>372.036</v>
      </c>
    </row>
    <row r="23" spans="1:10">
      <c r="A23" t="s">
        <v>189</v>
      </c>
      <c r="B23" s="86">
        <f>+J22</f>
        <v>372.036</v>
      </c>
      <c r="C23" s="86">
        <f>3158.033+255.442</f>
        <v>3413.4749999999999</v>
      </c>
      <c r="D23" s="86">
        <f>(4862.172+1859+513.416)*2.204622/2000</f>
        <v>7.9747659328680003</v>
      </c>
      <c r="E23" s="42">
        <f t="shared" si="4"/>
        <v>3793.4857659328682</v>
      </c>
      <c r="G23" s="42">
        <f t="shared" si="5"/>
        <v>2401.0978619448092</v>
      </c>
      <c r="H23" s="87">
        <f>((611.447686+7.956+99.318983))*(2.204622/2)</f>
        <v>792.255903988059</v>
      </c>
      <c r="I23" s="42">
        <f t="shared" ref="I23:I33" si="6">E23-J23</f>
        <v>3193.3537659328681</v>
      </c>
      <c r="J23" s="87">
        <f>543.932+56.2</f>
        <v>600.13200000000006</v>
      </c>
    </row>
    <row r="24" spans="1:10">
      <c r="A24" t="s">
        <v>190</v>
      </c>
      <c r="B24" s="86">
        <f t="shared" ref="B24:B33" si="7">+J23</f>
        <v>600.13200000000006</v>
      </c>
      <c r="C24" s="86">
        <f>3101.79875+244.15355</f>
        <v>3345.9522999999999</v>
      </c>
      <c r="D24" s="86">
        <f>(5711.755+2422+844.082)*2.204622/2000</f>
        <v>9.8963684813070003</v>
      </c>
      <c r="E24" s="42">
        <f t="shared" si="4"/>
        <v>3955.980668481307</v>
      </c>
      <c r="G24" s="42">
        <f t="shared" si="5"/>
        <v>2922.8361538259824</v>
      </c>
      <c r="H24" s="87">
        <f>((462.315357+19.782+79.664718))*(2.204622/2)</f>
        <v>619.23651465532498</v>
      </c>
      <c r="I24" s="42">
        <f t="shared" si="6"/>
        <v>3542.0726684813071</v>
      </c>
      <c r="J24" s="87">
        <f>372.337+41.571</f>
        <v>413.90800000000002</v>
      </c>
    </row>
    <row r="25" spans="1:10">
      <c r="A25" t="s">
        <v>191</v>
      </c>
      <c r="B25" s="86">
        <f t="shared" si="7"/>
        <v>413.90800000000002</v>
      </c>
      <c r="C25" s="86">
        <f>3184.5717+254.61388</f>
        <v>3439.1855799999998</v>
      </c>
      <c r="D25" s="86">
        <f>(3280.341+1707+1036.079)*2.204622/2000</f>
        <v>6.6396821236200001</v>
      </c>
      <c r="E25" s="42">
        <f t="shared" si="4"/>
        <v>3859.7332621236196</v>
      </c>
      <c r="G25" s="42">
        <f t="shared" si="5"/>
        <v>2537.5555986505647</v>
      </c>
      <c r="H25" s="87">
        <f>((675.293541+8.295+111.957964))*(2.204622/2)</f>
        <v>876.93966347305502</v>
      </c>
      <c r="I25" s="42">
        <f t="shared" si="6"/>
        <v>3414.4952621236198</v>
      </c>
      <c r="J25" s="87">
        <f>400.217+45.021</f>
        <v>445.238</v>
      </c>
    </row>
    <row r="26" spans="1:10">
      <c r="A26" t="s">
        <v>192</v>
      </c>
      <c r="B26" s="86">
        <f t="shared" si="7"/>
        <v>445.238</v>
      </c>
      <c r="C26" s="86">
        <f>2972.2+230.916</f>
        <v>3203.116</v>
      </c>
      <c r="D26" s="86">
        <f>(3516.779+1724+123.246)*2.204622/2000</f>
        <v>5.9128237617750008</v>
      </c>
      <c r="E26" s="42">
        <f t="shared" si="4"/>
        <v>3654.266823761775</v>
      </c>
      <c r="G26" s="42">
        <f t="shared" si="5"/>
        <v>2497.8638813801226</v>
      </c>
      <c r="H26" s="87">
        <f>((564.409067+6.434+81.747665))*(2.204622/2)</f>
        <v>719.35794238165204</v>
      </c>
      <c r="I26" s="42">
        <f t="shared" si="6"/>
        <v>3217.2218237617749</v>
      </c>
      <c r="J26" s="87">
        <f>393.1+43.945</f>
        <v>437.04500000000002</v>
      </c>
    </row>
    <row r="27" spans="1:10">
      <c r="A27" t="s">
        <v>193</v>
      </c>
      <c r="B27" s="86">
        <f t="shared" si="7"/>
        <v>437.04500000000002</v>
      </c>
      <c r="C27" s="86">
        <f>3171+253.799</f>
        <v>3424.799</v>
      </c>
      <c r="D27" s="86">
        <f>(6267.251+2012+529.749)*2.204622/2000</f>
        <v>9.7102575990000002</v>
      </c>
      <c r="E27" s="42">
        <f t="shared" si="4"/>
        <v>3871.5542575990003</v>
      </c>
      <c r="G27" s="42">
        <f t="shared" si="5"/>
        <v>2710.3518114791964</v>
      </c>
      <c r="H27" s="87">
        <f>((567.758833+5.071+153.343131))*(2.204622/2)</f>
        <v>800.46844611980396</v>
      </c>
      <c r="I27" s="42">
        <f t="shared" si="6"/>
        <v>3510.8202575990003</v>
      </c>
      <c r="J27" s="87">
        <f>313+47.734</f>
        <v>360.73399999999998</v>
      </c>
    </row>
    <row r="28" spans="1:10">
      <c r="A28" t="s">
        <v>194</v>
      </c>
      <c r="B28" s="86">
        <f t="shared" si="7"/>
        <v>360.73399999999998</v>
      </c>
      <c r="C28" s="86">
        <f>3092.5+243.4</f>
        <v>3335.9</v>
      </c>
      <c r="D28" s="86">
        <f>(4578.88+1915+316.826)*2.204622/2000</f>
        <v>7.5075161415660006</v>
      </c>
      <c r="E28" s="42">
        <f t="shared" si="4"/>
        <v>3704.1415161415662</v>
      </c>
      <c r="G28" s="42">
        <f t="shared" si="5"/>
        <v>2422.3890670421315</v>
      </c>
      <c r="H28" s="87">
        <f>((654.41196+9.797+115.564125))*(2.204622/2)</f>
        <v>859.55244909943508</v>
      </c>
      <c r="I28" s="42">
        <f t="shared" si="6"/>
        <v>3281.9415161415664</v>
      </c>
      <c r="J28" s="87">
        <f>375.9+46.3</f>
        <v>422.2</v>
      </c>
    </row>
    <row r="29" spans="1:10">
      <c r="A29" t="s">
        <v>201</v>
      </c>
      <c r="B29" s="86">
        <f t="shared" si="7"/>
        <v>422.2</v>
      </c>
      <c r="C29" s="86">
        <f>3245+255.4</f>
        <v>3500.4</v>
      </c>
      <c r="D29" s="86">
        <f>(4413.963+1525+576.704)*2.204622/2000</f>
        <v>7.1822914064369998</v>
      </c>
      <c r="E29" s="42">
        <f t="shared" si="4"/>
        <v>3929.7822914064368</v>
      </c>
      <c r="G29" s="42">
        <f t="shared" si="5"/>
        <v>2607.373871881563</v>
      </c>
      <c r="H29" s="87">
        <f>((611.364439+10.367+54.491895))*(2.204622/2)</f>
        <v>745.40841952487392</v>
      </c>
      <c r="I29" s="42">
        <f t="shared" si="6"/>
        <v>3352.7822914064368</v>
      </c>
      <c r="J29" s="87">
        <f>517.2+59.8</f>
        <v>577</v>
      </c>
    </row>
    <row r="30" spans="1:10">
      <c r="A30" t="s">
        <v>195</v>
      </c>
      <c r="B30" s="86">
        <f t="shared" si="7"/>
        <v>577</v>
      </c>
      <c r="C30" s="86">
        <f>3082.209+241.001</f>
        <v>3323.21</v>
      </c>
      <c r="D30" s="86">
        <f>(3672.476+952+495.243)*2.204622/2000</f>
        <v>5.6435225706090018</v>
      </c>
      <c r="E30" s="42">
        <f t="shared" si="4"/>
        <v>3905.8535225706091</v>
      </c>
      <c r="F30" s="86"/>
      <c r="G30" s="42">
        <f t="shared" si="5"/>
        <v>2514.5244600143051</v>
      </c>
      <c r="H30" s="87">
        <f>((768.743109+24.765+81.936355))*(2.204622/2)</f>
        <v>965.01206255630404</v>
      </c>
      <c r="I30" s="42">
        <f t="shared" si="6"/>
        <v>3479.5365225706091</v>
      </c>
      <c r="J30" s="87">
        <f>385.917+40.4</f>
        <v>426.31699999999995</v>
      </c>
    </row>
    <row r="31" spans="1:10">
      <c r="A31" t="s">
        <v>196</v>
      </c>
      <c r="B31" s="86">
        <f t="shared" si="7"/>
        <v>426.31699999999995</v>
      </c>
      <c r="C31" s="86">
        <f>2836.244+230.471</f>
        <v>3066.7150000000001</v>
      </c>
      <c r="D31" s="86">
        <f>(4297.567+1965+411.382)*2.204622/2000</f>
        <v>7.3567673961390003</v>
      </c>
      <c r="E31" s="42">
        <f t="shared" si="4"/>
        <v>3500.388767396139</v>
      </c>
      <c r="F31" s="86"/>
      <c r="G31" s="42">
        <f t="shared" si="5"/>
        <v>2539.0878538352108</v>
      </c>
      <c r="H31" s="87">
        <f>((472.871369+18.307+82.971679))*(2.204622/2)</f>
        <v>632.89191356092795</v>
      </c>
      <c r="I31" s="42">
        <f t="shared" si="6"/>
        <v>3171.9797673961389</v>
      </c>
      <c r="J31" s="87">
        <f>298.821+29.588</f>
        <v>328.40900000000005</v>
      </c>
    </row>
    <row r="32" spans="1:10">
      <c r="A32" t="s">
        <v>206</v>
      </c>
      <c r="B32" s="86">
        <f t="shared" si="7"/>
        <v>328.40900000000005</v>
      </c>
      <c r="C32" s="86">
        <f>2630.7+216</f>
        <v>2846.7</v>
      </c>
      <c r="D32" s="86">
        <f>(3540.812+1534+459.515)*2.204622/2000</f>
        <v>6.100549529697</v>
      </c>
      <c r="E32" s="42">
        <f t="shared" si="4"/>
        <v>3181.2095495296971</v>
      </c>
      <c r="F32" s="86"/>
      <c r="G32" s="42">
        <f t="shared" si="5"/>
        <v>2454.1814414951709</v>
      </c>
      <c r="H32" s="87">
        <f>((315.506679+6.527+50.028387))*(2.204622/2)</f>
        <v>410.12810803452601</v>
      </c>
      <c r="I32" s="42">
        <f t="shared" si="6"/>
        <v>2864.3095495296971</v>
      </c>
      <c r="J32" s="87">
        <f>283.1+33.8</f>
        <v>316.90000000000003</v>
      </c>
    </row>
    <row r="33" spans="1:10">
      <c r="A33" t="s">
        <v>187</v>
      </c>
      <c r="B33" s="86">
        <f t="shared" si="7"/>
        <v>316.90000000000003</v>
      </c>
      <c r="C33" s="86">
        <f>2482.657+200.877</f>
        <v>2683.5340000000001</v>
      </c>
      <c r="D33" s="86">
        <f>(2696.115+1527+48.089)*2.204622/2000</f>
        <v>4.7081951524440004</v>
      </c>
      <c r="E33" s="42">
        <f t="shared" si="4"/>
        <v>3005.1421951524444</v>
      </c>
      <c r="F33" s="86"/>
      <c r="G33" s="42">
        <f t="shared" si="5"/>
        <v>2364.8412577432628</v>
      </c>
      <c r="H33" s="87">
        <f>((282.368791+11.853+73.705171))*(2.204622/2)</f>
        <v>405.56993740918205</v>
      </c>
      <c r="I33" s="42">
        <f t="shared" si="6"/>
        <v>2770.4111951524446</v>
      </c>
      <c r="J33" s="87">
        <f>206.808+27.923</f>
        <v>234.73099999999999</v>
      </c>
    </row>
    <row r="34" spans="1:10">
      <c r="A34" s="41" t="s">
        <v>410</v>
      </c>
      <c r="B34" s="41"/>
      <c r="C34" s="86">
        <f>SUM(C22:C33)</f>
        <v>39102.433099999995</v>
      </c>
      <c r="D34" s="86">
        <f>SUM(D22:D33)</f>
        <v>87.724852550370031</v>
      </c>
      <c r="E34" s="86">
        <f>B22+C34+D34</f>
        <v>39484.001952550359</v>
      </c>
      <c r="F34" s="86"/>
      <c r="G34" s="87">
        <f>SUM(G22:G33)</f>
        <v>30752.203793197375</v>
      </c>
      <c r="H34" s="87">
        <f>SUM(H22:H33)</f>
        <v>8497.0671593529969</v>
      </c>
      <c r="I34" s="87">
        <f>SUM(I22:I33)</f>
        <v>39249.270952550367</v>
      </c>
      <c r="J34" s="42"/>
    </row>
    <row r="35" spans="1:10">
      <c r="A35" s="117" t="s">
        <v>483</v>
      </c>
      <c r="B35" s="41"/>
      <c r="C35" s="86"/>
      <c r="D35" s="86"/>
      <c r="E35" s="86"/>
      <c r="F35" s="86"/>
      <c r="G35" s="86"/>
      <c r="H35" s="86"/>
      <c r="I35" s="86"/>
      <c r="J35" s="87"/>
    </row>
    <row r="36" spans="1:10">
      <c r="A36" t="s">
        <v>188</v>
      </c>
      <c r="B36" s="86">
        <f>+J33</f>
        <v>234.73099999999999</v>
      </c>
      <c r="C36" s="86">
        <f>3578.656+267</f>
        <v>3845.6559999999999</v>
      </c>
      <c r="D36" s="86">
        <f>(9330.821+1735+55.218)*2.204622/2000</f>
        <v>12.258843621129001</v>
      </c>
      <c r="E36" s="42">
        <f t="shared" ref="E36:E47" si="8">B36+C36+D36</f>
        <v>4092.6458436211287</v>
      </c>
      <c r="G36" s="42">
        <f t="shared" ref="G36:G47" si="9">I36-H36</f>
        <v>2890.8732605172177</v>
      </c>
      <c r="H36" s="87">
        <f>((577.107071+13.622+95.73653))*(2.204622/2)</f>
        <v>756.69858310391101</v>
      </c>
      <c r="I36" s="42">
        <f>E36-J36</f>
        <v>3647.5718436211287</v>
      </c>
      <c r="J36" s="87">
        <f>401+44.074</f>
        <v>445.07400000000001</v>
      </c>
    </row>
    <row r="37" spans="1:10">
      <c r="A37" t="s">
        <v>189</v>
      </c>
      <c r="B37" s="86">
        <f>+J36</f>
        <v>445.07400000000001</v>
      </c>
      <c r="C37" s="86">
        <f>3696.36+280.185</f>
        <v>3976.5450000000001</v>
      </c>
      <c r="D37" s="86">
        <f>(3807.985+1708+83.15)*2.204622/2000</f>
        <v>6.1719881009850006</v>
      </c>
      <c r="E37" s="42">
        <f t="shared" si="8"/>
        <v>4427.7909881009846</v>
      </c>
      <c r="G37" s="42">
        <f t="shared" si="9"/>
        <v>2407.1856888049169</v>
      </c>
      <c r="H37" s="87">
        <f>((1147.49778+2.764+113.664008))*(2.204622/2)</f>
        <v>1393.2392992960679</v>
      </c>
      <c r="I37" s="42">
        <f t="shared" ref="I37:I47" si="10">E37-J37</f>
        <v>3800.4249881009846</v>
      </c>
      <c r="J37" s="87">
        <f>569.374+57.992</f>
        <v>627.36599999999999</v>
      </c>
    </row>
    <row r="38" spans="1:10">
      <c r="A38" t="s">
        <v>190</v>
      </c>
      <c r="B38" s="86">
        <f t="shared" ref="B38:B47" si="11">+J37</f>
        <v>627.36599999999999</v>
      </c>
      <c r="C38" s="86">
        <f>3785.027+291.062</f>
        <v>4076.0889999999999</v>
      </c>
      <c r="D38" s="86">
        <f>(6508.166+1943+139.184)*2.204622/2000</f>
        <v>9.4692372988500004</v>
      </c>
      <c r="E38" s="42">
        <f t="shared" si="8"/>
        <v>4712.9242372988501</v>
      </c>
      <c r="G38" s="42">
        <f t="shared" si="9"/>
        <v>2861.5990323501856</v>
      </c>
      <c r="H38" s="87">
        <f>((1030.196141+25.082+108.195874))*(2.204622/2)</f>
        <v>1282.510204948665</v>
      </c>
      <c r="I38" s="42">
        <f t="shared" si="10"/>
        <v>4144.1092372988505</v>
      </c>
      <c r="J38" s="87">
        <f>533.578+35.237</f>
        <v>568.81499999999994</v>
      </c>
    </row>
    <row r="39" spans="1:10">
      <c r="A39" t="s">
        <v>191</v>
      </c>
      <c r="B39" s="86">
        <f t="shared" si="11"/>
        <v>568.81499999999994</v>
      </c>
      <c r="C39" s="86">
        <f>3656.43296+276.80069</f>
        <v>3933.2336500000001</v>
      </c>
      <c r="D39" s="86">
        <f>(13052.96+2267+1229.95)*2.204622/2000</f>
        <v>18.24314784201</v>
      </c>
      <c r="E39" s="42">
        <f t="shared" si="8"/>
        <v>4520.2917978420101</v>
      </c>
      <c r="G39" s="42">
        <f t="shared" si="9"/>
        <v>2389.7699442823678</v>
      </c>
      <c r="H39" s="87">
        <f>((1262.585357+13.519+84.756465))*(2.204622/2)</f>
        <v>1500.091853559642</v>
      </c>
      <c r="I39" s="42">
        <f t="shared" si="10"/>
        <v>3889.8617978420098</v>
      </c>
      <c r="J39" s="87">
        <f>585.82+44.61</f>
        <v>630.43000000000006</v>
      </c>
    </row>
    <row r="40" spans="1:10">
      <c r="A40" t="s">
        <v>192</v>
      </c>
      <c r="B40" s="86">
        <f t="shared" si="11"/>
        <v>630.43000000000006</v>
      </c>
      <c r="C40" s="86">
        <f>3375.214+260.295</f>
        <v>3635.509</v>
      </c>
      <c r="D40" s="86">
        <f>(17818.894+2064+137.16)*2.204622/2000</f>
        <v>22.068325744794002</v>
      </c>
      <c r="E40" s="42">
        <f t="shared" si="8"/>
        <v>4288.0073257447939</v>
      </c>
      <c r="G40" s="42">
        <f t="shared" si="9"/>
        <v>2253.3381986525264</v>
      </c>
      <c r="H40" s="87">
        <f>((1087.4166535+8.844+112.382939))*(2.204622/2)</f>
        <v>1332.3011270922677</v>
      </c>
      <c r="I40" s="42">
        <f t="shared" si="10"/>
        <v>3585.639325744794</v>
      </c>
      <c r="J40" s="87">
        <f>654.224+48.144</f>
        <v>702.36800000000005</v>
      </c>
    </row>
    <row r="41" spans="1:10">
      <c r="A41" t="s">
        <v>193</v>
      </c>
      <c r="B41" s="86">
        <f t="shared" si="11"/>
        <v>702.36800000000005</v>
      </c>
      <c r="C41" s="86">
        <f>3415.26438+264.84859</f>
        <v>3680.1129700000001</v>
      </c>
      <c r="D41" s="86">
        <f>(11140.661+2301+986.65)*2.204622/2000</f>
        <v>15.904485926721</v>
      </c>
      <c r="E41" s="42">
        <f t="shared" si="8"/>
        <v>4398.3854559267211</v>
      </c>
      <c r="G41" s="42">
        <f t="shared" si="9"/>
        <v>2676.8390445672248</v>
      </c>
      <c r="H41" s="87">
        <f>((1148.94249+8.929+75.681846))*(2.204622/2)</f>
        <v>1359.759411359496</v>
      </c>
      <c r="I41" s="42">
        <f t="shared" si="10"/>
        <v>4036.5984559267208</v>
      </c>
      <c r="J41" s="87">
        <f>328.144+33.643</f>
        <v>361.78700000000003</v>
      </c>
    </row>
    <row r="42" spans="1:10">
      <c r="A42" t="s">
        <v>194</v>
      </c>
      <c r="B42" s="86">
        <f t="shared" si="11"/>
        <v>361.78700000000003</v>
      </c>
      <c r="C42" s="86">
        <f>2981.51176+230.30494</f>
        <v>3211.8166999999999</v>
      </c>
      <c r="D42" s="86">
        <f>(3301.123+2722+4120.029)*2.204622/2000</f>
        <v>11.180908024272002</v>
      </c>
      <c r="E42" s="42">
        <f t="shared" si="8"/>
        <v>3584.7846080242716</v>
      </c>
      <c r="G42" s="42">
        <f t="shared" si="9"/>
        <v>2437.4971793552309</v>
      </c>
      <c r="H42" s="87">
        <f>((640.480156+13.766+117.997275))*(2.204622/2)</f>
        <v>851.25242866904091</v>
      </c>
      <c r="I42" s="42">
        <f t="shared" si="10"/>
        <v>3288.7496080242718</v>
      </c>
      <c r="J42" s="87">
        <f>265.076+30.959</f>
        <v>296.03500000000003</v>
      </c>
    </row>
    <row r="43" spans="1:10">
      <c r="A43" t="s">
        <v>201</v>
      </c>
      <c r="B43" s="86">
        <f t="shared" si="11"/>
        <v>296.03500000000003</v>
      </c>
      <c r="C43" s="86">
        <f>2921.0122+223.45025</f>
        <v>3144.46245</v>
      </c>
      <c r="D43" s="86">
        <f>(3892.835+2338+163.914)*2.204622/2000</f>
        <v>7.049002164939</v>
      </c>
      <c r="E43" s="42">
        <f t="shared" si="8"/>
        <v>3447.5464521649387</v>
      </c>
      <c r="G43" s="42">
        <f t="shared" si="9"/>
        <v>2390.3807663674379</v>
      </c>
      <c r="H43" s="87">
        <f>((474.32093+3.322+57.132361))*(2.204622/2)</f>
        <v>589.48868579750092</v>
      </c>
      <c r="I43" s="42">
        <f t="shared" si="10"/>
        <v>2979.8694521649386</v>
      </c>
      <c r="J43" s="87">
        <f>423.871+43.806</f>
        <v>467.67699999999996</v>
      </c>
    </row>
    <row r="44" spans="1:10">
      <c r="A44" t="s">
        <v>195</v>
      </c>
      <c r="B44" s="86">
        <f t="shared" si="11"/>
        <v>467.67699999999996</v>
      </c>
      <c r="C44" s="86">
        <f>2839.78764+216.92932</f>
        <v>3056.7169600000002</v>
      </c>
      <c r="D44" s="86">
        <f>(2032.182+1026+61.794)*2.204622/2000</f>
        <v>3.439183864536</v>
      </c>
      <c r="E44" s="42">
        <f t="shared" si="8"/>
        <v>3527.8331438645364</v>
      </c>
      <c r="F44" s="86"/>
      <c r="G44" s="42">
        <f t="shared" si="9"/>
        <v>2626.7552267324795</v>
      </c>
      <c r="H44" s="87">
        <f>((438.486583+3.889+63.345504))*(2.204622/2)</f>
        <v>557.46191713205701</v>
      </c>
      <c r="I44" s="42">
        <f t="shared" si="10"/>
        <v>3184.2171438645364</v>
      </c>
      <c r="J44" s="87">
        <f>307.603+36.013</f>
        <v>343.61599999999999</v>
      </c>
    </row>
    <row r="45" spans="1:10">
      <c r="A45" t="s">
        <v>196</v>
      </c>
      <c r="B45" s="86">
        <f t="shared" si="11"/>
        <v>343.61599999999999</v>
      </c>
      <c r="C45" s="86">
        <f>2837.93716+218.17026</f>
        <v>3056.1074199999998</v>
      </c>
      <c r="D45" s="86">
        <f>(5996.836+1860+321.137)*2.204622/2000</f>
        <v>9.0146695956029994</v>
      </c>
      <c r="E45" s="42">
        <f t="shared" si="8"/>
        <v>3408.738089595603</v>
      </c>
      <c r="F45" s="86"/>
      <c r="G45" s="42">
        <f t="shared" si="9"/>
        <v>2496.4924356280967</v>
      </c>
      <c r="H45" s="87">
        <f>((382.033545+10.641+49.334701))*(2.204622/2)</f>
        <v>487.23165396750602</v>
      </c>
      <c r="I45" s="42">
        <f t="shared" si="10"/>
        <v>2983.7240895956029</v>
      </c>
      <c r="J45" s="87">
        <f>386.502+38.512</f>
        <v>425.01400000000001</v>
      </c>
    </row>
    <row r="46" spans="1:10">
      <c r="A46" t="s">
        <v>206</v>
      </c>
      <c r="B46" s="86">
        <f t="shared" si="11"/>
        <v>425.01400000000001</v>
      </c>
      <c r="C46" s="86">
        <f>2806.1809+224.409</f>
        <v>3030.5898999999999</v>
      </c>
      <c r="D46" s="86">
        <f>(9593.463+2212+7915.844)*2.204622/2000</f>
        <v>21.739013640477001</v>
      </c>
      <c r="E46" s="42">
        <f t="shared" si="8"/>
        <v>3477.342913640477</v>
      </c>
      <c r="F46" s="86"/>
      <c r="G46" s="42">
        <f t="shared" si="9"/>
        <v>2629.5331658086416</v>
      </c>
      <c r="H46" s="87">
        <f>((448.125421+10.071+63.705064))*(2.204622/2)</f>
        <v>575.29774783183507</v>
      </c>
      <c r="I46" s="42">
        <f t="shared" si="10"/>
        <v>3204.8309136404769</v>
      </c>
      <c r="J46" s="87">
        <f>241.288+31.224</f>
        <v>272.512</v>
      </c>
    </row>
    <row r="47" spans="1:10">
      <c r="A47" t="s">
        <v>187</v>
      </c>
      <c r="B47" s="86">
        <f t="shared" si="11"/>
        <v>272.512</v>
      </c>
      <c r="C47" s="86">
        <f>2836.0385+223.6447</f>
        <v>3059.6831999999999</v>
      </c>
      <c r="D47" s="86">
        <f>(14093.621+1906+5287.594)*2.204622/2000</f>
        <v>23.465131253865003</v>
      </c>
      <c r="E47" s="42">
        <f t="shared" si="8"/>
        <v>3355.660331253865</v>
      </c>
      <c r="F47" s="86"/>
      <c r="G47" s="42">
        <f t="shared" si="9"/>
        <v>2579.9710446798667</v>
      </c>
      <c r="H47" s="87">
        <f>((364.731719+9.365+56.031699))*(2.204622/2)</f>
        <v>474.13528657399803</v>
      </c>
      <c r="I47" s="42">
        <f t="shared" si="10"/>
        <v>3054.1063312538649</v>
      </c>
      <c r="J47" s="87">
        <f>273.085+28.469</f>
        <v>301.55399999999997</v>
      </c>
    </row>
    <row r="48" spans="1:10">
      <c r="A48" s="41" t="s">
        <v>410</v>
      </c>
      <c r="B48" s="41"/>
      <c r="C48" s="86">
        <f>SUM(C36:C47)</f>
        <v>41706.522250000002</v>
      </c>
      <c r="D48" s="86">
        <f>SUM(D36:D47)</f>
        <v>160.003937078181</v>
      </c>
      <c r="E48" s="86">
        <f>B36+C48+D48</f>
        <v>42101.257187078183</v>
      </c>
      <c r="F48" s="86"/>
      <c r="G48" s="87">
        <f>SUM(G36:G47)</f>
        <v>30640.234987746193</v>
      </c>
      <c r="H48" s="87">
        <f>SUM(H36:H47)</f>
        <v>11159.468199331988</v>
      </c>
      <c r="I48" s="87">
        <f>SUM(I36:I47)</f>
        <v>41799.703187078187</v>
      </c>
      <c r="J48" s="42"/>
    </row>
    <row r="49" spans="1:10">
      <c r="A49" s="117" t="s">
        <v>487</v>
      </c>
      <c r="B49" s="41"/>
      <c r="C49" s="86"/>
      <c r="D49" s="86"/>
      <c r="E49" s="86"/>
      <c r="F49" s="86"/>
      <c r="G49" s="86"/>
      <c r="H49" s="86"/>
      <c r="I49" s="86"/>
      <c r="J49" s="87"/>
    </row>
    <row r="50" spans="1:10">
      <c r="A50" t="s">
        <v>188</v>
      </c>
      <c r="B50" s="86">
        <f>+J47</f>
        <v>301.55399999999997</v>
      </c>
      <c r="C50" s="86">
        <f>3475.80273+262.26737</f>
        <v>3738.0700999999999</v>
      </c>
      <c r="D50" s="86">
        <f>(9930.223+2377+644.728)*2.204622/2000</f>
        <v>14.277078058760999</v>
      </c>
      <c r="E50" s="42">
        <f t="shared" ref="E50:E61" si="12">B50+C50+D50</f>
        <v>4053.9011780587612</v>
      </c>
      <c r="G50" s="42">
        <f t="shared" ref="G50:G61" si="13">I50-H50</f>
        <v>2803.9630813615072</v>
      </c>
      <c r="H50" s="87">
        <f>((581.892513+8.315+75.128401))*(2.204622/2)</f>
        <v>733.40709669725402</v>
      </c>
      <c r="I50" s="42">
        <f>E50-J50</f>
        <v>3537.3701780587612</v>
      </c>
      <c r="J50" s="87">
        <f>471.806+44.725</f>
        <v>516.53099999999995</v>
      </c>
    </row>
    <row r="51" spans="1:10">
      <c r="A51" t="s">
        <v>189</v>
      </c>
      <c r="B51" s="86">
        <f>+J50</f>
        <v>516.53099999999995</v>
      </c>
      <c r="C51" s="86">
        <f>3447.6493+272.3998</f>
        <v>3720.0491000000002</v>
      </c>
      <c r="D51" s="86">
        <f>(9702.118+1997+339.383)*2.204622/2000</f>
        <v>13.270172075811001</v>
      </c>
      <c r="E51" s="42">
        <f t="shared" si="12"/>
        <v>4249.8502720758115</v>
      </c>
      <c r="G51" s="42">
        <f t="shared" si="13"/>
        <v>2723.3759903611253</v>
      </c>
      <c r="H51" s="87">
        <f>((804.493079+11.232+129.663547))*(2.204622/2)</f>
        <v>1042.1122817146859</v>
      </c>
      <c r="I51" s="42">
        <f t="shared" ref="I51:I61" si="14">E51-J51</f>
        <v>3765.4882720758114</v>
      </c>
      <c r="J51" s="87">
        <f>445.037+39.325</f>
        <v>484.36199999999997</v>
      </c>
    </row>
    <row r="52" spans="1:10">
      <c r="A52" t="s">
        <v>190</v>
      </c>
      <c r="B52" s="86">
        <f t="shared" ref="B52:B61" si="15">+J51</f>
        <v>484.36199999999997</v>
      </c>
      <c r="C52" s="86">
        <f>3397.76335+277.7805</f>
        <v>3675.54385</v>
      </c>
      <c r="D52" s="86">
        <f>(10330.299+2239+2482.86)*2.204622/2000</f>
        <v>16.592160439449003</v>
      </c>
      <c r="E52" s="42">
        <f t="shared" si="12"/>
        <v>4176.498010439449</v>
      </c>
      <c r="G52" s="42">
        <f t="shared" si="13"/>
        <v>2767.0337216476373</v>
      </c>
      <c r="H52" s="87">
        <f>((707.680305+16.967+90.699987))*(2.204622/2)</f>
        <v>898.76628879181192</v>
      </c>
      <c r="I52" s="42">
        <f t="shared" si="14"/>
        <v>3665.8000104394491</v>
      </c>
      <c r="J52" s="87">
        <f>473.178+37.52</f>
        <v>510.69799999999998</v>
      </c>
    </row>
    <row r="53" spans="1:10">
      <c r="A53" t="s">
        <v>191</v>
      </c>
      <c r="B53" s="86">
        <f t="shared" si="15"/>
        <v>510.69799999999998</v>
      </c>
      <c r="C53" s="86">
        <f>3298.36+271.099</f>
        <v>3569.4590000000003</v>
      </c>
      <c r="D53" s="86">
        <f>(12279.597+2214+269.321)*2.204622/2000</f>
        <v>16.273326903497999</v>
      </c>
      <c r="E53" s="42">
        <f t="shared" si="12"/>
        <v>4096.4303269034981</v>
      </c>
      <c r="G53" s="42">
        <f t="shared" si="13"/>
        <v>2476.5456944231264</v>
      </c>
      <c r="H53" s="87">
        <f>((967.927585+17.265+76.925667))*(2.204622/2)</f>
        <v>1170.784632480372</v>
      </c>
      <c r="I53" s="42">
        <f t="shared" si="14"/>
        <v>3647.3303269034982</v>
      </c>
      <c r="J53" s="87">
        <f>408.208+40.892</f>
        <v>449.1</v>
      </c>
    </row>
    <row r="54" spans="1:10">
      <c r="A54" t="s">
        <v>192</v>
      </c>
      <c r="B54" s="86">
        <f t="shared" si="15"/>
        <v>449.1</v>
      </c>
      <c r="C54" s="86">
        <f>2889.211+236.939</f>
        <v>3126.1499999999996</v>
      </c>
      <c r="D54" s="86">
        <f>(13443.229+2315+606.302)*2.204622/2000</f>
        <v>18.038802531140998</v>
      </c>
      <c r="E54" s="42">
        <f t="shared" si="12"/>
        <v>3593.2888025311404</v>
      </c>
      <c r="G54" s="42">
        <f t="shared" si="13"/>
        <v>2194.7277542177144</v>
      </c>
      <c r="H54" s="87">
        <f>((775.643585+8.026+61.802381))*(2.204622/2)</f>
        <v>931.97304831342603</v>
      </c>
      <c r="I54" s="42">
        <f t="shared" si="14"/>
        <v>3126.7008025311407</v>
      </c>
      <c r="J54" s="87">
        <f>428.609+37.979</f>
        <v>466.58799999999997</v>
      </c>
    </row>
    <row r="55" spans="1:10">
      <c r="A55" t="s">
        <v>193</v>
      </c>
      <c r="B55" s="86">
        <f t="shared" si="15"/>
        <v>466.58799999999997</v>
      </c>
      <c r="C55" s="86">
        <f>3111.911+259.694</f>
        <v>3371.605</v>
      </c>
      <c r="D55" s="86">
        <f>(11553.316+3327+448.348)*2.204622/2000</f>
        <v>16.896954942504003</v>
      </c>
      <c r="E55" s="42">
        <f t="shared" si="12"/>
        <v>3855.0899549425044</v>
      </c>
      <c r="G55" s="42">
        <f t="shared" si="13"/>
        <v>2655.7529544888635</v>
      </c>
      <c r="H55" s="87">
        <f>((668.207438+22.372+102.482593))*(2.204622/2)</f>
        <v>874.20100045364097</v>
      </c>
      <c r="I55" s="42">
        <f t="shared" si="14"/>
        <v>3529.9539549425044</v>
      </c>
      <c r="J55" s="87">
        <f>294.551+30.585</f>
        <v>325.13599999999997</v>
      </c>
    </row>
    <row r="56" spans="1:10">
      <c r="A56" t="s">
        <v>194</v>
      </c>
      <c r="B56" s="86">
        <f t="shared" si="15"/>
        <v>325.13599999999997</v>
      </c>
      <c r="C56" s="86">
        <f>2873.217+239.721</f>
        <v>3112.9380000000001</v>
      </c>
      <c r="D56" s="86">
        <f>(10232.088+2853+389.238)*2.204622/2000</f>
        <v>14.852897767385999</v>
      </c>
      <c r="E56" s="42">
        <f t="shared" si="12"/>
        <v>3452.926897767386</v>
      </c>
      <c r="G56" s="42">
        <f t="shared" si="13"/>
        <v>2323.4563076678669</v>
      </c>
      <c r="H56" s="87">
        <f>((522.741849+10.232+89.83368))*(2.204622/2)</f>
        <v>686.52759009951899</v>
      </c>
      <c r="I56" s="42">
        <f t="shared" si="14"/>
        <v>3009.9838977673858</v>
      </c>
      <c r="J56" s="87">
        <f>403.992+38.951</f>
        <v>442.94300000000004</v>
      </c>
    </row>
    <row r="57" spans="1:10">
      <c r="A57" t="s">
        <v>201</v>
      </c>
      <c r="B57" s="86">
        <f t="shared" si="15"/>
        <v>442.94300000000004</v>
      </c>
      <c r="C57" s="86">
        <f>2865.776+234.746</f>
        <v>3100.5219999999999</v>
      </c>
      <c r="D57" s="86">
        <f>(9617.155+2757+254.197)*2.204622/2000</f>
        <v>13.920371321472</v>
      </c>
      <c r="E57" s="42">
        <f t="shared" si="12"/>
        <v>3557.3853713214721</v>
      </c>
      <c r="G57" s="42">
        <f t="shared" si="13"/>
        <v>2593.0223224727083</v>
      </c>
      <c r="H57" s="87">
        <f>((447.841521+15.423+71.435803))*(2.204622/2)</f>
        <v>589.40604884876404</v>
      </c>
      <c r="I57" s="42">
        <f t="shared" si="14"/>
        <v>3182.4283713214722</v>
      </c>
      <c r="J57" s="87">
        <f>333.547+41.41</f>
        <v>374.95699999999999</v>
      </c>
    </row>
    <row r="58" spans="1:10">
      <c r="A58" t="s">
        <v>195</v>
      </c>
      <c r="B58" s="86">
        <f t="shared" si="15"/>
        <v>374.95699999999999</v>
      </c>
      <c r="C58" s="86">
        <f>2746.586+226.906</f>
        <v>2973.4919999999997</v>
      </c>
      <c r="D58" s="86">
        <f>(9604.305+2563+444.972)*2.204622/2000</f>
        <v>13.902651672147</v>
      </c>
      <c r="E58" s="42">
        <f t="shared" si="12"/>
        <v>3362.3516516721465</v>
      </c>
      <c r="F58" s="86"/>
      <c r="G58" s="42">
        <f t="shared" si="13"/>
        <v>2569.6409053451584</v>
      </c>
      <c r="H58" s="87">
        <f>((397.016151+8.204+56.003357))*(2.204622/2)</f>
        <v>508.41174632698801</v>
      </c>
      <c r="I58" s="42">
        <f t="shared" si="14"/>
        <v>3078.0526516721466</v>
      </c>
      <c r="J58" s="87">
        <f>256.329+27.97</f>
        <v>284.29899999999998</v>
      </c>
    </row>
    <row r="59" spans="1:10">
      <c r="A59" t="s">
        <v>196</v>
      </c>
      <c r="B59" s="86">
        <f t="shared" si="15"/>
        <v>284.29899999999998</v>
      </c>
      <c r="C59" s="86">
        <f>2857.622+239.432</f>
        <v>3097.0539999999996</v>
      </c>
      <c r="D59" s="86">
        <f>(7486.208+1505+441.838)*2.204622/2000</f>
        <v>10.398150369305998</v>
      </c>
      <c r="E59" s="42">
        <f t="shared" si="12"/>
        <v>3391.7511503693058</v>
      </c>
      <c r="F59" s="86"/>
      <c r="G59" s="42">
        <f t="shared" si="13"/>
        <v>2411.9593755349656</v>
      </c>
      <c r="H59" s="87">
        <f>((436.692722+21.883+47.067218))*(2.204622/2)</f>
        <v>557.37577483433995</v>
      </c>
      <c r="I59" s="42">
        <f t="shared" si="14"/>
        <v>2969.3351503693057</v>
      </c>
      <c r="J59" s="87">
        <f>387.461+34.955</f>
        <v>422.416</v>
      </c>
    </row>
    <row r="60" spans="1:10">
      <c r="A60" t="s">
        <v>206</v>
      </c>
      <c r="B60" s="86">
        <f t="shared" si="15"/>
        <v>422.416</v>
      </c>
      <c r="C60" s="87">
        <v>3001.875</v>
      </c>
      <c r="D60" s="86">
        <f>(10782.674+3118+190.811)*2.204622/2000</f>
        <v>15.533198921835002</v>
      </c>
      <c r="E60" s="42">
        <f t="shared" si="12"/>
        <v>3439.824198921835</v>
      </c>
      <c r="F60" s="86"/>
      <c r="G60" s="42">
        <f t="shared" si="13"/>
        <v>2471.269891543428</v>
      </c>
      <c r="H60" s="87">
        <f>((433.342843+19.612+62.829094))*(2.204622/2)</f>
        <v>568.55430737840709</v>
      </c>
      <c r="I60" s="42">
        <f t="shared" si="14"/>
        <v>3039.824198921835</v>
      </c>
      <c r="J60" s="87">
        <v>400</v>
      </c>
    </row>
    <row r="61" spans="1:10">
      <c r="A61" t="s">
        <v>187</v>
      </c>
      <c r="B61" s="86">
        <f t="shared" si="15"/>
        <v>400</v>
      </c>
      <c r="C61" s="87">
        <v>2764.1724599999998</v>
      </c>
      <c r="D61" s="86">
        <f>(11031.226+3006+204.164)*2.204622/2000</f>
        <v>15.698440852290002</v>
      </c>
      <c r="E61" s="42">
        <f t="shared" si="12"/>
        <v>3179.8709008522897</v>
      </c>
      <c r="F61" s="86"/>
      <c r="G61" s="42">
        <f t="shared" si="13"/>
        <v>2310.1296979683584</v>
      </c>
      <c r="H61" s="87">
        <f>((339.348188+10.756+121.397233))*(2.204622/2)</f>
        <v>519.74120288393112</v>
      </c>
      <c r="I61" s="42">
        <f t="shared" si="14"/>
        <v>2829.8709008522897</v>
      </c>
      <c r="J61" s="87">
        <v>350</v>
      </c>
    </row>
    <row r="62" spans="1:10">
      <c r="A62" s="41" t="s">
        <v>410</v>
      </c>
      <c r="B62" s="41"/>
      <c r="C62" s="86">
        <f>SUM(C50:C61)</f>
        <v>39250.930509999998</v>
      </c>
      <c r="D62" s="86">
        <f>SUM(D50:D61)</f>
        <v>179.6542058556</v>
      </c>
      <c r="E62" s="86">
        <f>B50+C62+D62</f>
        <v>39732.138715855595</v>
      </c>
      <c r="F62" s="86"/>
      <c r="G62" s="87">
        <f>SUM(G50:G61)</f>
        <v>30300.877697032458</v>
      </c>
      <c r="H62" s="87">
        <f>SUM(H50:H61)</f>
        <v>9081.2610188231411</v>
      </c>
      <c r="I62" s="87">
        <f>SUM(I50:I61)</f>
        <v>39382.138715855603</v>
      </c>
      <c r="J62" s="42"/>
    </row>
    <row r="63" spans="1:10">
      <c r="A63" s="117" t="s">
        <v>575</v>
      </c>
      <c r="B63" s="41"/>
      <c r="C63" s="86"/>
      <c r="D63" s="86"/>
      <c r="E63" s="86"/>
      <c r="F63" s="86"/>
      <c r="G63" s="86"/>
      <c r="H63" s="86"/>
      <c r="I63" s="86"/>
      <c r="J63" s="87"/>
    </row>
    <row r="64" spans="1:10">
      <c r="A64" t="s">
        <v>188</v>
      </c>
      <c r="B64" s="86">
        <f>233.715+30.171</f>
        <v>263.88600000000002</v>
      </c>
      <c r="C64" s="86">
        <f>3742.412+258.909</f>
        <v>4001.3209999999999</v>
      </c>
      <c r="D64" s="86">
        <f>(24490.318+2973+4420.437)*2.204622/2000</f>
        <v>35.145813857804995</v>
      </c>
      <c r="E64" s="42">
        <f t="shared" ref="E64:E75" si="16">B64+C64+D64</f>
        <v>4300.3528138578049</v>
      </c>
      <c r="F64" s="86"/>
      <c r="G64" s="87">
        <f t="shared" ref="G64:G75" si="17">I64-H64</f>
        <v>3014.9149684917497</v>
      </c>
      <c r="H64" s="273">
        <f>((655.834691+2.098+150.976814))*(2.204622/2)</f>
        <v>891.66984536605503</v>
      </c>
      <c r="I64" s="42">
        <f t="shared" ref="I64:I75" si="18">E64-J64</f>
        <v>3906.5848138578049</v>
      </c>
      <c r="J64" s="273">
        <f>360.253+33.515</f>
        <v>393.76799999999997</v>
      </c>
    </row>
    <row r="65" spans="1:10">
      <c r="A65" t="s">
        <v>189</v>
      </c>
      <c r="B65" s="86">
        <f>+J64</f>
        <v>393.76799999999997</v>
      </c>
      <c r="C65" s="86">
        <f>3655.75+251.965</f>
        <v>3907.7150000000001</v>
      </c>
      <c r="D65" s="86">
        <f>(23368.643+2935+1353.348)*2.204622/2000</f>
        <v>30.486605406201004</v>
      </c>
      <c r="E65" s="42">
        <f t="shared" si="16"/>
        <v>4331.9696054062015</v>
      </c>
      <c r="F65" s="86"/>
      <c r="G65" s="87">
        <f t="shared" si="17"/>
        <v>2766.6980162055961</v>
      </c>
      <c r="H65" s="273">
        <f>((844.248393+15.814+213.576162))*(2.204622/2)</f>
        <v>1183.4835892006051</v>
      </c>
      <c r="I65" s="42">
        <f t="shared" si="18"/>
        <v>3950.1816054062015</v>
      </c>
      <c r="J65" s="273">
        <f>342.962+38.826</f>
        <v>381.78800000000001</v>
      </c>
    </row>
    <row r="66" spans="1:10">
      <c r="A66" t="s">
        <v>190</v>
      </c>
      <c r="B66" s="86">
        <f t="shared" ref="B66:B75" si="19">+J65</f>
        <v>381.78800000000001</v>
      </c>
      <c r="C66" s="86">
        <f>3669.213+262.266</f>
        <v>3931.4790000000003</v>
      </c>
      <c r="D66" s="86">
        <f>(24942.858+4082+1635.392)*2.204622/2000</f>
        <v>33.797130837750004</v>
      </c>
      <c r="E66" s="42">
        <f t="shared" si="16"/>
        <v>4347.0641308377499</v>
      </c>
      <c r="F66" s="86"/>
      <c r="G66" s="87">
        <f t="shared" si="17"/>
        <v>2975.7076822875752</v>
      </c>
      <c r="H66" s="273">
        <f>((745.244112+4.957+219.587313))*(2.204622/2)</f>
        <v>1069.008448550175</v>
      </c>
      <c r="I66" s="42">
        <f t="shared" si="18"/>
        <v>4044.7161308377499</v>
      </c>
      <c r="J66" s="273">
        <f>270.421+31.927</f>
        <v>302.34800000000001</v>
      </c>
    </row>
    <row r="67" spans="1:10">
      <c r="A67" t="s">
        <v>191</v>
      </c>
      <c r="B67" s="86">
        <f t="shared" si="19"/>
        <v>302.34800000000001</v>
      </c>
      <c r="C67" s="86">
        <f>3539.791+256.884</f>
        <v>3796.6750000000002</v>
      </c>
      <c r="D67" s="86">
        <f>(25166.958+4758+365.767)*2.204622/2000</f>
        <v>33.389799365475</v>
      </c>
      <c r="E67" s="42">
        <f t="shared" si="16"/>
        <v>4132.4127993654747</v>
      </c>
      <c r="F67" s="86"/>
      <c r="G67" s="87">
        <f t="shared" si="17"/>
        <v>2621.7602647039112</v>
      </c>
      <c r="H67" s="273">
        <f>((725.889237+8.801+263.534887))*(2.204622/2)</f>
        <v>1100.354534661564</v>
      </c>
      <c r="I67" s="42">
        <f t="shared" si="18"/>
        <v>3722.1147993654749</v>
      </c>
      <c r="J67" s="273">
        <f>368.063+42.235</f>
        <v>410.298</v>
      </c>
    </row>
    <row r="68" spans="1:10">
      <c r="A68" t="s">
        <v>192</v>
      </c>
      <c r="B68" s="86">
        <f t="shared" si="19"/>
        <v>410.298</v>
      </c>
      <c r="C68" s="86">
        <f>3425.236+241.078</f>
        <v>3666.3139999999999</v>
      </c>
      <c r="D68" s="86">
        <f>(24839.815+6908+637.385)*2.204622/2000</f>
        <v>35.698562197199998</v>
      </c>
      <c r="E68" s="42">
        <f t="shared" si="16"/>
        <v>4112.3105621971999</v>
      </c>
      <c r="F68" s="86"/>
      <c r="G68" s="87">
        <f t="shared" si="17"/>
        <v>2542.269476764202</v>
      </c>
      <c r="H68" s="273">
        <f>((895.545031+8.529+191.523387))*(2.204622/2)</f>
        <v>1207.6890854329981</v>
      </c>
      <c r="I68" s="42">
        <f t="shared" si="18"/>
        <v>3749.9585621972001</v>
      </c>
      <c r="J68" s="273">
        <f>330.057+32.295</f>
        <v>362.35200000000003</v>
      </c>
    </row>
    <row r="69" spans="1:10">
      <c r="A69" t="s">
        <v>193</v>
      </c>
      <c r="B69" s="86">
        <f t="shared" si="19"/>
        <v>362.35200000000003</v>
      </c>
      <c r="C69" s="86">
        <f>3677.248+260.298</f>
        <v>3937.5460000000003</v>
      </c>
      <c r="D69" s="86">
        <f>(29351.146+6254+320.272)*2.204622/2000</f>
        <v>39.600983440997993</v>
      </c>
      <c r="E69" s="42">
        <f t="shared" si="16"/>
        <v>4339.498983440998</v>
      </c>
      <c r="F69" s="86"/>
      <c r="G69" s="87">
        <f t="shared" si="17"/>
        <v>2995.2226337774759</v>
      </c>
      <c r="H69" s="273">
        <f>((715.645611+4.575+192.569291))*(2.204622/2)</f>
        <v>1006.1783496635221</v>
      </c>
      <c r="I69" s="42">
        <f t="shared" si="18"/>
        <v>4001.4009834409981</v>
      </c>
      <c r="J69" s="273">
        <f>302.672+35.426</f>
        <v>338.09800000000001</v>
      </c>
    </row>
    <row r="70" spans="1:10">
      <c r="A70" t="s">
        <v>194</v>
      </c>
      <c r="B70" s="86">
        <f t="shared" si="19"/>
        <v>338.09800000000001</v>
      </c>
      <c r="C70" s="86">
        <f>3502.911+243.761</f>
        <v>3746.672</v>
      </c>
      <c r="D70" s="86">
        <f>(38480.991+3492+724.589)*2.204622/2000</f>
        <v>47.066012107380004</v>
      </c>
      <c r="E70" s="42">
        <f t="shared" si="16"/>
        <v>4131.8360121073802</v>
      </c>
      <c r="F70" s="86"/>
      <c r="G70" s="87">
        <f t="shared" si="17"/>
        <v>2657.6908387043277</v>
      </c>
      <c r="H70" s="273">
        <f>((803.224929+5.187+154.906203))*(2.204622/2)</f>
        <v>1061.876173403052</v>
      </c>
      <c r="I70" s="42">
        <f t="shared" si="18"/>
        <v>3719.5670121073799</v>
      </c>
      <c r="J70" s="273">
        <f>365.653+46.616</f>
        <v>412.26900000000001</v>
      </c>
    </row>
    <row r="71" spans="1:10">
      <c r="A71" t="s">
        <v>201</v>
      </c>
      <c r="B71" s="86">
        <f t="shared" si="19"/>
        <v>412.26900000000001</v>
      </c>
      <c r="C71" s="86">
        <f>3561.181+246.358</f>
        <v>3807.5390000000002</v>
      </c>
      <c r="D71" s="86">
        <f>(22966.963+5644+947.411)*2.204622/2000</f>
        <v>32.582520802314001</v>
      </c>
      <c r="E71" s="42">
        <f t="shared" si="16"/>
        <v>4252.3905208023143</v>
      </c>
      <c r="F71" s="86"/>
      <c r="G71" s="87">
        <f t="shared" si="17"/>
        <v>2812.2799784183235</v>
      </c>
      <c r="H71" s="273">
        <f>((812.336895+6.89+133.941986))*(2.204622/2)</f>
        <v>1050.688542383991</v>
      </c>
      <c r="I71" s="42">
        <f t="shared" si="18"/>
        <v>3862.9685208023143</v>
      </c>
      <c r="J71" s="273">
        <f>343.411+46.011</f>
        <v>389.42200000000003</v>
      </c>
    </row>
    <row r="72" spans="1:10">
      <c r="A72" t="s">
        <v>195</v>
      </c>
      <c r="B72" s="86">
        <f t="shared" si="19"/>
        <v>389.42200000000003</v>
      </c>
      <c r="C72" s="86">
        <f>3411.099+235.294</f>
        <v>3646.393</v>
      </c>
      <c r="D72" s="86">
        <f>(19679.308+2313+1350.185)*2.204622/2000</f>
        <v>25.730686801323007</v>
      </c>
      <c r="E72" s="42">
        <f t="shared" si="16"/>
        <v>4061.545686801323</v>
      </c>
      <c r="F72" s="86"/>
      <c r="G72" s="87">
        <f t="shared" si="17"/>
        <v>2990.0518689217397</v>
      </c>
      <c r="H72" s="273">
        <f>((589.374576+8.573+91.818577))*(2.204622/2)</f>
        <v>760.33681787958301</v>
      </c>
      <c r="I72" s="42">
        <f t="shared" si="18"/>
        <v>3750.3886868013228</v>
      </c>
      <c r="J72" s="273">
        <f>281.038+30.119</f>
        <v>311.15700000000004</v>
      </c>
    </row>
    <row r="73" spans="1:10">
      <c r="A73" t="s">
        <v>196</v>
      </c>
      <c r="B73" s="86">
        <f t="shared" si="19"/>
        <v>311.15700000000004</v>
      </c>
      <c r="C73" s="86">
        <f>3403.386+240.805</f>
        <v>3644.1909999999998</v>
      </c>
      <c r="D73" s="86">
        <f>(20165.229+3113+574.81)*2.204622/2000</f>
        <v>26.293467273129</v>
      </c>
      <c r="E73" s="42">
        <f t="shared" si="16"/>
        <v>3981.6414672731289</v>
      </c>
      <c r="F73" s="86"/>
      <c r="G73" s="87">
        <f t="shared" si="17"/>
        <v>2543.4591645280107</v>
      </c>
      <c r="H73" s="273">
        <f>((776.598669+7.542+103.583669))*(2.204622/2)</f>
        <v>978.54830274511801</v>
      </c>
      <c r="I73" s="42">
        <f t="shared" si="18"/>
        <v>3522.0074672731289</v>
      </c>
      <c r="J73" s="273">
        <f>419.802+39.832</f>
        <v>459.63400000000001</v>
      </c>
    </row>
    <row r="74" spans="1:10">
      <c r="A74" t="s">
        <v>206</v>
      </c>
      <c r="B74" s="86">
        <f t="shared" si="19"/>
        <v>459.63400000000001</v>
      </c>
      <c r="C74" s="86">
        <f>3111.301+217.058</f>
        <v>3328.3589999999999</v>
      </c>
      <c r="D74" s="86">
        <f>(23685.027+3922+880.38)*2.204622/2000</f>
        <v>31.401982097577001</v>
      </c>
      <c r="E74" s="42">
        <f t="shared" si="16"/>
        <v>3819.3949820975768</v>
      </c>
      <c r="F74" s="86"/>
      <c r="G74" s="87">
        <f t="shared" si="17"/>
        <v>2789.1519278875626</v>
      </c>
      <c r="H74" s="273">
        <f>((600.564703+6.676+78.208371))*(2.204622/2)</f>
        <v>755.5780542100141</v>
      </c>
      <c r="I74" s="42">
        <f t="shared" si="18"/>
        <v>3544.7299820975768</v>
      </c>
      <c r="J74" s="273">
        <f>247.799+26.866</f>
        <v>274.66500000000002</v>
      </c>
    </row>
    <row r="75" spans="1:10">
      <c r="A75" t="s">
        <v>187</v>
      </c>
      <c r="B75" s="86">
        <f t="shared" si="19"/>
        <v>274.66500000000002</v>
      </c>
      <c r="C75" s="86">
        <f>3042.315+215.143</f>
        <v>3257.4580000000001</v>
      </c>
      <c r="D75" s="86">
        <f>(25177.686+3462+598.154)*2.204622/2000</f>
        <v>32.229192648240002</v>
      </c>
      <c r="E75" s="42">
        <f t="shared" si="16"/>
        <v>3564.3521926482399</v>
      </c>
      <c r="F75" s="86"/>
      <c r="G75" s="87">
        <f t="shared" si="17"/>
        <v>2412.0282878602329</v>
      </c>
      <c r="H75" s="273">
        <f>((677.122957+2.925+125.92958))*(2.204622/2)</f>
        <v>888.43790478800702</v>
      </c>
      <c r="I75" s="42">
        <f t="shared" si="18"/>
        <v>3300.4661926482399</v>
      </c>
      <c r="J75" s="273">
        <f>233.715+30.171</f>
        <v>263.88600000000002</v>
      </c>
    </row>
    <row r="76" spans="1:10">
      <c r="A76" s="41" t="s">
        <v>410</v>
      </c>
      <c r="B76" s="41"/>
      <c r="C76" s="86">
        <f>SUM(C64:C75)</f>
        <v>44671.661999999989</v>
      </c>
      <c r="D76" s="86">
        <f>SUM(D64:D75)</f>
        <v>403.42275683539208</v>
      </c>
      <c r="E76" s="86">
        <f>B64+C76+D76</f>
        <v>45338.970756835377</v>
      </c>
      <c r="F76" s="86"/>
      <c r="G76" s="87">
        <f>SUM(G64:G75)</f>
        <v>33121.235108550703</v>
      </c>
      <c r="H76" s="87">
        <f>SUM(H64:H75)</f>
        <v>11953.849648284682</v>
      </c>
      <c r="I76" s="87">
        <f>SUM(I64:I75)</f>
        <v>45075.084756835386</v>
      </c>
      <c r="J76" s="42"/>
    </row>
    <row r="77" spans="1:10">
      <c r="A77" s="117" t="s">
        <v>578</v>
      </c>
      <c r="B77" s="41"/>
      <c r="C77" s="86"/>
      <c r="D77" s="86"/>
      <c r="E77" s="86"/>
      <c r="F77" s="86"/>
      <c r="G77" s="86"/>
      <c r="H77" s="86"/>
      <c r="I77" s="86"/>
      <c r="J77" s="87"/>
    </row>
    <row r="78" spans="1:10">
      <c r="A78" t="s">
        <v>188</v>
      </c>
      <c r="B78" s="86">
        <f>233.715+30.171</f>
        <v>263.88600000000002</v>
      </c>
      <c r="C78" s="86">
        <f>3830.125+273.917</f>
        <v>4104.0420000000004</v>
      </c>
      <c r="D78" s="86">
        <f>(20102.004+3304+507.805)*2.204622/2000</f>
        <v>26.360454712599005</v>
      </c>
      <c r="E78" s="272">
        <f t="shared" ref="E78:E89" si="20">B78+C78+D78</f>
        <v>4394.2884547125996</v>
      </c>
      <c r="F78" s="271"/>
      <c r="G78" s="273">
        <f t="shared" ref="G78:G89" si="21">I78-H78</f>
        <v>3084.1154310607744</v>
      </c>
      <c r="H78" s="273">
        <f>((693.141819+2.805+150.046756))*(2.204622/2)</f>
        <v>932.54802365182502</v>
      </c>
      <c r="I78" s="272">
        <f t="shared" ref="I78:I89" si="22">E78-J78</f>
        <v>4016.6634547125996</v>
      </c>
      <c r="J78" s="273">
        <f>335.413+42.212</f>
        <v>377.625</v>
      </c>
    </row>
    <row r="79" spans="1:10">
      <c r="A79" t="s">
        <v>189</v>
      </c>
      <c r="B79" s="86">
        <f>+J78</f>
        <v>377.625</v>
      </c>
      <c r="C79" s="86">
        <f>3739.093+273.414</f>
        <v>4012.5069999999996</v>
      </c>
      <c r="D79" s="86">
        <f>(21499.507+3901+120.943)*2.204622/2000</f>
        <v>28.132575070950004</v>
      </c>
      <c r="E79" s="272">
        <f t="shared" si="20"/>
        <v>4418.2645750709498</v>
      </c>
      <c r="F79" s="271"/>
      <c r="G79" s="273">
        <f t="shared" si="21"/>
        <v>2997.7173049214557</v>
      </c>
      <c r="H79" s="273">
        <f>((667.273624+3.395+247.86913))*(2.204622/2)</f>
        <v>1012.5142701494941</v>
      </c>
      <c r="I79" s="272">
        <f t="shared" si="22"/>
        <v>4010.2315750709499</v>
      </c>
      <c r="J79" s="273">
        <f>361.959+46.074</f>
        <v>408.03300000000002</v>
      </c>
    </row>
    <row r="80" spans="1:10">
      <c r="A80" t="s">
        <v>190</v>
      </c>
      <c r="B80" s="86">
        <f t="shared" ref="B80:B89" si="23">+J79</f>
        <v>408.03300000000002</v>
      </c>
      <c r="C80" s="86">
        <f>3690.668+273.479</f>
        <v>3964.1469999999999</v>
      </c>
      <c r="D80" s="86">
        <f>(19136.428+4259+130.318)*2.204622/2000</f>
        <v>25.932688599005999</v>
      </c>
      <c r="E80" s="272">
        <f t="shared" si="20"/>
        <v>4398.1126885990061</v>
      </c>
      <c r="F80" s="271"/>
      <c r="G80" s="273">
        <f t="shared" si="21"/>
        <v>3012.1221897310652</v>
      </c>
      <c r="H80" s="273">
        <f>((650.497579+2.548+199.327752))*(2.204622/2)</f>
        <v>939.58049886794106</v>
      </c>
      <c r="I80" s="272">
        <f t="shared" si="22"/>
        <v>3951.7026885990063</v>
      </c>
      <c r="J80" s="273">
        <f>403.901+42.509</f>
        <v>446.41</v>
      </c>
    </row>
    <row r="81" spans="1:10">
      <c r="A81" t="s">
        <v>191</v>
      </c>
      <c r="B81" s="86">
        <f t="shared" si="23"/>
        <v>446.41</v>
      </c>
      <c r="C81" s="86">
        <f>3763.462+261.739</f>
        <v>4025.201</v>
      </c>
      <c r="D81" s="86">
        <f>(28002.473+4355+726.884)*2.204622/2000</f>
        <v>36.469250649027003</v>
      </c>
      <c r="E81" s="272">
        <f t="shared" si="20"/>
        <v>4508.0802506490272</v>
      </c>
      <c r="F81" s="271"/>
      <c r="G81" s="273">
        <f t="shared" si="21"/>
        <v>2766.0195685578551</v>
      </c>
      <c r="H81" s="273">
        <f>((955.04107+3.027+227.792982))*(2.204622/2)</f>
        <v>1307.1876820911721</v>
      </c>
      <c r="I81" s="272">
        <f t="shared" si="22"/>
        <v>4073.2072506490272</v>
      </c>
      <c r="J81" s="273">
        <f>394.425+40.448</f>
        <v>434.87299999999999</v>
      </c>
    </row>
    <row r="82" spans="1:10">
      <c r="A82" t="s">
        <v>192</v>
      </c>
      <c r="B82" s="86">
        <f t="shared" si="23"/>
        <v>434.87299999999999</v>
      </c>
      <c r="C82" s="86">
        <f>3331.018+228.174</f>
        <v>3559.192</v>
      </c>
      <c r="D82" s="86">
        <f>(28244.05+3893+387.116)*2.204622/2000</f>
        <v>35.851745947626</v>
      </c>
      <c r="E82" s="272">
        <f t="shared" si="20"/>
        <v>4029.9167459476262</v>
      </c>
      <c r="F82" s="271"/>
      <c r="G82" s="273">
        <f t="shared" si="21"/>
        <v>2568.2889825169823</v>
      </c>
      <c r="H82" s="273">
        <f>((813.913628+11.508+133.305776))*(2.204622/2)</f>
        <v>1056.8157634306442</v>
      </c>
      <c r="I82" s="272">
        <f t="shared" si="22"/>
        <v>3625.1047459476263</v>
      </c>
      <c r="J82" s="273">
        <f>372.404+32.408</f>
        <v>404.81200000000001</v>
      </c>
    </row>
    <row r="83" spans="1:10">
      <c r="A83" t="s">
        <v>193</v>
      </c>
      <c r="B83" s="86">
        <f t="shared" si="23"/>
        <v>404.81200000000001</v>
      </c>
      <c r="C83" s="86">
        <f>3528.733+244.932</f>
        <v>3773.665</v>
      </c>
      <c r="D83" s="86">
        <f>(18840.141+3912+533.996)*2.204622/2000</f>
        <v>25.668564962607</v>
      </c>
      <c r="E83" s="272">
        <f t="shared" si="20"/>
        <v>4204.1455649626068</v>
      </c>
      <c r="F83" s="271"/>
      <c r="G83" s="273">
        <f t="shared" si="21"/>
        <v>2392.2603369100138</v>
      </c>
      <c r="H83" s="273">
        <f>((1035.967822+3.391+282.778241))*(2.204622/2)</f>
        <v>1457.4062280525932</v>
      </c>
      <c r="I83" s="272">
        <f t="shared" si="22"/>
        <v>3849.666564962607</v>
      </c>
      <c r="J83" s="273">
        <f>318.123+36.356</f>
        <v>354.47899999999998</v>
      </c>
    </row>
    <row r="84" spans="1:10">
      <c r="A84" t="s">
        <v>194</v>
      </c>
      <c r="B84" s="86">
        <f t="shared" si="23"/>
        <v>354.47899999999998</v>
      </c>
      <c r="C84" s="86">
        <f>3300.745+222.754</f>
        <v>3523.4989999999998</v>
      </c>
      <c r="D84" s="86">
        <f>(22651.37+3430+234.788)*2.204622/2000</f>
        <v>29.008590441138001</v>
      </c>
      <c r="E84" s="272">
        <f t="shared" si="20"/>
        <v>3906.9865904411377</v>
      </c>
      <c r="F84" s="271"/>
      <c r="G84" s="273">
        <f t="shared" si="21"/>
        <v>2567.2236128871587</v>
      </c>
      <c r="H84" s="273">
        <f>((647.266616+15.782+162.156773))*(2.204622/2)</f>
        <v>909.632977553979</v>
      </c>
      <c r="I84" s="272">
        <f t="shared" si="22"/>
        <v>3476.8565904411375</v>
      </c>
      <c r="J84" s="273">
        <f>387.207+42.923</f>
        <v>430.13</v>
      </c>
    </row>
    <row r="85" spans="1:10">
      <c r="A85" t="s">
        <v>201</v>
      </c>
      <c r="B85" s="86">
        <f t="shared" si="23"/>
        <v>430.13</v>
      </c>
      <c r="C85" s="86">
        <f>3491.318+240.712</f>
        <v>3732.03</v>
      </c>
      <c r="D85" s="86">
        <f>(27525.607+4193+551.493)*2.204622/2000</f>
        <v>35.5716862011</v>
      </c>
      <c r="E85" s="272">
        <f t="shared" si="20"/>
        <v>4197.7316862011003</v>
      </c>
      <c r="F85" s="271"/>
      <c r="G85" s="273">
        <f t="shared" si="21"/>
        <v>2971.1634913947382</v>
      </c>
      <c r="H85" s="273">
        <f>((586.449587+7.811+130.195755))*(2.204622/2)</f>
        <v>798.57619480636197</v>
      </c>
      <c r="I85" s="272">
        <f t="shared" si="22"/>
        <v>3769.7396862011001</v>
      </c>
      <c r="J85" s="273">
        <f>375.156+52.836</f>
        <v>427.99200000000002</v>
      </c>
    </row>
    <row r="86" spans="1:10">
      <c r="A86" t="s">
        <v>195</v>
      </c>
      <c r="B86" s="86">
        <f t="shared" si="23"/>
        <v>427.99200000000002</v>
      </c>
      <c r="C86" s="86">
        <f>3268.397+221.13</f>
        <v>3489.527</v>
      </c>
      <c r="D86" s="86">
        <f>(23961.968+3686+352.707)*2.204622/2000</f>
        <v>30.865452059924998</v>
      </c>
      <c r="E86" s="272">
        <f t="shared" si="20"/>
        <v>3948.384452059925</v>
      </c>
      <c r="F86" s="271"/>
      <c r="G86" s="273">
        <f t="shared" si="21"/>
        <v>2747.3025448563221</v>
      </c>
      <c r="H86" s="273">
        <f>((612.308227+13.92+145.877746))*(2.204622/2)</f>
        <v>851.10090720360301</v>
      </c>
      <c r="I86" s="272">
        <f t="shared" si="22"/>
        <v>3598.4034520599253</v>
      </c>
      <c r="J86" s="273">
        <f>314.965+35.016</f>
        <v>349.98099999999999</v>
      </c>
    </row>
    <row r="87" spans="1:10">
      <c r="A87" t="s">
        <v>196</v>
      </c>
      <c r="B87" s="86">
        <f t="shared" si="23"/>
        <v>349.98099999999999</v>
      </c>
      <c r="C87" s="86">
        <f>3400.652+237.432</f>
        <v>3638.0839999999998</v>
      </c>
      <c r="D87" s="86">
        <f>(13691.999+2447+200.791+27.504)*2.204622/2000</f>
        <v>18.041848216434001</v>
      </c>
      <c r="E87" s="272">
        <f t="shared" si="20"/>
        <v>4006.1068482164337</v>
      </c>
      <c r="F87" s="271"/>
      <c r="G87" s="273">
        <f t="shared" si="21"/>
        <v>2809.6254783808527</v>
      </c>
      <c r="H87" s="273">
        <f>((589.901428+5.875+105.280143))*(2.204622/2)</f>
        <v>772.78236983558099</v>
      </c>
      <c r="I87" s="272">
        <f t="shared" si="22"/>
        <v>3582.4078482164336</v>
      </c>
      <c r="J87" s="273">
        <f>385.868+37.831</f>
        <v>423.69900000000001</v>
      </c>
    </row>
    <row r="88" spans="1:10">
      <c r="A88" t="s">
        <v>206</v>
      </c>
      <c r="B88" s="86">
        <f t="shared" si="23"/>
        <v>423.69900000000001</v>
      </c>
      <c r="C88" s="86">
        <f>3319.155+237.324</f>
        <v>3556.4790000000003</v>
      </c>
      <c r="D88" s="86">
        <f>(22385.117+3449+117.308+1855.441)*2.204622/2000</f>
        <v>30.651814267325999</v>
      </c>
      <c r="E88" s="272">
        <f t="shared" si="20"/>
        <v>4010.8298142673261</v>
      </c>
      <c r="F88" s="271"/>
      <c r="G88" s="273">
        <f t="shared" si="21"/>
        <v>2809.0300816867179</v>
      </c>
      <c r="H88" s="273">
        <f>((667.072312+4.113+122.891616))*(2.204622/2)</f>
        <v>875.31973258060816</v>
      </c>
      <c r="I88" s="272">
        <f t="shared" si="22"/>
        <v>3684.3498142673261</v>
      </c>
      <c r="J88" s="273">
        <f>290.921+35.559</f>
        <v>326.48</v>
      </c>
    </row>
    <row r="89" spans="1:10">
      <c r="A89" t="s">
        <v>187</v>
      </c>
      <c r="B89" s="86">
        <f t="shared" si="23"/>
        <v>326.48</v>
      </c>
      <c r="C89" s="86">
        <f>3188.771+219.873</f>
        <v>3408.6440000000002</v>
      </c>
      <c r="D89" s="86">
        <f>(20301.931+4018+105.104+15.191)*2.204622/2000</f>
        <v>26.940729962285999</v>
      </c>
      <c r="E89" s="272">
        <f t="shared" si="20"/>
        <v>3762.064729962286</v>
      </c>
      <c r="F89" s="271"/>
      <c r="G89" s="273">
        <f t="shared" si="21"/>
        <v>2673.986502943299</v>
      </c>
      <c r="H89" s="273">
        <f>((492.505091+4.872+126.265626))*(2.204622/2)</f>
        <v>687.44822701898693</v>
      </c>
      <c r="I89" s="272">
        <f t="shared" si="22"/>
        <v>3361.4347299622859</v>
      </c>
      <c r="J89" s="273">
        <f>353.758+46.872</f>
        <v>400.63</v>
      </c>
    </row>
    <row r="90" spans="1:10">
      <c r="A90" s="1" t="s">
        <v>410</v>
      </c>
      <c r="B90" s="1"/>
      <c r="C90" s="48">
        <f>SUM(C78:C89)</f>
        <v>44787.017</v>
      </c>
      <c r="D90" s="48">
        <f>SUM(D78:D89)</f>
        <v>349.49540109002407</v>
      </c>
      <c r="E90" s="48">
        <f>B78+C90+D90</f>
        <v>45400.398401090024</v>
      </c>
      <c r="F90" s="1"/>
      <c r="G90" s="68">
        <f>SUM(G78:G89)</f>
        <v>33398.855525847233</v>
      </c>
      <c r="H90" s="68">
        <f>SUM(H78:H89)</f>
        <v>11600.912875242791</v>
      </c>
      <c r="I90" s="68">
        <f>SUM(I78:I89)</f>
        <v>44999.768401090027</v>
      </c>
      <c r="J90" s="1"/>
    </row>
    <row r="91" spans="1:10" ht="13.25" customHeight="1">
      <c r="A91" s="117" t="s">
        <v>580</v>
      </c>
    </row>
    <row r="92" spans="1:10" ht="13.25" customHeight="1">
      <c r="A92" t="s">
        <v>601</v>
      </c>
    </row>
    <row r="93" spans="1:10" ht="10.25" customHeight="1">
      <c r="A93" t="s">
        <v>603</v>
      </c>
      <c r="J93" s="305" t="s">
        <v>679</v>
      </c>
    </row>
  </sheetData>
  <phoneticPr fontId="0" type="noConversion"/>
  <pageMargins left="0.7" right="0.7" top="0.75" bottom="0.75" header="0.3" footer="0.3"/>
  <pageSetup scale="70" firstPageNumber="34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04"/>
  <sheetViews>
    <sheetView zoomScaleNormal="100" zoomScaleSheetLayoutView="100" workbookViewId="0">
      <pane xSplit="1" ySplit="6" topLeftCell="B53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8.75" defaultRowHeight="11"/>
  <cols>
    <col min="1" max="1" width="20.75" customWidth="1"/>
    <col min="2" max="5" width="12.75" customWidth="1"/>
    <col min="6" max="6" width="3.75" customWidth="1"/>
    <col min="7" max="11" width="12.75" customWidth="1"/>
  </cols>
  <sheetData>
    <row r="1" spans="1:11">
      <c r="A1" s="126" t="s">
        <v>693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14"/>
      <c r="C2" s="339" t="s">
        <v>119</v>
      </c>
      <c r="D2" s="314"/>
      <c r="E2" s="314"/>
      <c r="G2" s="314"/>
      <c r="H2" s="334" t="s">
        <v>117</v>
      </c>
      <c r="I2" s="316"/>
      <c r="J2" s="316"/>
    </row>
    <row r="3" spans="1:11">
      <c r="A3" t="s">
        <v>147</v>
      </c>
      <c r="B3" s="7" t="s">
        <v>141</v>
      </c>
      <c r="G3" s="38" t="s">
        <v>142</v>
      </c>
      <c r="K3" s="7" t="s">
        <v>143</v>
      </c>
    </row>
    <row r="4" spans="1:11" ht="12">
      <c r="A4" t="s">
        <v>100</v>
      </c>
      <c r="B4" s="38" t="s">
        <v>110</v>
      </c>
      <c r="C4" s="38" t="s">
        <v>66</v>
      </c>
      <c r="D4" s="188" t="s">
        <v>88</v>
      </c>
      <c r="E4" s="38" t="s">
        <v>3</v>
      </c>
      <c r="G4" s="134" t="s">
        <v>3</v>
      </c>
      <c r="H4" s="38" t="s">
        <v>478</v>
      </c>
      <c r="I4" s="38" t="s">
        <v>90</v>
      </c>
      <c r="J4" s="38" t="s">
        <v>3</v>
      </c>
      <c r="K4" s="38" t="s">
        <v>110</v>
      </c>
    </row>
    <row r="5" spans="1:11">
      <c r="A5" s="1" t="s">
        <v>200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C6" s="303"/>
      <c r="D6" s="303"/>
      <c r="E6" s="303"/>
      <c r="F6" s="303"/>
      <c r="G6" s="303" t="s">
        <v>152</v>
      </c>
      <c r="H6" s="303"/>
      <c r="I6" s="303"/>
      <c r="J6" s="303"/>
      <c r="K6" s="303"/>
    </row>
    <row r="7" spans="1:11">
      <c r="A7" t="s">
        <v>470</v>
      </c>
      <c r="B7" s="17"/>
      <c r="C7" s="77"/>
      <c r="D7" s="77"/>
      <c r="E7" s="77"/>
      <c r="F7" s="41"/>
      <c r="G7" s="77"/>
      <c r="H7" s="77"/>
      <c r="I7" s="77"/>
      <c r="J7" s="77"/>
      <c r="K7" s="17"/>
    </row>
    <row r="8" spans="1:11">
      <c r="A8" t="s">
        <v>188</v>
      </c>
      <c r="B8" s="17">
        <f>2725150+360075</f>
        <v>3085225</v>
      </c>
      <c r="C8" s="17">
        <v>1868608.08</v>
      </c>
      <c r="D8" s="261">
        <f>(779.179+0+1059.491+19.983)*2.204622</f>
        <v>4097.627294166</v>
      </c>
      <c r="E8" s="17">
        <f t="shared" ref="E8:E19" si="0">SUM(B8:D8)</f>
        <v>4957930.7072941661</v>
      </c>
      <c r="G8" s="17">
        <f t="shared" ref="G8:G19" si="1">J8-I8</f>
        <v>1600124.8627896982</v>
      </c>
      <c r="H8" s="17">
        <v>246789</v>
      </c>
      <c r="I8" s="17">
        <f>(39723.893+235.167+15374.729+4951.305)*2.204622</f>
        <v>132905.844504468</v>
      </c>
      <c r="J8" s="17">
        <f t="shared" ref="J8:J19" si="2">(E8-K8)</f>
        <v>1733030.7072941661</v>
      </c>
      <c r="K8" s="17">
        <f>2877600+347300</f>
        <v>3224900</v>
      </c>
    </row>
    <row r="9" spans="1:11">
      <c r="A9" t="s">
        <v>189</v>
      </c>
      <c r="B9" s="17">
        <f>+K8</f>
        <v>3224900</v>
      </c>
      <c r="C9" s="17">
        <v>1805433.7</v>
      </c>
      <c r="D9" s="261">
        <f>(924.204+0+426.674+41.43)*2.204622</f>
        <v>3069.5128475760002</v>
      </c>
      <c r="E9" s="17">
        <f t="shared" si="0"/>
        <v>5033403.2128475765</v>
      </c>
      <c r="G9" s="17">
        <f t="shared" si="1"/>
        <v>1600176.1480099745</v>
      </c>
      <c r="H9" s="17">
        <v>219123</v>
      </c>
      <c r="I9" s="17">
        <f>(69743.935+2067.867+12865.534+5146.255)*2.204622</f>
        <v>198027.064837602</v>
      </c>
      <c r="J9" s="17">
        <f t="shared" si="2"/>
        <v>1798203.2128475765</v>
      </c>
      <c r="K9" s="17">
        <f>2917800+317400</f>
        <v>3235200</v>
      </c>
    </row>
    <row r="10" spans="1:11">
      <c r="A10" t="s">
        <v>190</v>
      </c>
      <c r="B10" s="17">
        <f t="shared" ref="B10:B19" si="3">+K9</f>
        <v>3235200</v>
      </c>
      <c r="C10" s="17">
        <v>1879439.8</v>
      </c>
      <c r="D10" s="261">
        <f>(693.076+0+796.479+1.129)*2.204622</f>
        <v>3286.3947414479999</v>
      </c>
      <c r="E10" s="17">
        <f t="shared" si="0"/>
        <v>5117926.1947414475</v>
      </c>
      <c r="G10" s="17">
        <f t="shared" si="1"/>
        <v>1449593.1660758755</v>
      </c>
      <c r="H10" s="17">
        <v>219310</v>
      </c>
      <c r="I10" s="17">
        <f>(140589.659+1102.594+27351.804+8461.669)*2.204622</f>
        <v>391333.02866557206</v>
      </c>
      <c r="J10" s="17">
        <f t="shared" si="2"/>
        <v>1840926.1947414475</v>
      </c>
      <c r="K10" s="17">
        <f>2916100+360900</f>
        <v>3277000</v>
      </c>
    </row>
    <row r="11" spans="1:11">
      <c r="A11" t="s">
        <v>191</v>
      </c>
      <c r="B11" s="17">
        <f t="shared" si="3"/>
        <v>3277000</v>
      </c>
      <c r="C11" s="17">
        <v>1845226.93</v>
      </c>
      <c r="D11" s="261">
        <f>(678.914+0+2050.537+0)*2.204622</f>
        <v>6017.4077225219999</v>
      </c>
      <c r="E11" s="17">
        <f t="shared" si="0"/>
        <v>5128244.3377225213</v>
      </c>
      <c r="G11" s="17">
        <f t="shared" si="1"/>
        <v>1562526.8647112532</v>
      </c>
      <c r="H11" s="17">
        <v>289000</v>
      </c>
      <c r="I11" s="17">
        <f>(56435.197+137.352+12325.444+2626.501)*2.204622</f>
        <v>157684.47301126801</v>
      </c>
      <c r="J11" s="17">
        <f t="shared" si="2"/>
        <v>1720211.3377225213</v>
      </c>
      <c r="K11" s="17">
        <f>3030542+377491</f>
        <v>3408033</v>
      </c>
    </row>
    <row r="12" spans="1:11">
      <c r="A12" t="s">
        <v>192</v>
      </c>
      <c r="B12" s="17">
        <f t="shared" si="3"/>
        <v>3408033</v>
      </c>
      <c r="C12" s="17">
        <v>1687694.5</v>
      </c>
      <c r="D12" s="261">
        <f>(1376.998+0+1736.654+18.845)*2.204622</f>
        <v>6905.9718011340001</v>
      </c>
      <c r="E12" s="17">
        <f t="shared" si="0"/>
        <v>5102633.4718011338</v>
      </c>
      <c r="G12" s="17">
        <f t="shared" si="1"/>
        <v>1314387.6890689977</v>
      </c>
      <c r="H12" s="17">
        <v>247460</v>
      </c>
      <c r="I12" s="17">
        <f>(193315.826+72.804+35357.907+2549.251)*2.204622</f>
        <v>509919.78273213602</v>
      </c>
      <c r="J12" s="17">
        <f t="shared" si="2"/>
        <v>1824307.4718011338</v>
      </c>
      <c r="K12" s="17">
        <f>2899937+378389</f>
        <v>3278326</v>
      </c>
    </row>
    <row r="13" spans="1:11">
      <c r="A13" t="s">
        <v>193</v>
      </c>
      <c r="B13" s="17">
        <f t="shared" si="3"/>
        <v>3278326</v>
      </c>
      <c r="C13" s="17">
        <v>1827761.46</v>
      </c>
      <c r="D13" s="261">
        <f>(2039.507+0+391.555+0)*2.204622</f>
        <v>5359.5727685640004</v>
      </c>
      <c r="E13" s="17">
        <f t="shared" si="0"/>
        <v>5111447.0327685643</v>
      </c>
      <c r="G13" s="17">
        <f t="shared" si="1"/>
        <v>1642450.6141207581</v>
      </c>
      <c r="H13" s="17">
        <v>259520</v>
      </c>
      <c r="I13" s="17">
        <f>(149346.116+268.079+22468.655+2780.423)*2.204622</f>
        <v>385507.41864780604</v>
      </c>
      <c r="J13" s="17">
        <f t="shared" si="2"/>
        <v>2027958.0327685643</v>
      </c>
      <c r="K13" s="17">
        <f>2720543+362946</f>
        <v>3083489</v>
      </c>
    </row>
    <row r="14" spans="1:11">
      <c r="A14" t="s">
        <v>194</v>
      </c>
      <c r="B14" s="17">
        <f t="shared" si="3"/>
        <v>3083489</v>
      </c>
      <c r="C14" s="17">
        <v>1707011.36</v>
      </c>
      <c r="D14" s="261">
        <f>(2235.449+0+1631.076+25.012)*2.204622</f>
        <v>8579.3680840140005</v>
      </c>
      <c r="E14" s="17">
        <f t="shared" si="0"/>
        <v>4799079.7280840147</v>
      </c>
      <c r="G14" s="17">
        <f t="shared" si="1"/>
        <v>1446246.1862078346</v>
      </c>
      <c r="H14" s="17">
        <v>266460</v>
      </c>
      <c r="I14" s="17">
        <f>(168742.41+3136.858+19361.092+2468.83)*2.204622</f>
        <v>427055.54187618004</v>
      </c>
      <c r="J14" s="17">
        <f t="shared" si="2"/>
        <v>1873301.7280840147</v>
      </c>
      <c r="K14" s="17">
        <f>2581100+344678</f>
        <v>2925778</v>
      </c>
    </row>
    <row r="15" spans="1:11">
      <c r="A15" t="s">
        <v>197</v>
      </c>
      <c r="B15" s="17">
        <f t="shared" si="3"/>
        <v>2925778</v>
      </c>
      <c r="C15" s="17">
        <v>1756417.8</v>
      </c>
      <c r="D15" s="261">
        <f>(1064.721+0+1328.946+38.355)*2.204622</f>
        <v>5361.6892056839997</v>
      </c>
      <c r="E15" s="17">
        <f t="shared" si="0"/>
        <v>4687557.4892056836</v>
      </c>
      <c r="G15" s="17">
        <f t="shared" si="1"/>
        <v>1535213.0848976115</v>
      </c>
      <c r="H15" s="17">
        <v>269800</v>
      </c>
      <c r="I15" s="17">
        <f>(52455.149+1633.824+16512.44+3513.063)*2.204622</f>
        <v>163394.404308072</v>
      </c>
      <c r="J15" s="17">
        <f t="shared" si="2"/>
        <v>1698607.4892056836</v>
      </c>
      <c r="K15" s="17">
        <f>2641757+347193</f>
        <v>2988950</v>
      </c>
    </row>
    <row r="16" spans="1:11">
      <c r="A16" t="s">
        <v>195</v>
      </c>
      <c r="B16" s="17">
        <f t="shared" si="3"/>
        <v>2988950</v>
      </c>
      <c r="C16" s="17">
        <v>1632790.52</v>
      </c>
      <c r="D16" s="261">
        <f>(519.277+0+703.719+44.432)*2.204622</f>
        <v>2794.1996522160002</v>
      </c>
      <c r="E16" s="17">
        <f t="shared" si="0"/>
        <v>4624534.719652216</v>
      </c>
      <c r="F16" s="41"/>
      <c r="G16" s="17">
        <f t="shared" si="1"/>
        <v>1546862.1851731921</v>
      </c>
      <c r="H16" s="17">
        <v>298800</v>
      </c>
      <c r="I16" s="17">
        <f>(63019.537+1434.17+12183.167+1241.118)*2.204622</f>
        <v>171691.53447902401</v>
      </c>
      <c r="J16" s="17">
        <f t="shared" si="2"/>
        <v>1718553.719652216</v>
      </c>
      <c r="K16" s="17">
        <f>2565131+340850</f>
        <v>2905981</v>
      </c>
    </row>
    <row r="17" spans="1:11">
      <c r="A17" t="s">
        <v>196</v>
      </c>
      <c r="B17" s="17">
        <f t="shared" si="3"/>
        <v>2905981</v>
      </c>
      <c r="C17" s="17">
        <v>1616379.28</v>
      </c>
      <c r="D17" s="261">
        <f>(1446.196+0+925.748+26.787)*2.204622</f>
        <v>5288.295134682</v>
      </c>
      <c r="E17" s="17">
        <f t="shared" si="0"/>
        <v>4527648.5751346825</v>
      </c>
      <c r="F17" s="41"/>
      <c r="G17" s="17">
        <f t="shared" si="1"/>
        <v>1608898.5870767245</v>
      </c>
      <c r="H17" s="17">
        <v>319100</v>
      </c>
      <c r="I17" s="17">
        <f>(39363.929+822.274+14049.273+2694.913)*2.204622</f>
        <v>125509.98805795799</v>
      </c>
      <c r="J17" s="17">
        <f t="shared" si="2"/>
        <v>1734408.5751346825</v>
      </c>
      <c r="K17" s="17">
        <f>2492182+301058</f>
        <v>2793240</v>
      </c>
    </row>
    <row r="18" spans="1:11">
      <c r="A18" t="s">
        <v>206</v>
      </c>
      <c r="B18" s="17">
        <f t="shared" si="3"/>
        <v>2793240</v>
      </c>
      <c r="C18" s="17">
        <v>1507544.65</v>
      </c>
      <c r="D18" s="261">
        <f>(1807.496+0+2411.757+39.086)*2.204622</f>
        <v>9388.0278428580023</v>
      </c>
      <c r="E18" s="17">
        <f t="shared" si="0"/>
        <v>4310172.6778428582</v>
      </c>
      <c r="F18" s="41"/>
      <c r="G18" s="17">
        <f t="shared" si="1"/>
        <v>1558993.1408341683</v>
      </c>
      <c r="H18" s="17">
        <v>331860</v>
      </c>
      <c r="I18" s="17">
        <f>(62275.894+2252.12+15599.52+3249.361)*2.204622</f>
        <v>183814.53700869001</v>
      </c>
      <c r="J18" s="17">
        <f t="shared" si="2"/>
        <v>1742807.6778428582</v>
      </c>
      <c r="K18" s="17">
        <f>2271966+295399</f>
        <v>2567365</v>
      </c>
    </row>
    <row r="19" spans="1:11">
      <c r="A19" t="s">
        <v>187</v>
      </c>
      <c r="B19" s="17">
        <f t="shared" si="3"/>
        <v>2567365</v>
      </c>
      <c r="C19" s="17">
        <v>1445522.7</v>
      </c>
      <c r="D19" s="261">
        <f>(1297.935+0+1036.948+26.989)*2.204622</f>
        <v>5207.034972384</v>
      </c>
      <c r="E19" s="17">
        <f t="shared" si="0"/>
        <v>4018094.7349723843</v>
      </c>
      <c r="F19" s="41"/>
      <c r="G19" s="17">
        <f t="shared" si="1"/>
        <v>1469292.8966382584</v>
      </c>
      <c r="H19" s="17">
        <v>278100</v>
      </c>
      <c r="I19" s="17">
        <f>(19539.702+168.045+8919.875+495.211)*2.204622</f>
        <v>64204.838334125998</v>
      </c>
      <c r="J19" s="17">
        <f t="shared" si="2"/>
        <v>1533497.7349723843</v>
      </c>
      <c r="K19" s="17">
        <f>2203536+281061</f>
        <v>2484597</v>
      </c>
    </row>
    <row r="20" spans="1:11">
      <c r="A20" s="41" t="s">
        <v>438</v>
      </c>
      <c r="B20" s="17"/>
      <c r="C20" s="17">
        <f>SUM(C8:C19)</f>
        <v>20579830.779999997</v>
      </c>
      <c r="D20" s="261">
        <f>SUM(D8:D19)</f>
        <v>65355.102067248001</v>
      </c>
      <c r="E20" s="17">
        <f>B8+C20+D20</f>
        <v>23730410.882067244</v>
      </c>
      <c r="F20" s="17"/>
      <c r="G20" s="17">
        <f>SUM(G8:G19)</f>
        <v>18334765.425604343</v>
      </c>
      <c r="H20" s="17">
        <f>SUM(H8:H19)</f>
        <v>3245322</v>
      </c>
      <c r="I20" s="17">
        <f>SUM(I8:I19)</f>
        <v>2911048.456462902</v>
      </c>
      <c r="J20" s="17">
        <f>SUM(J8:J19)</f>
        <v>21245813.882067252</v>
      </c>
      <c r="K20" s="17"/>
    </row>
    <row r="21" spans="1:11">
      <c r="A21" t="s">
        <v>477</v>
      </c>
      <c r="B21" s="17"/>
      <c r="C21" s="77"/>
      <c r="D21" s="77"/>
      <c r="E21" s="77"/>
      <c r="F21" s="41"/>
      <c r="G21" s="77"/>
      <c r="H21" s="77"/>
      <c r="I21" s="77"/>
      <c r="J21" s="77"/>
      <c r="K21" s="17"/>
    </row>
    <row r="22" spans="1:11">
      <c r="A22" t="s">
        <v>188</v>
      </c>
      <c r="B22" s="17">
        <f>+K19</f>
        <v>2484597</v>
      </c>
      <c r="C22" s="17">
        <v>1715917.39</v>
      </c>
      <c r="D22" s="261">
        <f>(304.139+0+1857.275+41.55)*2.204622</f>
        <v>4856.7028996080007</v>
      </c>
      <c r="E22" s="17">
        <f t="shared" ref="E22:E33" si="4">SUM(B22:D22)</f>
        <v>4205371.0928996075</v>
      </c>
      <c r="G22" s="17">
        <f t="shared" ref="G22:G33" si="5">J22-I22</f>
        <v>1678766.2555530276</v>
      </c>
      <c r="H22" s="17">
        <v>295300</v>
      </c>
      <c r="I22" s="17">
        <f>(51222.672+177.43+9182.563+2069.725)*2.204622</f>
        <v>138124.83734658</v>
      </c>
      <c r="J22" s="17">
        <f t="shared" ref="J22:J33" si="6">(E22-K22)</f>
        <v>1816891.0928996075</v>
      </c>
      <c r="K22" s="17">
        <f>2085380+303100</f>
        <v>2388480</v>
      </c>
    </row>
    <row r="23" spans="1:11">
      <c r="A23" t="s">
        <v>189</v>
      </c>
      <c r="B23" s="17">
        <f>+K22</f>
        <v>2388480</v>
      </c>
      <c r="C23" s="17">
        <v>1622851</v>
      </c>
      <c r="D23" s="261">
        <f>(604.375+0+3570.334+38.998)*2.204622</f>
        <v>9289.6311537539987</v>
      </c>
      <c r="E23" s="17">
        <f t="shared" si="4"/>
        <v>4020620.631153754</v>
      </c>
      <c r="G23" s="17">
        <f t="shared" si="5"/>
        <v>1399292.377169108</v>
      </c>
      <c r="H23" s="17">
        <v>252352</v>
      </c>
      <c r="I23" s="17">
        <f>(29089.97+577.345+10422.587+6333.591)*2.204622</f>
        <v>102346.25398464601</v>
      </c>
      <c r="J23" s="17">
        <f t="shared" si="6"/>
        <v>1501638.631153754</v>
      </c>
      <c r="K23" s="17">
        <f>2187355+331627</f>
        <v>2518982</v>
      </c>
    </row>
    <row r="24" spans="1:11">
      <c r="A24" t="s">
        <v>190</v>
      </c>
      <c r="B24" s="17">
        <f t="shared" ref="B24:B33" si="7">+K23</f>
        <v>2518982</v>
      </c>
      <c r="C24" s="17">
        <v>1596985.45</v>
      </c>
      <c r="D24" s="261">
        <f>(497.39+0+981.587+25.924)*2.204622</f>
        <v>3317.7378524219998</v>
      </c>
      <c r="E24" s="17">
        <f t="shared" si="4"/>
        <v>4119285.1878524222</v>
      </c>
      <c r="G24" s="17">
        <f t="shared" si="5"/>
        <v>1369809.8572877583</v>
      </c>
      <c r="H24" s="17">
        <v>207000</v>
      </c>
      <c r="I24" s="17">
        <f>(37780.09+289.968+12514.072+3804.482)*2.204622</f>
        <v>119906.33056466399</v>
      </c>
      <c r="J24" s="17">
        <f t="shared" si="6"/>
        <v>1489716.1878524222</v>
      </c>
      <c r="K24" s="17">
        <f>2342799+286770</f>
        <v>2629569</v>
      </c>
    </row>
    <row r="25" spans="1:11">
      <c r="A25" t="s">
        <v>191</v>
      </c>
      <c r="B25" s="17">
        <f t="shared" si="7"/>
        <v>2629569</v>
      </c>
      <c r="C25" s="17">
        <v>1615100</v>
      </c>
      <c r="D25" s="261">
        <f>(1536.629+40.316+2587.048+44.653)*2.204622</f>
        <v>9278.4735618119994</v>
      </c>
      <c r="E25" s="17">
        <f t="shared" si="4"/>
        <v>4253947.4735618122</v>
      </c>
      <c r="G25" s="17">
        <f t="shared" si="5"/>
        <v>1165212.7657604923</v>
      </c>
      <c r="H25" s="17">
        <v>133300</v>
      </c>
      <c r="I25" s="17">
        <f>(28406.049+359.873+13832.241+1143.897)*2.204622</f>
        <v>96434.707801319993</v>
      </c>
      <c r="J25" s="17">
        <f t="shared" si="6"/>
        <v>1261647.4735618122</v>
      </c>
      <c r="K25" s="17">
        <f>2692700+299600</f>
        <v>2992300</v>
      </c>
    </row>
    <row r="26" spans="1:11">
      <c r="A26" t="s">
        <v>192</v>
      </c>
      <c r="B26" s="17">
        <f t="shared" si="7"/>
        <v>2992300</v>
      </c>
      <c r="C26" s="17">
        <v>1536100</v>
      </c>
      <c r="D26" s="261">
        <f>(3593.173+0+956.056+33.472)*2.204622</f>
        <v>10103.123444021998</v>
      </c>
      <c r="E26" s="17">
        <f t="shared" si="4"/>
        <v>4538503.1234440217</v>
      </c>
      <c r="G26" s="17">
        <f t="shared" si="5"/>
        <v>1268509.7823942716</v>
      </c>
      <c r="H26" s="17">
        <v>195900</v>
      </c>
      <c r="I26" s="17">
        <f>(58139.861+688.723+5555.492+1792.049)*2.204622</f>
        <v>145893.34104975002</v>
      </c>
      <c r="J26" s="17">
        <f t="shared" si="6"/>
        <v>1414403.1234440217</v>
      </c>
      <c r="K26" s="17">
        <f>2816900+307200</f>
        <v>3124100</v>
      </c>
    </row>
    <row r="27" spans="1:11">
      <c r="A27" t="s">
        <v>193</v>
      </c>
      <c r="B27" s="17">
        <f t="shared" si="7"/>
        <v>3124100</v>
      </c>
      <c r="C27" s="17">
        <v>1636000</v>
      </c>
      <c r="D27" s="261">
        <f>(3560.135+0+1058.012+62.614)*2.204622</f>
        <v>10319.308677342</v>
      </c>
      <c r="E27" s="17">
        <f t="shared" si="4"/>
        <v>4770419.3086773418</v>
      </c>
      <c r="G27" s="17">
        <f t="shared" si="5"/>
        <v>1417531.8594100478</v>
      </c>
      <c r="H27" s="17">
        <v>107400</v>
      </c>
      <c r="I27" s="17">
        <f>(53146.805+1764.707+17647.615+599.65)*2.204622</f>
        <v>161287.449267294</v>
      </c>
      <c r="J27" s="17">
        <f t="shared" si="6"/>
        <v>1578819.3086773418</v>
      </c>
      <c r="K27" s="17">
        <f>2904200+287400</f>
        <v>3191600</v>
      </c>
    </row>
    <row r="28" spans="1:11">
      <c r="A28" t="s">
        <v>194</v>
      </c>
      <c r="B28" s="17">
        <f t="shared" si="7"/>
        <v>3191600</v>
      </c>
      <c r="C28" s="17">
        <v>1596000</v>
      </c>
      <c r="D28" s="261">
        <f>(1988.682+0+2794.493+40.217)*2.204622</f>
        <v>10633.756117823999</v>
      </c>
      <c r="E28" s="17">
        <f t="shared" si="4"/>
        <v>4798233.7561178245</v>
      </c>
      <c r="G28" s="17">
        <f t="shared" si="5"/>
        <v>1168516.9944416145</v>
      </c>
      <c r="H28" s="17">
        <v>98500</v>
      </c>
      <c r="I28" s="17">
        <f>(146874.998+2425.446+8043.284+1557.327)*2.204622</f>
        <v>350316.76167620998</v>
      </c>
      <c r="J28" s="17">
        <f t="shared" si="6"/>
        <v>1518833.7561178245</v>
      </c>
      <c r="K28" s="17">
        <f>2975600+303800</f>
        <v>3279400</v>
      </c>
    </row>
    <row r="29" spans="1:11">
      <c r="A29" t="s">
        <v>197</v>
      </c>
      <c r="B29" s="17">
        <f t="shared" si="7"/>
        <v>3279400</v>
      </c>
      <c r="C29" s="17">
        <v>1683200</v>
      </c>
      <c r="D29" s="261">
        <f>(154.604+0+1197.699+48.122)*2.204622</f>
        <v>3087.4077643500004</v>
      </c>
      <c r="E29" s="17">
        <f t="shared" si="4"/>
        <v>4965687.4077643501</v>
      </c>
      <c r="G29" s="17">
        <f t="shared" si="5"/>
        <v>1349041.2581661821</v>
      </c>
      <c r="H29" s="17">
        <v>98600</v>
      </c>
      <c r="I29" s="17">
        <f>(120537.774+364.018+4746.998+394.654)*2.204622</f>
        <v>277878.14959816803</v>
      </c>
      <c r="J29" s="17">
        <f t="shared" si="6"/>
        <v>1626919.4077643501</v>
      </c>
      <c r="K29" s="17">
        <f>3034747+304021</f>
        <v>3338768</v>
      </c>
    </row>
    <row r="30" spans="1:11">
      <c r="A30" t="s">
        <v>195</v>
      </c>
      <c r="B30" s="17">
        <f t="shared" si="7"/>
        <v>3338768</v>
      </c>
      <c r="C30" s="17">
        <v>1604322</v>
      </c>
      <c r="D30" s="261">
        <f>(661.038+0+1409.601+57.432)*2.204622</f>
        <v>4691.5921441620003</v>
      </c>
      <c r="E30" s="17">
        <f t="shared" si="4"/>
        <v>4947781.5921441624</v>
      </c>
      <c r="F30" s="41"/>
      <c r="G30" s="17">
        <f t="shared" si="5"/>
        <v>1330976.6914283345</v>
      </c>
      <c r="H30" s="17">
        <v>118300</v>
      </c>
      <c r="I30" s="17">
        <f>(31859.73+272.159+6022.843+1083.242)*2.204622</f>
        <v>86504.900715827986</v>
      </c>
      <c r="J30" s="17">
        <f t="shared" si="6"/>
        <v>1417481.5921441624</v>
      </c>
      <c r="K30" s="17">
        <f>3237500+292800</f>
        <v>3530300</v>
      </c>
    </row>
    <row r="31" spans="1:11">
      <c r="A31" t="s">
        <v>196</v>
      </c>
      <c r="B31" s="17">
        <f t="shared" si="7"/>
        <v>3530300</v>
      </c>
      <c r="C31" s="17">
        <v>1469173</v>
      </c>
      <c r="D31" s="261">
        <f>(1662.807+19.232+1933.299+42.877)*2.204622</f>
        <v>8064.9812697299994</v>
      </c>
      <c r="E31" s="17">
        <f t="shared" si="4"/>
        <v>5007537.9812697303</v>
      </c>
      <c r="F31" s="41"/>
      <c r="G31" s="17">
        <f t="shared" si="5"/>
        <v>1311025.9340922562</v>
      </c>
      <c r="H31" s="17">
        <v>164300</v>
      </c>
      <c r="I31" s="17">
        <f>(91435.885+1566.022+18237.393+1075.667)*2.204622</f>
        <v>247612.04717747399</v>
      </c>
      <c r="J31" s="17">
        <f t="shared" si="6"/>
        <v>1558637.9812697303</v>
      </c>
      <c r="K31" s="17">
        <f>3148700+300200</f>
        <v>3448900</v>
      </c>
    </row>
    <row r="32" spans="1:11">
      <c r="A32" t="s">
        <v>206</v>
      </c>
      <c r="B32" s="17">
        <f t="shared" si="7"/>
        <v>3448900</v>
      </c>
      <c r="C32" s="17">
        <v>1369400</v>
      </c>
      <c r="D32" s="261">
        <f>(1577.742+0+1962.82+40.733)*2.204622</f>
        <v>7895.4017454900004</v>
      </c>
      <c r="E32" s="17">
        <f t="shared" si="4"/>
        <v>4826195.4017454898</v>
      </c>
      <c r="F32" s="41"/>
      <c r="G32" s="17">
        <f t="shared" si="5"/>
        <v>1389256.9479060697</v>
      </c>
      <c r="H32" s="17">
        <v>174800</v>
      </c>
      <c r="I32" s="17">
        <f>(129590.498+60.432+7192.973+566.707)*2.204622</f>
        <v>302938.45383942005</v>
      </c>
      <c r="J32" s="17">
        <f t="shared" si="6"/>
        <v>1692195.4017454898</v>
      </c>
      <c r="K32" s="17">
        <f>2863900+270100</f>
        <v>3134000</v>
      </c>
    </row>
    <row r="33" spans="1:11">
      <c r="A33" t="s">
        <v>187</v>
      </c>
      <c r="B33" s="17">
        <f t="shared" si="7"/>
        <v>3134000</v>
      </c>
      <c r="C33" s="17">
        <v>1299919</v>
      </c>
      <c r="D33" s="261">
        <f>(1109.021+0+2487.315+50.252)*2.204622</f>
        <v>8039.3481297360004</v>
      </c>
      <c r="E33" s="17">
        <f t="shared" si="4"/>
        <v>4441958.3481297363</v>
      </c>
      <c r="F33" s="41"/>
      <c r="G33" s="17">
        <f t="shared" si="5"/>
        <v>1417263.1611772263</v>
      </c>
      <c r="H33" s="17">
        <v>223000</v>
      </c>
      <c r="I33" s="17">
        <f>(62943.533+116.282+11084.385+333.505)*2.204622</f>
        <v>164195.18695251</v>
      </c>
      <c r="J33" s="17">
        <f t="shared" si="6"/>
        <v>1581458.3481297363</v>
      </c>
      <c r="K33" s="17">
        <f>2612500+248000</f>
        <v>2860500</v>
      </c>
    </row>
    <row r="34" spans="1:11">
      <c r="A34" s="41" t="s">
        <v>438</v>
      </c>
      <c r="B34" s="17"/>
      <c r="C34" s="17">
        <f>SUM(C22:C33)</f>
        <v>18744967.84</v>
      </c>
      <c r="D34" s="261">
        <f>SUM(D22:D33)</f>
        <v>89577.464760251984</v>
      </c>
      <c r="E34" s="17">
        <f>B22+C34+D34</f>
        <v>21319142.304760251</v>
      </c>
      <c r="F34" s="17"/>
      <c r="G34" s="17">
        <f>SUM(G22:G33)</f>
        <v>16265203.88478639</v>
      </c>
      <c r="H34" s="17">
        <f>SUM(H22:H33)</f>
        <v>2068752</v>
      </c>
      <c r="I34" s="17">
        <f>SUM(I22:I33)</f>
        <v>2193438.4199738642</v>
      </c>
      <c r="J34" s="17">
        <f>SUM(J22:J33)</f>
        <v>18458642.304760247</v>
      </c>
      <c r="K34" s="17"/>
    </row>
    <row r="35" spans="1:11">
      <c r="A35" s="117" t="s">
        <v>483</v>
      </c>
      <c r="B35" s="17"/>
      <c r="C35" s="77"/>
      <c r="D35" s="77"/>
      <c r="E35" s="77"/>
      <c r="F35" s="41"/>
      <c r="G35" s="77"/>
      <c r="H35" s="77"/>
      <c r="I35" s="77"/>
      <c r="J35" s="77"/>
      <c r="K35" s="17"/>
    </row>
    <row r="36" spans="1:11">
      <c r="A36" t="s">
        <v>188</v>
      </c>
      <c r="B36" s="17">
        <f>+K33</f>
        <v>2860500</v>
      </c>
      <c r="C36" s="17">
        <v>1825200</v>
      </c>
      <c r="D36" s="261">
        <f>(1010.118+18.316+2158.748+28.092)*2.204622</f>
        <v>7088.463796428</v>
      </c>
      <c r="E36" s="17">
        <f t="shared" ref="E36:E47" si="8">SUM(B36:D36)</f>
        <v>4692788.4637964284</v>
      </c>
      <c r="G36" s="17">
        <f t="shared" ref="G36:G47" si="9">J36-I36</f>
        <v>1551272.5219528244</v>
      </c>
      <c r="H36" s="17">
        <v>246800</v>
      </c>
      <c r="I36" s="17">
        <f>(136262.536+118.268+13549.491+719.087)*2.204622</f>
        <v>332124.94184360403</v>
      </c>
      <c r="J36" s="17">
        <f t="shared" ref="J36:J47" si="10">(E36-K36)</f>
        <v>1883397.4637964284</v>
      </c>
      <c r="K36" s="17">
        <f>2547700+261691</f>
        <v>2809391</v>
      </c>
    </row>
    <row r="37" spans="1:11">
      <c r="A37" t="s">
        <v>189</v>
      </c>
      <c r="B37" s="17">
        <f>+K36</f>
        <v>2809391</v>
      </c>
      <c r="C37" s="17">
        <v>1853955</v>
      </c>
      <c r="D37" s="261">
        <f>(1661.49+0+2673.529+33.209)*2.204622</f>
        <v>9630.291549816</v>
      </c>
      <c r="E37" s="17">
        <f t="shared" si="8"/>
        <v>4672976.2915498158</v>
      </c>
      <c r="G37" s="17">
        <f t="shared" si="9"/>
        <v>1441405.8450678037</v>
      </c>
      <c r="H37" s="17">
        <v>239388</v>
      </c>
      <c r="I37" s="17">
        <f>(89018.672+137.192+19472.689+719.193)*2.204622</f>
        <v>241070.44648201202</v>
      </c>
      <c r="J37" s="17">
        <f t="shared" si="10"/>
        <v>1682476.2915498158</v>
      </c>
      <c r="K37" s="17">
        <f>2712000+278500</f>
        <v>2990500</v>
      </c>
    </row>
    <row r="38" spans="1:11">
      <c r="A38" t="s">
        <v>190</v>
      </c>
      <c r="B38" s="17">
        <f t="shared" ref="B38:B47" si="11">+K37</f>
        <v>2990500</v>
      </c>
      <c r="C38" s="17">
        <v>1898259</v>
      </c>
      <c r="D38" s="261">
        <f>(2580.323+0+2004.798+39.532)*2.204622</f>
        <v>10195.611746166001</v>
      </c>
      <c r="E38" s="17">
        <f t="shared" si="8"/>
        <v>4898954.6117461659</v>
      </c>
      <c r="G38" s="17">
        <f t="shared" si="9"/>
        <v>1358145.2441907439</v>
      </c>
      <c r="H38" s="17">
        <v>236991</v>
      </c>
      <c r="I38" s="17">
        <f>(156263.077+348.372+20319.023+110.929)*2.204622</f>
        <v>390309.36755542207</v>
      </c>
      <c r="J38" s="17">
        <f t="shared" si="10"/>
        <v>1748454.6117461659</v>
      </c>
      <c r="K38" s="17">
        <f>2874700+275800</f>
        <v>3150500</v>
      </c>
    </row>
    <row r="39" spans="1:11">
      <c r="A39" t="s">
        <v>191</v>
      </c>
      <c r="B39" s="17">
        <f t="shared" si="11"/>
        <v>3150500</v>
      </c>
      <c r="C39" s="17">
        <v>1844855.74</v>
      </c>
      <c r="D39" s="261">
        <f>(3823.805+19.232+2332.103+38.917)*2.204622</f>
        <v>13699.646771453999</v>
      </c>
      <c r="E39" s="17">
        <f t="shared" si="8"/>
        <v>5009055.3867714545</v>
      </c>
      <c r="G39" s="17">
        <f t="shared" si="9"/>
        <v>1273502.9440347764</v>
      </c>
      <c r="H39" s="17">
        <v>93713</v>
      </c>
      <c r="I39" s="17">
        <f>(215338.815+218.674+17017.503+509.157)*2.204622</f>
        <v>513862.44273667806</v>
      </c>
      <c r="J39" s="17">
        <f t="shared" si="10"/>
        <v>1787365.3867714545</v>
      </c>
      <c r="K39" s="17">
        <f>2936532+285158</f>
        <v>3221690</v>
      </c>
    </row>
    <row r="40" spans="1:11">
      <c r="A40" t="s">
        <v>192</v>
      </c>
      <c r="B40" s="17">
        <f t="shared" si="11"/>
        <v>3221690</v>
      </c>
      <c r="C40" s="17">
        <v>1690098</v>
      </c>
      <c r="D40" s="261">
        <f>(3429.108+0+2817.937+14.07)*2.204622</f>
        <v>13803.391873529999</v>
      </c>
      <c r="E40" s="17">
        <f t="shared" si="8"/>
        <v>4925591.3918735301</v>
      </c>
      <c r="G40" s="17">
        <f t="shared" si="9"/>
        <v>1230361.0815909239</v>
      </c>
      <c r="H40" s="17">
        <v>109518</v>
      </c>
      <c r="I40" s="17">
        <f>(162903.453+1648.061+16359.722+315.437)*2.204622</f>
        <v>399536.31028260605</v>
      </c>
      <c r="J40" s="17">
        <f t="shared" si="10"/>
        <v>1629897.3918735301</v>
      </c>
      <c r="K40" s="17">
        <f>2994436+301258</f>
        <v>3295694</v>
      </c>
    </row>
    <row r="41" spans="1:11">
      <c r="A41" t="s">
        <v>193</v>
      </c>
      <c r="B41" s="17">
        <f t="shared" si="11"/>
        <v>3295694</v>
      </c>
      <c r="C41" s="17">
        <v>1727705.71</v>
      </c>
      <c r="D41" s="261">
        <f>(280.052+9.2+1634.291+37.674)*2.204622</f>
        <v>4323.7421449739995</v>
      </c>
      <c r="E41" s="17">
        <f t="shared" si="8"/>
        <v>5027723.4521449739</v>
      </c>
      <c r="G41" s="17">
        <f t="shared" si="9"/>
        <v>1302040.5546392901</v>
      </c>
      <c r="H41" s="17">
        <v>133736</v>
      </c>
      <c r="I41" s="17">
        <f>(155132.552+3115.466+26389.549+444.455)*2.204622</f>
        <v>408035.89750568394</v>
      </c>
      <c r="J41" s="17">
        <f t="shared" si="10"/>
        <v>1710076.4521449739</v>
      </c>
      <c r="K41" s="17">
        <f>3048158+269489</f>
        <v>3317647</v>
      </c>
    </row>
    <row r="42" spans="1:11">
      <c r="A42" t="s">
        <v>194</v>
      </c>
      <c r="B42" s="17">
        <f t="shared" si="11"/>
        <v>3317647</v>
      </c>
      <c r="C42" s="17">
        <v>1518120.3</v>
      </c>
      <c r="D42" s="261">
        <f>(1286.61+19.232+2435.488+34.22)*2.204622</f>
        <v>8323.6605920999991</v>
      </c>
      <c r="E42" s="17">
        <f t="shared" si="8"/>
        <v>4844090.9605920995</v>
      </c>
      <c r="G42" s="17">
        <f t="shared" si="9"/>
        <v>1281297.1265738034</v>
      </c>
      <c r="H42" s="17">
        <v>123179</v>
      </c>
      <c r="I42" s="17">
        <f>(53994.097+3563.62+9115.195+459.156)*2.204622</f>
        <v>148000.83401829604</v>
      </c>
      <c r="J42" s="17">
        <f t="shared" si="10"/>
        <v>1429297.9605920995</v>
      </c>
      <c r="K42" s="17">
        <f>3151812+262981</f>
        <v>3414793</v>
      </c>
    </row>
    <row r="43" spans="1:11">
      <c r="A43" t="s">
        <v>197</v>
      </c>
      <c r="B43" s="17">
        <f t="shared" si="11"/>
        <v>3414793</v>
      </c>
      <c r="C43" s="17">
        <v>1481564.85</v>
      </c>
      <c r="D43" s="261">
        <f>(270.003+0+4582.288+31.136)*2.204622</f>
        <v>10766.110599594</v>
      </c>
      <c r="E43" s="17">
        <f t="shared" si="8"/>
        <v>4907123.9605995938</v>
      </c>
      <c r="G43" s="17">
        <f t="shared" si="9"/>
        <v>1307987.4361170598</v>
      </c>
      <c r="H43" s="17">
        <v>106503</v>
      </c>
      <c r="I43" s="17">
        <f>(25541.158+243.825+8816.729+424.485)*2.204622</f>
        <v>77219.524482534005</v>
      </c>
      <c r="J43" s="17">
        <f t="shared" si="10"/>
        <v>1385206.9605995938</v>
      </c>
      <c r="K43" s="17">
        <f>3237012+284905</f>
        <v>3521917</v>
      </c>
    </row>
    <row r="44" spans="1:11">
      <c r="A44" t="s">
        <v>195</v>
      </c>
      <c r="B44" s="17">
        <f t="shared" si="11"/>
        <v>3521917</v>
      </c>
      <c r="C44" s="17">
        <v>1442238.9</v>
      </c>
      <c r="D44" s="261">
        <f>(215.463+0+2268.523+28.2)*2.204622</f>
        <v>5538.4205236920006</v>
      </c>
      <c r="E44" s="17">
        <f t="shared" si="8"/>
        <v>4969694.3205236923</v>
      </c>
      <c r="F44" s="41"/>
      <c r="G44" s="17">
        <f t="shared" si="9"/>
        <v>1243152.4655536884</v>
      </c>
      <c r="H44" s="17">
        <v>94804</v>
      </c>
      <c r="I44" s="17">
        <f>(43654.64+298.281+14165.984+421.677)*2.204622</f>
        <v>129059.85497000402</v>
      </c>
      <c r="J44" s="17">
        <f t="shared" si="10"/>
        <v>1372212.3205236923</v>
      </c>
      <c r="K44" s="17">
        <f>3297846+299636</f>
        <v>3597482</v>
      </c>
    </row>
    <row r="45" spans="1:11">
      <c r="A45" t="s">
        <v>196</v>
      </c>
      <c r="B45" s="17">
        <f t="shared" si="11"/>
        <v>3597482</v>
      </c>
      <c r="C45" s="17">
        <v>1440451.02</v>
      </c>
      <c r="D45" s="261">
        <f>(139.41+12+2598.508+32.316)*2.204622</f>
        <v>6133.7742855479992</v>
      </c>
      <c r="E45" s="17">
        <f t="shared" si="8"/>
        <v>5044066.7942855479</v>
      </c>
      <c r="F45" s="41"/>
      <c r="G45" s="17">
        <f t="shared" si="9"/>
        <v>1270650.8633366758</v>
      </c>
      <c r="H45" s="17">
        <v>103575</v>
      </c>
      <c r="I45" s="17">
        <f>(73854.937+167.281+7144.5+184.158)*2.204622</f>
        <v>179347.930948872</v>
      </c>
      <c r="J45" s="17">
        <f t="shared" si="10"/>
        <v>1449998.7942855479</v>
      </c>
      <c r="K45" s="17">
        <f>3312471+281597</f>
        <v>3594068</v>
      </c>
    </row>
    <row r="46" spans="1:11">
      <c r="A46" t="s">
        <v>206</v>
      </c>
      <c r="B46" s="17">
        <f t="shared" si="11"/>
        <v>3594068</v>
      </c>
      <c r="C46" s="17">
        <v>1418447.8</v>
      </c>
      <c r="D46" s="261">
        <f>(162.42+0+3548.555+22.157)*2.204622</f>
        <v>8230.1449361040013</v>
      </c>
      <c r="E46" s="17">
        <f t="shared" si="8"/>
        <v>5020745.9449361041</v>
      </c>
      <c r="F46" s="41"/>
      <c r="G46" s="17">
        <f t="shared" si="9"/>
        <v>1317294.1507550301</v>
      </c>
      <c r="H46" s="17">
        <v>95755</v>
      </c>
      <c r="I46" s="17">
        <f>(155958.77+85.878+9452.7+341.419)*2.204622</f>
        <v>365611.79418107402</v>
      </c>
      <c r="J46" s="17">
        <f t="shared" si="10"/>
        <v>1682905.9449361041</v>
      </c>
      <c r="K46" s="17">
        <f>3081425+256415</f>
        <v>3337840</v>
      </c>
    </row>
    <row r="47" spans="1:11">
      <c r="A47" t="s">
        <v>187</v>
      </c>
      <c r="B47" s="17">
        <f t="shared" si="11"/>
        <v>3337840</v>
      </c>
      <c r="C47" s="17">
        <v>1474417.2</v>
      </c>
      <c r="D47" s="261">
        <f>(166.571+7+1986.609+38.086)*2.204622</f>
        <v>4846.3455854519998</v>
      </c>
      <c r="E47" s="17">
        <f t="shared" si="8"/>
        <v>4817103.5455854526</v>
      </c>
      <c r="F47" s="41"/>
      <c r="G47" s="17">
        <f t="shared" si="9"/>
        <v>1236835.9198885367</v>
      </c>
      <c r="H47" s="17">
        <v>96341</v>
      </c>
      <c r="I47" s="17">
        <f>(70158.916+94.777+8598.87+293.715)*2.204622</f>
        <v>174487.62569691599</v>
      </c>
      <c r="J47" s="17">
        <f t="shared" si="10"/>
        <v>1411323.5455854526</v>
      </c>
      <c r="K47" s="17">
        <f>3127263+278517</f>
        <v>3405780</v>
      </c>
    </row>
    <row r="48" spans="1:11">
      <c r="A48" s="41" t="s">
        <v>438</v>
      </c>
      <c r="B48" s="17"/>
      <c r="C48" s="17">
        <f>SUM(C36:C47)</f>
        <v>19615313.52</v>
      </c>
      <c r="D48" s="261">
        <f>SUM(D36:D47)</f>
        <v>102579.60440485799</v>
      </c>
      <c r="E48" s="17">
        <f>B36+C48+D48</f>
        <v>22578393.124404859</v>
      </c>
      <c r="F48" s="17"/>
      <c r="G48" s="17">
        <f>SUM(G36:G47)</f>
        <v>15813946.153701156</v>
      </c>
      <c r="H48" s="17">
        <f>SUM(H36:H47)</f>
        <v>1680303</v>
      </c>
      <c r="I48" s="17">
        <f>SUM(I36:I47)</f>
        <v>3358666.970703702</v>
      </c>
      <c r="J48" s="17">
        <f>SUM(J36:J47)</f>
        <v>19172613.124404859</v>
      </c>
      <c r="K48" s="17"/>
    </row>
    <row r="49" spans="1:11">
      <c r="A49" s="117" t="s">
        <v>487</v>
      </c>
      <c r="B49" s="17"/>
      <c r="C49" s="77"/>
      <c r="D49" s="77"/>
      <c r="E49" s="77"/>
      <c r="F49" s="41"/>
      <c r="G49" s="77"/>
      <c r="H49" s="77"/>
      <c r="I49" s="77"/>
      <c r="J49" s="77"/>
      <c r="K49" s="17"/>
    </row>
    <row r="50" spans="1:11">
      <c r="A50" t="s">
        <v>188</v>
      </c>
      <c r="B50" s="17">
        <f>+K47</f>
        <v>3405780</v>
      </c>
      <c r="C50" s="17">
        <v>1790543.39</v>
      </c>
      <c r="D50" s="261">
        <f>(819.417+0+2665.457+34.172)*2.204622</f>
        <v>7758.1662306119997</v>
      </c>
      <c r="E50" s="17">
        <f t="shared" ref="E50:E61" si="12">SUM(B50:D50)</f>
        <v>5204081.5562306121</v>
      </c>
      <c r="G50" s="17">
        <f t="shared" ref="G50:G61" si="13">J50-I50</f>
        <v>1478813.626352526</v>
      </c>
      <c r="H50" s="17">
        <v>102262</v>
      </c>
      <c r="I50" s="17">
        <f>(179782.844+95.695+19259.311+581.163)*2.204622</f>
        <v>440304.92987808608</v>
      </c>
      <c r="J50" s="17">
        <f t="shared" ref="J50:J61" si="14">(E50-K50)</f>
        <v>1919118.5562306121</v>
      </c>
      <c r="K50" s="17">
        <f>3010655+274308</f>
        <v>3284963</v>
      </c>
    </row>
    <row r="51" spans="1:11">
      <c r="A51" t="s">
        <v>189</v>
      </c>
      <c r="B51" s="17">
        <f>+K50</f>
        <v>3284963</v>
      </c>
      <c r="C51" s="17">
        <v>1771201.2</v>
      </c>
      <c r="D51" s="261">
        <f>(4839.373+0+3066.841+7.64)*2.204622</f>
        <v>17447.056633188</v>
      </c>
      <c r="E51" s="17">
        <f t="shared" si="12"/>
        <v>5073611.2566331886</v>
      </c>
      <c r="G51" s="17">
        <f t="shared" si="13"/>
        <v>1291619.1662994465</v>
      </c>
      <c r="H51" s="17">
        <v>70455</v>
      </c>
      <c r="I51" s="17">
        <f>(181206.649+3502.407+11373.843+104.062)*2.204622</f>
        <v>432518.09033374203</v>
      </c>
      <c r="J51" s="17">
        <f t="shared" si="14"/>
        <v>1724137.2566331886</v>
      </c>
      <c r="K51" s="17">
        <f>3049295+300179</f>
        <v>3349474</v>
      </c>
    </row>
    <row r="52" spans="1:11">
      <c r="A52" t="s">
        <v>190</v>
      </c>
      <c r="B52" s="17">
        <f t="shared" ref="B52:B61" si="15">+K51</f>
        <v>3349474</v>
      </c>
      <c r="C52" s="17">
        <v>1731506.15</v>
      </c>
      <c r="D52" s="261">
        <f>(5320.398+0+2940.72+11.44)*2.204622</f>
        <v>18237.863363076001</v>
      </c>
      <c r="E52" s="17">
        <f t="shared" si="12"/>
        <v>5099218.0133630764</v>
      </c>
      <c r="G52" s="17">
        <f t="shared" si="13"/>
        <v>1172812.3896944083</v>
      </c>
      <c r="H52" s="17">
        <v>53884</v>
      </c>
      <c r="I52" s="17">
        <f>(152901.749+2637.656+23212.57+174.219)*2.204622</f>
        <v>394464.62366866803</v>
      </c>
      <c r="J52" s="17">
        <f t="shared" si="14"/>
        <v>1567277.0133630764</v>
      </c>
      <c r="K52" s="17">
        <f>3220826+311115</f>
        <v>3531941</v>
      </c>
    </row>
    <row r="53" spans="1:11">
      <c r="A53" t="s">
        <v>191</v>
      </c>
      <c r="B53" s="17">
        <f t="shared" si="15"/>
        <v>3531941</v>
      </c>
      <c r="C53" s="17">
        <v>1722940</v>
      </c>
      <c r="D53" s="261">
        <f>(3291.981+0+3254.544+0.2)*2.204622</f>
        <v>14433.05396295</v>
      </c>
      <c r="E53" s="17">
        <f t="shared" si="12"/>
        <v>5269314.0539629497</v>
      </c>
      <c r="G53" s="17">
        <f t="shared" si="13"/>
        <v>1387659.7552331097</v>
      </c>
      <c r="H53" s="17">
        <v>110421</v>
      </c>
      <c r="I53" s="17">
        <f>(202239.121+77.38+9067.088+108.131)*2.204622</f>
        <v>466259.29872984003</v>
      </c>
      <c r="J53" s="17">
        <f t="shared" si="14"/>
        <v>1853919.0539629497</v>
      </c>
      <c r="K53" s="17">
        <f>3078691+336704</f>
        <v>3415395</v>
      </c>
    </row>
    <row r="54" spans="1:11">
      <c r="A54" t="s">
        <v>192</v>
      </c>
      <c r="B54" s="17">
        <f t="shared" si="15"/>
        <v>3415395</v>
      </c>
      <c r="C54" s="17">
        <v>1500030</v>
      </c>
      <c r="D54" s="261">
        <f>(3175.423+0+4126.911+5.213)*2.204622</f>
        <v>16110.378882233999</v>
      </c>
      <c r="E54" s="17">
        <f t="shared" si="12"/>
        <v>4931535.378882234</v>
      </c>
      <c r="G54" s="17">
        <f t="shared" si="13"/>
        <v>1254879.7533658119</v>
      </c>
      <c r="H54" s="17">
        <v>112647</v>
      </c>
      <c r="I54" s="17">
        <f>(118832.443+3521.624+13687.893+574.941)*2.204622</f>
        <v>301188.62551642198</v>
      </c>
      <c r="J54" s="17">
        <f t="shared" si="14"/>
        <v>1556068.378882234</v>
      </c>
      <c r="K54" s="17">
        <f>3075062+300405</f>
        <v>3375467</v>
      </c>
    </row>
    <row r="55" spans="1:11">
      <c r="A55" t="s">
        <v>193</v>
      </c>
      <c r="B55" s="17">
        <f t="shared" si="15"/>
        <v>3375467</v>
      </c>
      <c r="C55" s="17">
        <v>1623774</v>
      </c>
      <c r="D55" s="261">
        <f>(1495.313+0+4447.852+1.508)*2.204622</f>
        <v>13105.756878606</v>
      </c>
      <c r="E55" s="17">
        <f t="shared" si="12"/>
        <v>5012346.756878606</v>
      </c>
      <c r="G55" s="17">
        <f t="shared" si="13"/>
        <v>1272407.5298265081</v>
      </c>
      <c r="H55" s="17">
        <v>176313</v>
      </c>
      <c r="I55" s="17">
        <f>(139214.028+79.175+10121.912+337.644)*2.204622</f>
        <v>330148.22705209797</v>
      </c>
      <c r="J55" s="17">
        <f t="shared" si="14"/>
        <v>1602555.756878606</v>
      </c>
      <c r="K55" s="17">
        <f>3109849+299942</f>
        <v>3409791</v>
      </c>
    </row>
    <row r="56" spans="1:11">
      <c r="A56" t="s">
        <v>194</v>
      </c>
      <c r="B56" s="17">
        <f t="shared" si="15"/>
        <v>3409791</v>
      </c>
      <c r="C56" s="17">
        <v>1504598</v>
      </c>
      <c r="D56" s="261">
        <f>(403.164+0+5901.121+1.472)*2.204622</f>
        <v>13901.810608853999</v>
      </c>
      <c r="E56" s="17">
        <f t="shared" si="12"/>
        <v>4928290.8106088536</v>
      </c>
      <c r="G56" s="17">
        <f t="shared" si="13"/>
        <v>1397646.6538427935</v>
      </c>
      <c r="H56" s="17">
        <v>216769</v>
      </c>
      <c r="I56" s="17">
        <f>(75823.413+1139.657+8389.42+184.24)*2.204622</f>
        <v>188576.15676606004</v>
      </c>
      <c r="J56" s="17">
        <f t="shared" si="14"/>
        <v>1586222.8106088536</v>
      </c>
      <c r="K56" s="17">
        <f>3010398+331670</f>
        <v>3342068</v>
      </c>
    </row>
    <row r="57" spans="1:11">
      <c r="A57" t="s">
        <v>197</v>
      </c>
      <c r="B57" s="17">
        <f t="shared" si="15"/>
        <v>3342068</v>
      </c>
      <c r="C57" s="17">
        <v>1491195</v>
      </c>
      <c r="D57" s="261">
        <f>(814.147+0+4736.942+1.724)*2.204622</f>
        <v>12241.853701686001</v>
      </c>
      <c r="E57" s="17">
        <f t="shared" si="12"/>
        <v>4845504.8537016856</v>
      </c>
      <c r="G57" s="17">
        <f t="shared" si="13"/>
        <v>1576493.7764327575</v>
      </c>
      <c r="H57" s="17">
        <v>235312</v>
      </c>
      <c r="I57" s="17">
        <f>(29955.857+1591.942+9839.322+201.903)*2.204622</f>
        <v>91688.077268927998</v>
      </c>
      <c r="J57" s="17">
        <f t="shared" si="14"/>
        <v>1668181.8537016856</v>
      </c>
      <c r="K57" s="17">
        <f>2917354+259969</f>
        <v>3177323</v>
      </c>
    </row>
    <row r="58" spans="1:11">
      <c r="A58" t="s">
        <v>195</v>
      </c>
      <c r="B58" s="17">
        <f t="shared" si="15"/>
        <v>3177323</v>
      </c>
      <c r="C58" s="17">
        <v>1437997</v>
      </c>
      <c r="D58" s="261">
        <f>(374.637+0+5123.419+62.229)*2.204622</f>
        <v>12258.32663727</v>
      </c>
      <c r="E58" s="17">
        <f t="shared" si="12"/>
        <v>4627578.3266372699</v>
      </c>
      <c r="F58" s="41"/>
      <c r="G58" s="17">
        <f t="shared" si="13"/>
        <v>1344828.4075209498</v>
      </c>
      <c r="H58" s="17">
        <v>293702</v>
      </c>
      <c r="I58" s="17">
        <f>(48941.832+1445.761+8302.158+134.809)*2.204622</f>
        <v>129685.91911632002</v>
      </c>
      <c r="J58" s="17">
        <f t="shared" si="14"/>
        <v>1474514.3266372699</v>
      </c>
      <c r="K58" s="17">
        <f>2868184+284880</f>
        <v>3153064</v>
      </c>
    </row>
    <row r="59" spans="1:11">
      <c r="A59" t="s">
        <v>196</v>
      </c>
      <c r="B59" s="17">
        <f t="shared" si="15"/>
        <v>3153064</v>
      </c>
      <c r="C59" s="17">
        <v>1504674</v>
      </c>
      <c r="D59" s="261">
        <f>(257.985+0+4658.192+0)*2.204622</f>
        <v>10838.311970094001</v>
      </c>
      <c r="E59" s="17">
        <f t="shared" si="12"/>
        <v>4668576.3119700942</v>
      </c>
      <c r="F59" s="41"/>
      <c r="G59" s="17">
        <f t="shared" si="13"/>
        <v>1419762.9641650321</v>
      </c>
      <c r="H59" s="17">
        <v>342924</v>
      </c>
      <c r="I59" s="17">
        <f>(45456.366+955.049+7901.32+101.286)*2.204622</f>
        <v>119962.347805062</v>
      </c>
      <c r="J59" s="17">
        <f t="shared" si="14"/>
        <v>1539725.3119700942</v>
      </c>
      <c r="K59" s="17">
        <f>2824308+304543</f>
        <v>3128851</v>
      </c>
    </row>
    <row r="60" spans="1:11">
      <c r="A60" t="s">
        <v>206</v>
      </c>
      <c r="B60" s="17">
        <f t="shared" si="15"/>
        <v>3128851</v>
      </c>
      <c r="C60" s="17">
        <v>1458750</v>
      </c>
      <c r="D60" s="261">
        <f>(121.648+0+5978.907+0.2)*2.204622</f>
        <v>13449.858689610001</v>
      </c>
      <c r="E60" s="17">
        <f t="shared" si="12"/>
        <v>4601050.8586896099</v>
      </c>
      <c r="F60" s="41"/>
      <c r="G60" s="17">
        <f t="shared" si="13"/>
        <v>1618370.370322688</v>
      </c>
      <c r="H60" s="17">
        <v>401221.08000000007</v>
      </c>
      <c r="I60" s="17">
        <f>(44303.026+126.176+7418.814+141.635)*2.204622</f>
        <v>114617.52836692199</v>
      </c>
      <c r="J60" s="17">
        <f t="shared" si="14"/>
        <v>1732987.89868961</v>
      </c>
      <c r="K60" s="17">
        <v>2868062.96</v>
      </c>
    </row>
    <row r="61" spans="1:11">
      <c r="A61" t="s">
        <v>187</v>
      </c>
      <c r="B61" s="17">
        <f t="shared" si="15"/>
        <v>2868062.96</v>
      </c>
      <c r="C61" s="17">
        <v>1350373.78</v>
      </c>
      <c r="D61" s="261">
        <f>(155.713+0+4024.771+1.119)*2.204622</f>
        <v>9218.853969066</v>
      </c>
      <c r="E61" s="17">
        <f t="shared" si="12"/>
        <v>4227655.5939690666</v>
      </c>
      <c r="F61" s="41"/>
      <c r="G61" s="17">
        <f t="shared" si="13"/>
        <v>1578787.7510764566</v>
      </c>
      <c r="H61" s="17">
        <v>434121.20856000017</v>
      </c>
      <c r="I61" s="17">
        <f>(94248.522+309.172+6711.905+117.656)*2.204622</f>
        <v>223520.57289261001</v>
      </c>
      <c r="J61" s="17">
        <f t="shared" si="14"/>
        <v>1802308.3239690666</v>
      </c>
      <c r="K61" s="17">
        <v>2425347.27</v>
      </c>
    </row>
    <row r="62" spans="1:11">
      <c r="A62" s="41" t="s">
        <v>438</v>
      </c>
      <c r="B62" s="17"/>
      <c r="C62" s="17">
        <f>SUM(C50:C61)</f>
        <v>18887582.520000003</v>
      </c>
      <c r="D62" s="261">
        <f>SUM(D50:D61)</f>
        <v>159001.29152724601</v>
      </c>
      <c r="E62" s="17">
        <f>B50+C62+D62</f>
        <v>22452363.811527248</v>
      </c>
      <c r="F62" s="17"/>
      <c r="G62" s="17">
        <f>SUM(G50:G61)</f>
        <v>16794082.144132487</v>
      </c>
      <c r="H62" s="17">
        <f>SUM(H50:H61)</f>
        <v>2550031.2885600002</v>
      </c>
      <c r="I62" s="17">
        <f>SUM(I50:I61)</f>
        <v>3232934.3973947582</v>
      </c>
      <c r="J62" s="17">
        <f>SUM(J50:J61)</f>
        <v>20027016.541527245</v>
      </c>
      <c r="K62" s="17"/>
    </row>
    <row r="63" spans="1:11">
      <c r="A63" s="117" t="s">
        <v>575</v>
      </c>
      <c r="B63" s="41"/>
      <c r="C63" s="86"/>
      <c r="D63" s="86"/>
      <c r="E63" s="86"/>
      <c r="F63" s="41"/>
      <c r="G63" s="77"/>
      <c r="H63" s="77"/>
      <c r="I63" s="77"/>
      <c r="J63" s="77"/>
      <c r="K63" s="77"/>
    </row>
    <row r="64" spans="1:11">
      <c r="A64" t="s">
        <v>188</v>
      </c>
      <c r="B64" s="17">
        <v>1854818</v>
      </c>
      <c r="C64" s="17">
        <v>1962937</v>
      </c>
      <c r="D64" s="261">
        <f>(11263.021+0+8383.554+0)*2.204622</f>
        <v>43313.271469650004</v>
      </c>
      <c r="E64" s="17">
        <f>B64+C64+D64</f>
        <v>3861068.2714696499</v>
      </c>
      <c r="F64" s="41"/>
      <c r="G64" s="17">
        <f>J64-I64</f>
        <v>1741066.7282298219</v>
      </c>
      <c r="H64" s="77">
        <v>407750</v>
      </c>
      <c r="I64" s="17">
        <f>(68457.137+168.758+12516.928+337.151)*2.204622</f>
        <v>179632.54323982802</v>
      </c>
      <c r="J64" s="17">
        <f>(E64-K64)</f>
        <v>1920699.2714696499</v>
      </c>
      <c r="K64" s="251">
        <f>1569861+370508</f>
        <v>1940369</v>
      </c>
    </row>
    <row r="65" spans="1:11">
      <c r="A65" t="s">
        <v>189</v>
      </c>
      <c r="B65" s="17">
        <f>K64</f>
        <v>1940369</v>
      </c>
      <c r="C65" s="17">
        <v>1901853</v>
      </c>
      <c r="D65" s="261">
        <f>(404.275+20.412+7673.322+0)*2.204622</f>
        <v>17853.048797598</v>
      </c>
      <c r="E65" s="17">
        <f t="shared" ref="E65:E75" si="16">B65+C65+D65</f>
        <v>3860075.0487975981</v>
      </c>
      <c r="F65" s="41"/>
      <c r="G65" s="17">
        <f t="shared" ref="G65:G75" si="17">J65-I65</f>
        <v>1661212.8644706982</v>
      </c>
      <c r="H65" s="77">
        <v>463630</v>
      </c>
      <c r="I65" s="17">
        <f>(96450.176+52.248+8912.495+274.031)*2.204622</f>
        <v>233004.18432690002</v>
      </c>
      <c r="J65" s="17">
        <f t="shared" ref="J65:J75" si="18">(E65-K65)</f>
        <v>1894217.0487975981</v>
      </c>
      <c r="K65" s="251">
        <f>1545181+420677</f>
        <v>1965858</v>
      </c>
    </row>
    <row r="66" spans="1:11">
      <c r="A66" t="s">
        <v>190</v>
      </c>
      <c r="B66" s="17">
        <f t="shared" ref="B66:B75" si="19">K65</f>
        <v>1965858</v>
      </c>
      <c r="C66" s="17">
        <v>1929027</v>
      </c>
      <c r="D66" s="261">
        <f>(426.012+0+9716.081+0)*2.204622</f>
        <v>22359.481353846004</v>
      </c>
      <c r="E66" s="17">
        <f t="shared" si="16"/>
        <v>3917244.4813538459</v>
      </c>
      <c r="F66" s="41"/>
      <c r="G66" s="17">
        <f t="shared" si="17"/>
        <v>1623989.2890065599</v>
      </c>
      <c r="H66" s="77">
        <v>435620</v>
      </c>
      <c r="I66" s="17">
        <f>(127771.858+163.223+17227.472+325.06)*2.204622</f>
        <v>320745.19234728598</v>
      </c>
      <c r="J66" s="17">
        <f t="shared" si="18"/>
        <v>1944734.4813538459</v>
      </c>
      <c r="K66" s="251">
        <f>1576849+395661</f>
        <v>1972510</v>
      </c>
    </row>
    <row r="67" spans="1:11">
      <c r="A67" t="s">
        <v>191</v>
      </c>
      <c r="B67" s="17">
        <f t="shared" si="19"/>
        <v>1972510</v>
      </c>
      <c r="C67" s="17">
        <v>1864887</v>
      </c>
      <c r="D67" s="261">
        <f>(661.65+0+6999.396+0)*2.204622</f>
        <v>16889.710554612</v>
      </c>
      <c r="E67" s="17">
        <f t="shared" si="16"/>
        <v>3854286.7105546119</v>
      </c>
      <c r="F67" s="41"/>
      <c r="G67" s="17">
        <f t="shared" si="17"/>
        <v>1576553.3936106698</v>
      </c>
      <c r="H67" s="77">
        <v>392270</v>
      </c>
      <c r="I67" s="17">
        <f>(64298.556+202.493+10705.986+514.026)*2.204622</f>
        <v>166936.31694394202</v>
      </c>
      <c r="J67" s="17">
        <f t="shared" si="18"/>
        <v>1743489.7105546119</v>
      </c>
      <c r="K67" s="251">
        <f>1724459+386338</f>
        <v>2110797</v>
      </c>
    </row>
    <row r="68" spans="1:11">
      <c r="A68" t="s">
        <v>192</v>
      </c>
      <c r="B68" s="17">
        <f t="shared" si="19"/>
        <v>2110797</v>
      </c>
      <c r="C68" s="17">
        <v>1795866</v>
      </c>
      <c r="D68" s="261">
        <f>(6983.861+0+5636.542+0)*2.204622</f>
        <v>27823.218102666</v>
      </c>
      <c r="E68" s="17">
        <f t="shared" si="16"/>
        <v>3934486.2181026661</v>
      </c>
      <c r="F68" s="41"/>
      <c r="G68" s="17">
        <f t="shared" si="17"/>
        <v>1539623.2803150842</v>
      </c>
      <c r="H68" s="77">
        <v>394760</v>
      </c>
      <c r="I68" s="17">
        <f>(39741.744+144.371+11864.2+270.366)*2.204622</f>
        <v>114685.93778758201</v>
      </c>
      <c r="J68" s="17">
        <f t="shared" si="18"/>
        <v>1654309.2181026661</v>
      </c>
      <c r="K68" s="251">
        <f>1880210+399967</f>
        <v>2280177</v>
      </c>
    </row>
    <row r="69" spans="1:11">
      <c r="A69" t="s">
        <v>193</v>
      </c>
      <c r="B69" s="17">
        <f t="shared" si="19"/>
        <v>2280177</v>
      </c>
      <c r="C69" s="17">
        <v>1943537</v>
      </c>
      <c r="D69" s="261">
        <f>(591.834+0+7456.81+0)*2.204622</f>
        <v>17744.217632568001</v>
      </c>
      <c r="E69" s="17">
        <f t="shared" si="16"/>
        <v>4241458.2176325684</v>
      </c>
      <c r="F69" s="41"/>
      <c r="G69" s="17">
        <f t="shared" si="17"/>
        <v>1683407.9475453284</v>
      </c>
      <c r="H69" s="77">
        <v>464480</v>
      </c>
      <c r="I69" s="17">
        <f>(90421.404+568.24+14369.382+384.394)*2.204622</f>
        <v>233124.27008724</v>
      </c>
      <c r="J69" s="17">
        <f t="shared" si="18"/>
        <v>1916532.2176325684</v>
      </c>
      <c r="K69" s="251">
        <f>1956599+368327</f>
        <v>2324926</v>
      </c>
    </row>
    <row r="70" spans="1:11">
      <c r="A70" t="s">
        <v>194</v>
      </c>
      <c r="B70" s="17">
        <f t="shared" si="19"/>
        <v>2324926</v>
      </c>
      <c r="C70" s="17">
        <v>1840263</v>
      </c>
      <c r="D70" s="261">
        <f>(3550.44+0+9479.238+0.48)*2.204622</f>
        <v>28726.572990275999</v>
      </c>
      <c r="E70" s="17">
        <f t="shared" si="16"/>
        <v>4193915.5729902759</v>
      </c>
      <c r="F70" s="41"/>
      <c r="G70" s="17">
        <f t="shared" si="17"/>
        <v>1648122.4901599279</v>
      </c>
      <c r="H70" s="77">
        <v>414750</v>
      </c>
      <c r="I70" s="17">
        <f>(43735.649+152.257+12684.186+478.542)*2.204622</f>
        <v>125775.08283034799</v>
      </c>
      <c r="J70" s="17">
        <f t="shared" si="18"/>
        <v>1773897.5729902759</v>
      </c>
      <c r="K70" s="251">
        <f>2048554+371464</f>
        <v>2420018</v>
      </c>
    </row>
    <row r="71" spans="1:11">
      <c r="A71" t="s">
        <v>201</v>
      </c>
      <c r="B71" s="17">
        <f t="shared" si="19"/>
        <v>2420018</v>
      </c>
      <c r="C71" s="17">
        <v>1876184</v>
      </c>
      <c r="D71" s="261">
        <f>(629.094+1.199+14398.052+0)*2.204622</f>
        <v>33131.820010590003</v>
      </c>
      <c r="E71" s="17">
        <f t="shared" si="16"/>
        <v>4329333.8200105904</v>
      </c>
      <c r="F71" s="41"/>
      <c r="G71" s="17">
        <f t="shared" si="17"/>
        <v>1759376.8829391883</v>
      </c>
      <c r="H71" s="77">
        <v>543780</v>
      </c>
      <c r="I71" s="17">
        <f>(35456.096+189.388+11250.035+195.972)*2.204622</f>
        <v>103818.937071402</v>
      </c>
      <c r="J71" s="17">
        <f t="shared" si="18"/>
        <v>1863195.8200105904</v>
      </c>
      <c r="K71" s="251">
        <f>2063240+402898</f>
        <v>2466138</v>
      </c>
    </row>
    <row r="72" spans="1:11">
      <c r="A72" t="s">
        <v>195</v>
      </c>
      <c r="B72" s="17">
        <f t="shared" si="19"/>
        <v>2466138</v>
      </c>
      <c r="C72" s="17">
        <v>1787234</v>
      </c>
      <c r="D72" s="261">
        <f>(596.642+0.579+6779.714+21.75)*2.204622</f>
        <v>16311.303722069999</v>
      </c>
      <c r="E72" s="17">
        <f t="shared" si="16"/>
        <v>4269683.3037220696</v>
      </c>
      <c r="F72" s="41"/>
      <c r="G72" s="17">
        <f t="shared" si="17"/>
        <v>1687023.9349690736</v>
      </c>
      <c r="H72" s="77">
        <v>519690</v>
      </c>
      <c r="I72" s="17">
        <f>(58786.371+182.565+12592.14+344.842)*2.204622</f>
        <v>158525.36875299603</v>
      </c>
      <c r="J72" s="17">
        <f t="shared" si="18"/>
        <v>1845549.3037220696</v>
      </c>
      <c r="K72" s="251">
        <f>2042738+381396</f>
        <v>2424134</v>
      </c>
    </row>
    <row r="73" spans="1:11">
      <c r="A73" t="s">
        <v>196</v>
      </c>
      <c r="B73" s="17">
        <f t="shared" si="19"/>
        <v>2424134</v>
      </c>
      <c r="C73" s="17">
        <v>1789356</v>
      </c>
      <c r="D73" s="261">
        <f>(492.863+0+7173.58+0)*2.204622</f>
        <v>16901.608899546001</v>
      </c>
      <c r="E73" s="17">
        <f t="shared" si="16"/>
        <v>4230391.6088995459</v>
      </c>
      <c r="F73" s="41"/>
      <c r="G73" s="17">
        <f t="shared" si="17"/>
        <v>1737098.6812410299</v>
      </c>
      <c r="H73" s="77">
        <v>535600</v>
      </c>
      <c r="I73" s="17">
        <f>(106944.346+201.312+19122.929+290.491)*2.204622</f>
        <v>279014.92765851604</v>
      </c>
      <c r="J73" s="17">
        <f t="shared" si="18"/>
        <v>2016113.6088995459</v>
      </c>
      <c r="K73" s="251">
        <f>1865797+348481</f>
        <v>2214278</v>
      </c>
    </row>
    <row r="74" spans="1:11">
      <c r="A74" t="s">
        <v>206</v>
      </c>
      <c r="B74" s="17">
        <f t="shared" si="19"/>
        <v>2214278</v>
      </c>
      <c r="C74" s="17">
        <v>1642478</v>
      </c>
      <c r="D74" s="261">
        <f>(441.51+0+10970.187+18.574)*2.204622</f>
        <v>25199.426912562001</v>
      </c>
      <c r="E74" s="17">
        <f t="shared" si="16"/>
        <v>3881955.426912562</v>
      </c>
      <c r="F74" s="41"/>
      <c r="G74" s="17">
        <f t="shared" si="17"/>
        <v>1796842.2494858881</v>
      </c>
      <c r="H74" s="77">
        <v>561040</v>
      </c>
      <c r="I74" s="17">
        <f>(31239.263+90.549+13409.825+333.93)*2.204622</f>
        <v>99370.17742667401</v>
      </c>
      <c r="J74" s="17">
        <f t="shared" si="18"/>
        <v>1896212.426912562</v>
      </c>
      <c r="K74" s="251">
        <f>1666531+319212</f>
        <v>1985743</v>
      </c>
    </row>
    <row r="75" spans="1:11">
      <c r="A75" t="s">
        <v>187</v>
      </c>
      <c r="B75" s="17">
        <f t="shared" si="19"/>
        <v>1985743</v>
      </c>
      <c r="C75" s="17">
        <v>1616609</v>
      </c>
      <c r="D75" s="261">
        <f>(341.494+0+8866.195+0)*2.204622</f>
        <v>20299.473738558001</v>
      </c>
      <c r="E75" s="17">
        <f t="shared" si="16"/>
        <v>3622651.4737385581</v>
      </c>
      <c r="F75" s="41"/>
      <c r="G75" s="17">
        <f t="shared" si="17"/>
        <v>1707930.1805705342</v>
      </c>
      <c r="H75" s="77">
        <v>536840</v>
      </c>
      <c r="I75" s="17">
        <f>(92870.205+183.707+9768.901+554.679)*2.204622</f>
        <v>227908.29316802401</v>
      </c>
      <c r="J75" s="17">
        <f t="shared" si="18"/>
        <v>1935838.4737385581</v>
      </c>
      <c r="K75" s="251">
        <f>1417400+269413</f>
        <v>1686813</v>
      </c>
    </row>
    <row r="76" spans="1:11">
      <c r="A76" s="41" t="s">
        <v>410</v>
      </c>
      <c r="B76" s="17"/>
      <c r="C76" s="17">
        <f>SUM(C64:C75)</f>
        <v>21950231</v>
      </c>
      <c r="D76" s="261">
        <f>SUM(D64:D75)</f>
        <v>286553.15418454207</v>
      </c>
      <c r="E76" s="17">
        <f>B64+C76+D76</f>
        <v>24091602.154184543</v>
      </c>
      <c r="F76" s="17"/>
      <c r="G76" s="17">
        <f>SUM(G64:G75)</f>
        <v>20162247.922543805</v>
      </c>
      <c r="H76" s="17">
        <f>SUM(H64:H75)</f>
        <v>5670210</v>
      </c>
      <c r="I76" s="17">
        <f>SUM(I64:I75)</f>
        <v>2242541.231640738</v>
      </c>
      <c r="J76" s="17">
        <f>SUM(J64:J75)</f>
        <v>22404789.154184543</v>
      </c>
      <c r="K76" s="17"/>
    </row>
    <row r="77" spans="1:11">
      <c r="A77" s="117" t="s">
        <v>578</v>
      </c>
      <c r="B77" s="41"/>
      <c r="C77" s="86"/>
      <c r="D77" s="86"/>
      <c r="E77" s="86"/>
      <c r="F77" s="41"/>
      <c r="G77" s="77"/>
      <c r="H77" s="77"/>
      <c r="I77" s="77"/>
      <c r="J77" s="77"/>
      <c r="K77" s="77"/>
    </row>
    <row r="78" spans="1:11">
      <c r="A78" t="s">
        <v>188</v>
      </c>
      <c r="B78" s="17">
        <v>1686813</v>
      </c>
      <c r="C78" s="274">
        <v>2028518</v>
      </c>
      <c r="D78" s="275">
        <v>14423.615976167999</v>
      </c>
      <c r="E78" s="17">
        <f>B78+C78+D78</f>
        <v>3729754.6159761678</v>
      </c>
      <c r="F78" s="41"/>
      <c r="G78" s="17">
        <f>J78-I78</f>
        <v>1693461.5263346718</v>
      </c>
      <c r="H78" s="251">
        <v>525960</v>
      </c>
      <c r="I78" s="274">
        <v>240982.08964149602</v>
      </c>
      <c r="J78" s="17">
        <f>(E78-K78)</f>
        <v>1934443.6159761678</v>
      </c>
      <c r="K78" s="251">
        <v>1795311</v>
      </c>
    </row>
    <row r="79" spans="1:11">
      <c r="A79" t="s">
        <v>189</v>
      </c>
      <c r="B79" s="17">
        <v>1795311</v>
      </c>
      <c r="C79" s="274">
        <v>1961256</v>
      </c>
      <c r="D79" s="275">
        <v>38421.224070138</v>
      </c>
      <c r="E79" s="17">
        <f t="shared" ref="E79:E89" si="20">B79+C79+D79</f>
        <v>3794988.2240701378</v>
      </c>
      <c r="F79" s="41"/>
      <c r="G79" s="17">
        <f t="shared" ref="G79:G89" si="21">J79-I79</f>
        <v>1777576.0385635339</v>
      </c>
      <c r="H79" s="251">
        <v>595830</v>
      </c>
      <c r="I79" s="274">
        <v>236701.185506604</v>
      </c>
      <c r="J79" s="17">
        <f t="shared" ref="J79:J89" si="22">(E79-K79)</f>
        <v>2014277.2240701378</v>
      </c>
      <c r="K79" s="251">
        <v>1780711</v>
      </c>
    </row>
    <row r="80" spans="1:11">
      <c r="A80" t="s">
        <v>190</v>
      </c>
      <c r="B80" s="17">
        <v>1780711</v>
      </c>
      <c r="C80" s="274">
        <v>1950176</v>
      </c>
      <c r="D80" s="275">
        <v>47415.651928847998</v>
      </c>
      <c r="E80" s="17">
        <f t="shared" si="20"/>
        <v>3778302.6519288481</v>
      </c>
      <c r="F80" s="41"/>
      <c r="G80" s="17">
        <f t="shared" si="21"/>
        <v>1670497.9451501761</v>
      </c>
      <c r="H80" s="251">
        <v>610470</v>
      </c>
      <c r="I80" s="274">
        <v>235534.706778672</v>
      </c>
      <c r="J80" s="17">
        <f t="shared" si="22"/>
        <v>1906032.6519288481</v>
      </c>
      <c r="K80" s="251">
        <v>1872270</v>
      </c>
    </row>
    <row r="81" spans="1:11">
      <c r="A81" t="s">
        <v>191</v>
      </c>
      <c r="B81" s="17">
        <v>1872270</v>
      </c>
      <c r="C81" s="274">
        <v>1982893</v>
      </c>
      <c r="D81" s="275">
        <v>22669.250586443999</v>
      </c>
      <c r="E81" s="17">
        <f t="shared" si="20"/>
        <v>3877832.250586444</v>
      </c>
      <c r="F81" s="41"/>
      <c r="G81" s="17">
        <f t="shared" si="21"/>
        <v>1505858.38353396</v>
      </c>
      <c r="H81" s="251">
        <v>390110</v>
      </c>
      <c r="I81" s="274">
        <v>259354.86705248404</v>
      </c>
      <c r="J81" s="17">
        <f t="shared" si="22"/>
        <v>1765213.250586444</v>
      </c>
      <c r="K81" s="251">
        <v>2112619</v>
      </c>
    </row>
    <row r="82" spans="1:11">
      <c r="A82" t="s">
        <v>192</v>
      </c>
      <c r="B82" s="17">
        <v>2112619</v>
      </c>
      <c r="C82" s="274">
        <v>1757030</v>
      </c>
      <c r="D82" s="275">
        <v>20833.250203332002</v>
      </c>
      <c r="E82" s="17">
        <f t="shared" si="20"/>
        <v>3890482.2502033319</v>
      </c>
      <c r="F82" s="41"/>
      <c r="G82" s="17">
        <f t="shared" si="21"/>
        <v>1445842.782650166</v>
      </c>
      <c r="H82" s="251">
        <v>369180</v>
      </c>
      <c r="I82" s="274">
        <v>238745.46755316606</v>
      </c>
      <c r="J82" s="17">
        <f t="shared" si="22"/>
        <v>1684588.2502033319</v>
      </c>
      <c r="K82" s="251">
        <v>2205894</v>
      </c>
    </row>
    <row r="83" spans="1:11">
      <c r="A83" t="s">
        <v>193</v>
      </c>
      <c r="B83" s="17">
        <v>2205894</v>
      </c>
      <c r="C83" s="274">
        <v>1865466</v>
      </c>
      <c r="D83" s="275">
        <v>27067.658869314</v>
      </c>
      <c r="E83" s="17">
        <f t="shared" si="20"/>
        <v>4098427.658869314</v>
      </c>
      <c r="F83" s="41"/>
      <c r="G83" s="17">
        <f t="shared" si="21"/>
        <v>1450540.0142469578</v>
      </c>
      <c r="H83" s="251">
        <v>369460</v>
      </c>
      <c r="I83" s="274">
        <v>294532.64462235605</v>
      </c>
      <c r="J83" s="17">
        <f t="shared" si="22"/>
        <v>1745072.658869314</v>
      </c>
      <c r="K83" s="251">
        <v>2353355</v>
      </c>
    </row>
    <row r="84" spans="1:11">
      <c r="A84" t="s">
        <v>194</v>
      </c>
      <c r="B84" s="17">
        <v>2353355</v>
      </c>
      <c r="C84" s="274">
        <v>1737775</v>
      </c>
      <c r="D84" s="275">
        <v>32259.839098662</v>
      </c>
      <c r="E84" s="17">
        <f t="shared" si="20"/>
        <v>4123389.8390986621</v>
      </c>
      <c r="F84" s="41"/>
      <c r="G84" s="17">
        <f t="shared" si="21"/>
        <v>1631229.8195681141</v>
      </c>
      <c r="H84" s="251">
        <v>426710</v>
      </c>
      <c r="I84" s="274">
        <v>258337.01953054804</v>
      </c>
      <c r="J84" s="17">
        <f t="shared" si="22"/>
        <v>1889566.8390986621</v>
      </c>
      <c r="K84" s="251">
        <v>2233823</v>
      </c>
    </row>
    <row r="85" spans="1:11">
      <c r="A85" t="s">
        <v>201</v>
      </c>
      <c r="B85" s="17">
        <v>2233823</v>
      </c>
      <c r="C85" s="274">
        <v>1839342</v>
      </c>
      <c r="D85" s="275">
        <v>31512.207686022004</v>
      </c>
      <c r="E85" s="17">
        <f t="shared" si="20"/>
        <v>4104677.2076860219</v>
      </c>
      <c r="F85" s="41"/>
      <c r="G85" s="17">
        <f t="shared" si="21"/>
        <v>1674228.2939163218</v>
      </c>
      <c r="H85" s="251">
        <v>545510</v>
      </c>
      <c r="I85" s="274">
        <v>161193.91376970001</v>
      </c>
      <c r="J85" s="17">
        <f t="shared" si="22"/>
        <v>1835422.2076860219</v>
      </c>
      <c r="K85" s="251">
        <v>2269255</v>
      </c>
    </row>
    <row r="86" spans="1:11">
      <c r="A86" t="s">
        <v>195</v>
      </c>
      <c r="B86" s="17">
        <v>2269255</v>
      </c>
      <c r="C86" s="274">
        <v>1735608</v>
      </c>
      <c r="D86" s="275">
        <v>24289.314858522001</v>
      </c>
      <c r="E86" s="17">
        <f t="shared" si="20"/>
        <v>4029152.3148585218</v>
      </c>
      <c r="F86" s="41"/>
      <c r="G86" s="17">
        <f t="shared" si="21"/>
        <v>1747982.1556972899</v>
      </c>
      <c r="H86" s="251">
        <v>548840</v>
      </c>
      <c r="I86" s="274">
        <v>138228.159161232</v>
      </c>
      <c r="J86" s="17">
        <f t="shared" si="22"/>
        <v>1886210.3148585218</v>
      </c>
      <c r="K86" s="251">
        <v>2142942</v>
      </c>
    </row>
    <row r="87" spans="1:11">
      <c r="A87" t="s">
        <v>196</v>
      </c>
      <c r="B87" s="17">
        <v>2142942</v>
      </c>
      <c r="C87" s="274">
        <v>1801376</v>
      </c>
      <c r="D87" s="275">
        <v>22461.222454523999</v>
      </c>
      <c r="E87" s="17">
        <f t="shared" si="20"/>
        <v>3966779.2224545241</v>
      </c>
      <c r="F87" s="41"/>
      <c r="G87" s="17">
        <f t="shared" si="21"/>
        <v>1766765.817894862</v>
      </c>
      <c r="H87" s="251">
        <v>606150</v>
      </c>
      <c r="I87" s="274">
        <v>199426.40455966201</v>
      </c>
      <c r="J87" s="17">
        <f t="shared" si="22"/>
        <v>1966192.2224545241</v>
      </c>
      <c r="K87" s="251">
        <v>2000587</v>
      </c>
    </row>
    <row r="88" spans="1:11">
      <c r="A88" t="s">
        <v>206</v>
      </c>
      <c r="B88" s="17">
        <v>2000587</v>
      </c>
      <c r="C88" s="274">
        <v>1762207</v>
      </c>
      <c r="D88" s="275">
        <v>19349.645419188</v>
      </c>
      <c r="E88" s="17">
        <f t="shared" si="20"/>
        <v>3782143.6454191878</v>
      </c>
      <c r="F88" s="41"/>
      <c r="G88" s="17">
        <f t="shared" si="21"/>
        <v>1808687.6725403718</v>
      </c>
      <c r="H88" s="251">
        <v>608170</v>
      </c>
      <c r="I88" s="274">
        <v>163114.97287881601</v>
      </c>
      <c r="J88" s="17">
        <f t="shared" si="22"/>
        <v>1971802.6454191878</v>
      </c>
      <c r="K88" s="251">
        <v>1810341</v>
      </c>
    </row>
    <row r="89" spans="1:11">
      <c r="A89" t="s">
        <v>187</v>
      </c>
      <c r="B89" s="17">
        <v>1810341</v>
      </c>
      <c r="C89" s="274">
        <v>1701762</v>
      </c>
      <c r="D89" s="275">
        <v>18001.505838456</v>
      </c>
      <c r="E89" s="17">
        <f t="shared" si="20"/>
        <v>3530104.5058384561</v>
      </c>
      <c r="F89" s="41"/>
      <c r="G89" s="17">
        <f t="shared" si="21"/>
        <v>1688993.1966507181</v>
      </c>
      <c r="H89" s="251">
        <v>603910</v>
      </c>
      <c r="I89" s="274">
        <v>130157.30918773802</v>
      </c>
      <c r="J89" s="17">
        <f t="shared" si="22"/>
        <v>1819150.5058384561</v>
      </c>
      <c r="K89" s="251">
        <v>1710954</v>
      </c>
    </row>
    <row r="90" spans="1:11">
      <c r="A90" s="1" t="s">
        <v>410</v>
      </c>
      <c r="B90" s="1"/>
      <c r="C90" s="18">
        <f>SUM(C78:C89)</f>
        <v>22123409</v>
      </c>
      <c r="D90" s="262">
        <f>SUM(D78:D89)</f>
        <v>318704.38698961801</v>
      </c>
      <c r="E90" s="18">
        <f>B78+C90+D90</f>
        <v>24128926.38698962</v>
      </c>
      <c r="F90" s="40"/>
      <c r="G90" s="18">
        <f>SUM(G78:G89)</f>
        <v>19861663.646747142</v>
      </c>
      <c r="H90" s="18">
        <f>SUM(H78:H89)</f>
        <v>6200300</v>
      </c>
      <c r="I90" s="18">
        <f>SUM(I78:I89)</f>
        <v>2556308.7402424742</v>
      </c>
      <c r="J90" s="18">
        <f>SUM(J78:J89)</f>
        <v>22417972.38698962</v>
      </c>
      <c r="K90" s="18"/>
    </row>
    <row r="91" spans="1:11" ht="13.25" customHeight="1">
      <c r="A91" t="s">
        <v>581</v>
      </c>
      <c r="G91" s="17"/>
      <c r="H91" s="17"/>
      <c r="I91" s="17"/>
    </row>
    <row r="92" spans="1:11">
      <c r="A92" t="s">
        <v>601</v>
      </c>
      <c r="G92" s="17"/>
      <c r="H92" s="17"/>
      <c r="I92" s="17"/>
    </row>
    <row r="93" spans="1:11" ht="10.25" customHeight="1">
      <c r="A93" t="s">
        <v>603</v>
      </c>
      <c r="G93" s="17"/>
      <c r="H93" s="17"/>
      <c r="I93" s="17"/>
      <c r="K93" s="305" t="s">
        <v>679</v>
      </c>
    </row>
    <row r="94" spans="1:11">
      <c r="G94" s="17"/>
      <c r="H94" s="17"/>
      <c r="I94" s="17"/>
    </row>
    <row r="95" spans="1:11">
      <c r="G95" s="17"/>
      <c r="H95" s="17"/>
      <c r="I95" s="17"/>
    </row>
    <row r="96" spans="1:11">
      <c r="G96" s="17"/>
      <c r="H96" s="17"/>
      <c r="I96" s="17"/>
    </row>
    <row r="97" spans="7:9">
      <c r="G97" s="17"/>
      <c r="H97" s="17"/>
      <c r="I97" s="17"/>
    </row>
    <row r="98" spans="7:9">
      <c r="G98" s="17"/>
      <c r="H98" s="17"/>
      <c r="I98" s="17"/>
    </row>
    <row r="99" spans="7:9">
      <c r="G99" s="17"/>
      <c r="H99" s="17"/>
      <c r="I99" s="17"/>
    </row>
    <row r="100" spans="7:9">
      <c r="G100" s="17"/>
      <c r="H100" s="17"/>
      <c r="I100" s="17"/>
    </row>
    <row r="101" spans="7:9">
      <c r="G101" s="17"/>
      <c r="H101" s="17"/>
      <c r="I101" s="17"/>
    </row>
    <row r="102" spans="7:9">
      <c r="G102" s="17"/>
      <c r="H102" s="17"/>
      <c r="I102" s="17"/>
    </row>
    <row r="103" spans="7:9">
      <c r="G103" s="17"/>
      <c r="H103" s="17"/>
      <c r="I103" s="17"/>
    </row>
    <row r="104" spans="7:9">
      <c r="G104" s="17"/>
      <c r="H104" s="17"/>
      <c r="I104" s="17"/>
    </row>
  </sheetData>
  <phoneticPr fontId="0" type="noConversion"/>
  <pageMargins left="0.7" right="0.7" top="0.75" bottom="0.75" header="0.3" footer="0.3"/>
  <pageSetup scale="70" firstPageNumber="35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50</vt:i4>
      </vt:variant>
    </vt:vector>
  </HeadingPairs>
  <TitlesOfParts>
    <vt:vector size="104" baseType="lpstr">
      <vt:lpstr>Contents</vt:lpstr>
      <vt:lpstr>tab01</vt:lpstr>
      <vt:lpstr>tab02</vt:lpstr>
      <vt:lpstr>tab3</vt:lpstr>
      <vt:lpstr>tab4</vt:lpstr>
      <vt:lpstr>tab5</vt:lpstr>
      <vt:lpstr>tab6</vt:lpstr>
      <vt:lpstr>tab7</vt:lpstr>
      <vt:lpstr>tab8</vt:lpstr>
      <vt:lpstr>tab 9</vt:lpstr>
      <vt:lpstr>tab 10</vt:lpstr>
      <vt:lpstr>tab 11</vt:lpstr>
      <vt:lpstr>tab 12</vt:lpstr>
      <vt:lpstr>tab 13</vt:lpstr>
      <vt:lpstr>tab 14</vt:lpstr>
      <vt:lpstr>tab 15</vt:lpstr>
      <vt:lpstr>tab 16</vt:lpstr>
      <vt:lpstr>tab 17</vt:lpstr>
      <vt:lpstr>tab 18</vt:lpstr>
      <vt:lpstr>tab 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tab33(1)</vt:lpstr>
      <vt:lpstr>tab33(2)</vt:lpstr>
      <vt:lpstr>tab33(3)</vt:lpstr>
      <vt:lpstr>tab33(4)</vt:lpstr>
      <vt:lpstr>tab33(5)</vt:lpstr>
      <vt:lpstr>tab33(6)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tab44</vt:lpstr>
      <vt:lpstr>tab45</vt:lpstr>
      <vt:lpstr>tab46</vt:lpstr>
      <vt:lpstr>tab47</vt:lpstr>
      <vt:lpstr>tab48</vt:lpstr>
      <vt:lpstr>'tab 10'!Print_Area</vt:lpstr>
      <vt:lpstr>'tab 11'!Print_Area</vt:lpstr>
      <vt:lpstr>'tab 12'!Print_Area</vt:lpstr>
      <vt:lpstr>'tab 13'!Print_Area</vt:lpstr>
      <vt:lpstr>'tab 14'!Print_Area</vt:lpstr>
      <vt:lpstr>'tab 15'!Print_Area</vt:lpstr>
      <vt:lpstr>'tab 16'!Print_Area</vt:lpstr>
      <vt:lpstr>'tab 17'!Print_Area</vt:lpstr>
      <vt:lpstr>'tab 18'!Print_Area</vt:lpstr>
      <vt:lpstr>'tab 19'!Print_Area</vt:lpstr>
      <vt:lpstr>'tab 9'!Print_Area</vt:lpstr>
      <vt:lpstr>'tab01'!Print_Area</vt:lpstr>
      <vt:lpstr>'tab02'!Print_Area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'tab33(1)'!Print_Area</vt:lpstr>
      <vt:lpstr>'tab33(3)'!Print_Area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'tab40'!Print_Area</vt:lpstr>
      <vt:lpstr>'tab41'!Print_Area</vt:lpstr>
      <vt:lpstr>'tab42'!Print_Area</vt:lpstr>
      <vt:lpstr>'tab43'!Print_Area</vt:lpstr>
      <vt:lpstr>'tab44'!Print_Area</vt:lpstr>
      <vt:lpstr>'tab45'!Print_Area</vt:lpstr>
      <vt:lpstr>'tab46'!Print_Area</vt:lpstr>
      <vt:lpstr>'tab47'!Print_Area</vt:lpstr>
      <vt:lpstr>'tab48'!Print_Area</vt:lpstr>
      <vt:lpstr>'tab5'!Print_Area</vt:lpstr>
      <vt:lpstr>'tab6'!Print_Area</vt:lpstr>
      <vt:lpstr>'tab7'!Print_Area</vt:lpstr>
      <vt:lpstr>'tab8'!Print_Area</vt:lpstr>
      <vt:lpstr>'tab6'!Print_Titles</vt:lpstr>
    </vt:vector>
  </TitlesOfParts>
  <Company>USDA-Economic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yearbook tables</dc:title>
  <dc:subject>Agricultural economics</dc:subject>
  <dc:creator>Mark Ash;Mariana Matias</dc:creator>
  <cp:keywords>soybeans, soybean meal, soybean oil, cottonseed, sunflowerseed, canola, peanuts, flaxseed, acreage, yield, production, imports, exports, disappearance, stocks, price</cp:keywords>
  <dc:description>Table contains data for the most recent available years.</dc:description>
  <cp:lastModifiedBy>Mikaela Algren</cp:lastModifiedBy>
  <cp:lastPrinted>2018-03-29T15:16:10Z</cp:lastPrinted>
  <dcterms:created xsi:type="dcterms:W3CDTF">2000-06-13T19:07:52Z</dcterms:created>
  <dcterms:modified xsi:type="dcterms:W3CDTF">2021-10-21T22:42:02Z</dcterms:modified>
</cp:coreProperties>
</file>