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3.xml" ContentType="application/vnd.openxmlformats-officedocument.spreadsheetml.worksheet+xml"/>
  <Override PartName="/xl/charts/colors1.xml" ContentType="application/vnd.ms-office.chartcolorstyle+xml"/>
  <Override PartName="/xl/charts/style1.xml" ContentType="application/vnd.ms-office.chart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Mines/N_P/NANI_NAPI/CSNAPNIv1/RawData/"/>
    </mc:Choice>
  </mc:AlternateContent>
  <xr:revisionPtr revIDLastSave="0" documentId="13_ncr:1_{5AD96DE7-6989-EE45-A1D6-C10040186C84}" xr6:coauthVersionLast="46" xr6:coauthVersionMax="46" xr10:uidLastSave="{00000000-0000-0000-0000-000000000000}"/>
  <bookViews>
    <workbookView xWindow="-13280" yWindow="-23760" windowWidth="26840" windowHeight="15940" xr2:uid="{B337FA75-AAC9-E84C-8A12-4A38C0F69304}"/>
  </bookViews>
  <sheets>
    <sheet name="Sheet1" sheetId="1" r:id="rId1"/>
    <sheet name="Sheet3" sheetId="3" r:id="rId2"/>
    <sheet name="Sheet2" sheetId="2" r:id="rId3"/>
    <sheet name="USDA fertilizer convers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I24" i="1"/>
  <c r="J24" i="1" l="1"/>
  <c r="B14" i="1" l="1"/>
  <c r="B4" i="1" l="1"/>
  <c r="B19" i="1" s="1"/>
  <c r="C4" i="1"/>
  <c r="C19" i="1" s="1"/>
  <c r="D4" i="1"/>
  <c r="D19" i="1" s="1"/>
  <c r="C3" i="1"/>
  <c r="C18" i="1" s="1"/>
  <c r="D3" i="1"/>
  <c r="D18" i="1" s="1"/>
  <c r="E3" i="1"/>
  <c r="E18" i="1" s="1"/>
  <c r="N8" i="1"/>
  <c r="F4" i="1" s="1"/>
  <c r="F19" i="1" s="1"/>
  <c r="M8" i="1"/>
  <c r="E4" i="1" s="1"/>
  <c r="E19" i="1" s="1"/>
  <c r="L8" i="1"/>
  <c r="K8" i="1"/>
  <c r="C5" i="1" s="1"/>
  <c r="J8" i="1"/>
  <c r="B5" i="1" s="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B7" i="2"/>
  <c r="B6" i="2"/>
  <c r="C6" i="2"/>
  <c r="D6" i="2"/>
  <c r="E6" i="2"/>
  <c r="F6" i="2"/>
  <c r="G6" i="2"/>
  <c r="H6" i="2"/>
  <c r="I6" i="2"/>
  <c r="J6" i="2"/>
  <c r="K6" i="2"/>
  <c r="L6" i="2"/>
  <c r="M6" i="2"/>
  <c r="R6" i="2"/>
  <c r="Q6" i="2"/>
  <c r="P6" i="2"/>
  <c r="O6" i="2"/>
  <c r="N6" i="2"/>
  <c r="B20" i="1" l="1"/>
  <c r="B21" i="1" s="1"/>
  <c r="F5" i="1"/>
  <c r="F20" i="1" s="1"/>
  <c r="F21" i="1" s="1"/>
  <c r="F3" i="1"/>
  <c r="F18" i="1" s="1"/>
  <c r="E5" i="1"/>
  <c r="E20" i="1" s="1"/>
  <c r="E21" i="1" s="1"/>
  <c r="B3" i="1"/>
  <c r="B18" i="1" s="1"/>
  <c r="E24" i="1" s="1"/>
  <c r="C14" i="1"/>
  <c r="C20" i="1" s="1"/>
  <c r="C21" i="1" s="1"/>
  <c r="D14" i="1"/>
  <c r="D20" i="1" s="1"/>
  <c r="D21" i="1" s="1"/>
  <c r="B7" i="1" l="1"/>
  <c r="B11" i="1" s="1"/>
  <c r="B15" i="1" s="1"/>
  <c r="E7" i="1"/>
  <c r="D7" i="1"/>
  <c r="C7" i="1"/>
  <c r="F7" i="1"/>
  <c r="F11" i="1" l="1"/>
  <c r="F15" i="1" s="1"/>
  <c r="C11" i="1"/>
  <c r="C15" i="1" s="1"/>
  <c r="D11" i="1"/>
  <c r="D15" i="1" s="1"/>
  <c r="E15" i="1"/>
</calcChain>
</file>

<file path=xl/sharedStrings.xml><?xml version="1.0" encoding="utf-8"?>
<sst xmlns="http://schemas.openxmlformats.org/spreadsheetml/2006/main" count="90" uniqueCount="79">
  <si>
    <t>US P mining</t>
  </si>
  <si>
    <t>US P imports</t>
  </si>
  <si>
    <t>data from USGS phosphate rock mineral commodity summaries</t>
  </si>
  <si>
    <t>prop for phosphoric acid</t>
  </si>
  <si>
    <t>imported P rock quality</t>
  </si>
  <si>
    <t>US P exports</t>
  </si>
  <si>
    <t>tons phosphogypsum</t>
  </si>
  <si>
    <t>ton of phosphoric acid</t>
  </si>
  <si>
    <t>P/phosphoric acid</t>
  </si>
  <si>
    <t>P2O5/phosphogypsum</t>
  </si>
  <si>
    <t>(https://www.sciencedirect.com/topics/engineering/phosphogypsum)</t>
  </si>
  <si>
    <t>P/P2O5</t>
  </si>
  <si>
    <t>used in fert and feed supp prod (P)</t>
  </si>
  <si>
    <t>wasted (P)</t>
  </si>
  <si>
    <t>"industry estimate" from USEPA</t>
  </si>
  <si>
    <t>Source</t>
  </si>
  <si>
    <t>kg P/kg US P rock</t>
  </si>
  <si>
    <t>US P rock quality calcs</t>
  </si>
  <si>
    <t>Gross weight marketable P rock production (1000 metric tons)</t>
  </si>
  <si>
    <t>P205 content (1000 metric tons)</t>
  </si>
  <si>
    <t>P2O5/P rock</t>
  </si>
  <si>
    <t>P/P Rock</t>
  </si>
  <si>
    <t>chemistry</t>
  </si>
  <si>
    <t>ERS import/export data</t>
  </si>
  <si>
    <t>USGS Phosphate Rock Minerals Yearbook</t>
  </si>
  <si>
    <t>USGS Phosphate Rock Mineral Commodity Summary</t>
  </si>
  <si>
    <t>US mined P for agriculture</t>
  </si>
  <si>
    <t>Imported P for agriculture</t>
  </si>
  <si>
    <t>Exported P for agriculture</t>
  </si>
  <si>
    <t>Export P - Import P</t>
  </si>
  <si>
    <t>fattened cattle</t>
  </si>
  <si>
    <t>milk cows</t>
  </si>
  <si>
    <t>hogs for breeding</t>
  </si>
  <si>
    <t>hogs for slaughter</t>
  </si>
  <si>
    <t>chicken layers</t>
  </si>
  <si>
    <t>breeding turkeys</t>
  </si>
  <si>
    <t>chicken pullets</t>
  </si>
  <si>
    <t>chicken broilers</t>
  </si>
  <si>
    <t>slaughter turkeys</t>
  </si>
  <si>
    <t>beef breeding herd</t>
  </si>
  <si>
    <t>beef calves</t>
  </si>
  <si>
    <t>dairy calves</t>
  </si>
  <si>
    <t>beef heifers</t>
  </si>
  <si>
    <t>dairy heifers</t>
  </si>
  <si>
    <t>beef stockers</t>
  </si>
  <si>
    <t>dairy stockers</t>
  </si>
  <si>
    <t>sheep</t>
  </si>
  <si>
    <t>horses</t>
  </si>
  <si>
    <t>goats</t>
  </si>
  <si>
    <t>max blood meal inclusion</t>
  </si>
  <si>
    <t>cattle</t>
  </si>
  <si>
    <t>dm</t>
  </si>
  <si>
    <t>pigs</t>
  </si>
  <si>
    <t>3-9%</t>
  </si>
  <si>
    <t>broilers</t>
  </si>
  <si>
    <t>layers</t>
  </si>
  <si>
    <t>https://en.engormix.com/poultry-industry/articles/blood-meal-cost-saving-t36279.htm</t>
  </si>
  <si>
    <t>phosphoric acid import (PAI)</t>
  </si>
  <si>
    <t>phosphoric acid export (PAE)</t>
  </si>
  <si>
    <t>Calculated: PAPW = PAP * 0.06</t>
  </si>
  <si>
    <t>US phosphate rock mining (PRM)</t>
  </si>
  <si>
    <t>phosphoric acid production (PAP)</t>
  </si>
  <si>
    <t>PAP waste (PAPW)</t>
  </si>
  <si>
    <t>US phosphate rock imports (PRI)</t>
  </si>
  <si>
    <t>US phosphate rock exports (PRE)</t>
  </si>
  <si>
    <t>proportion of phosphate rock for phosphoric acid (propPAP)</t>
  </si>
  <si>
    <t>proportion of phosphorus wasted in PAP</t>
  </si>
  <si>
    <t>https://www.epa.gov/radiation/tenorm-fertilizer-and-fertilizer-production-wastes</t>
  </si>
  <si>
    <t>US P fertilizer imports (PFI)</t>
  </si>
  <si>
    <t>US P fertilizer use (PFU)</t>
  </si>
  <si>
    <t>US P fertilizer exports (PFE)</t>
  </si>
  <si>
    <t>Calculated: PAP = [PRM + PRI - PRE] * propPAP</t>
  </si>
  <si>
    <t>Calculated: PSA = PAP - PAPW + PAI - PAE + PFI - PFE - PFU</t>
  </si>
  <si>
    <t>10^9 kg P</t>
  </si>
  <si>
    <t>US P supplement availability (PSA)</t>
  </si>
  <si>
    <t>USDA Fertilizer Use and Price tables (1997-2012), CSNAPNI estimation (2017)</t>
  </si>
  <si>
    <t>1000 short tons P</t>
  </si>
  <si>
    <t>kg/short ton</t>
  </si>
  <si>
    <t>From Table 1, US consumption of plant nutrients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</si>
</sst>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indexed="8"/>
      <name val="Times"/>
      <family val="1"/>
    </font>
    <font>
      <vertAlign val="superscript"/>
      <sz val="8"/>
      <color indexed="8"/>
      <name val="Times"/>
      <family val="1"/>
    </font>
    <font>
      <vertAlign val="superscript"/>
      <sz val="8"/>
      <name val="Times New Roman"/>
      <family val="1"/>
    </font>
    <font>
      <sz val="10"/>
      <name val="Arial"/>
      <family val="2"/>
    </font>
    <font>
      <sz val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.5"/>
      <color theme="1"/>
      <name val="Times Roman"/>
    </font>
    <font>
      <u/>
      <sz val="10.5"/>
      <color theme="10"/>
      <name val="Times Roman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vertical="top" wrapText="1"/>
    </xf>
    <xf numFmtId="3" fontId="2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vertical="center"/>
    </xf>
    <xf numFmtId="3" fontId="0" fillId="0" borderId="2" xfId="0" applyNumberFormat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3" fontId="0" fillId="0" borderId="3" xfId="0" applyNumberFormat="1" applyBorder="1" applyAlignment="1">
      <alignment horizontal="right" vertical="center"/>
    </xf>
    <xf numFmtId="0" fontId="4" fillId="0" borderId="3" xfId="0" applyFont="1" applyBorder="1" applyAlignment="1">
      <alignment horizontal="left" vertical="center"/>
    </xf>
    <xf numFmtId="3" fontId="0" fillId="0" borderId="0" xfId="0" applyNumberFormat="1"/>
    <xf numFmtId="0" fontId="6" fillId="2" borderId="0" xfId="1" applyFont="1" applyFill="1"/>
    <xf numFmtId="0" fontId="6" fillId="3" borderId="0" xfId="1" applyFont="1" applyFill="1"/>
    <xf numFmtId="0" fontId="6" fillId="4" borderId="0" xfId="1" applyFont="1" applyFill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0" fontId="8" fillId="0" borderId="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8" fillId="0" borderId="7" xfId="0" applyFont="1" applyBorder="1" applyAlignment="1">
      <alignment wrapText="1"/>
    </xf>
    <xf numFmtId="1" fontId="8" fillId="0" borderId="8" xfId="0" applyNumberFormat="1" applyFont="1" applyBorder="1"/>
    <xf numFmtId="1" fontId="8" fillId="0" borderId="6" xfId="0" applyNumberFormat="1" applyFont="1" applyBorder="1"/>
    <xf numFmtId="1" fontId="8" fillId="0" borderId="7" xfId="0" applyNumberFormat="1" applyFont="1" applyBorder="1"/>
    <xf numFmtId="0" fontId="8" fillId="0" borderId="6" xfId="0" applyFont="1" applyBorder="1" applyAlignment="1">
      <alignment wrapText="1"/>
    </xf>
    <xf numFmtId="2" fontId="8" fillId="0" borderId="5" xfId="0" applyNumberFormat="1" applyFont="1" applyBorder="1"/>
    <xf numFmtId="2" fontId="8" fillId="0" borderId="0" xfId="0" applyNumberFormat="1" applyFont="1" applyBorder="1"/>
    <xf numFmtId="2" fontId="8" fillId="0" borderId="4" xfId="0" applyNumberFormat="1" applyFont="1" applyBorder="1"/>
    <xf numFmtId="0" fontId="8" fillId="0" borderId="0" xfId="0" applyFont="1" applyAlignment="1">
      <alignment wrapText="1"/>
    </xf>
    <xf numFmtId="0" fontId="9" fillId="0" borderId="0" xfId="2" applyFont="1" applyAlignment="1">
      <alignment wrapText="1"/>
    </xf>
    <xf numFmtId="164" fontId="8" fillId="0" borderId="0" xfId="0" applyNumberFormat="1" applyFont="1" applyBorder="1"/>
    <xf numFmtId="164" fontId="8" fillId="0" borderId="4" xfId="0" applyNumberFormat="1" applyFont="1" applyBorder="1"/>
    <xf numFmtId="0" fontId="8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</cellXfs>
  <cellStyles count="3">
    <cellStyle name="Hyperlink" xfId="2" builtinId="8"/>
    <cellStyle name="Normal" xfId="0" builtinId="0"/>
    <cellStyle name="Normal 2" xfId="1" xr:uid="{8A3210BB-A37E-7B48-8A97-C8908B0F8B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US mined P for agriculture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Sheet1!$B$17:$F$17</c:f>
              <c:numCache>
                <c:formatCode>General</c:formatCode>
                <c:ptCount val="5"/>
                <c:pt idx="0">
                  <c:v>1997</c:v>
                </c:pt>
                <c:pt idx="1">
                  <c:v>2002</c:v>
                </c:pt>
                <c:pt idx="2">
                  <c:v>2007</c:v>
                </c:pt>
                <c:pt idx="3">
                  <c:v>2012</c:v>
                </c:pt>
                <c:pt idx="4">
                  <c:v>2017</c:v>
                </c:pt>
              </c:numCache>
            </c:numRef>
          </c:cat>
          <c:val>
            <c:numRef>
              <c:f>Sheet1!$B$18:$F$18</c:f>
              <c:numCache>
                <c:formatCode>General</c:formatCode>
                <c:ptCount val="5"/>
                <c:pt idx="0">
                  <c:v>5.4151399538106233</c:v>
                </c:pt>
                <c:pt idx="1">
                  <c:v>4.3709499999999997</c:v>
                </c:pt>
                <c:pt idx="2">
                  <c:v>3.4640799999999996</c:v>
                </c:pt>
                <c:pt idx="3">
                  <c:v>3.5090149999999993</c:v>
                </c:pt>
                <c:pt idx="4">
                  <c:v>3.1454499999999994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2-CD45-97AF-09B7B33E1FB3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Imported P for agriculture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Sheet1!$B$17:$F$17</c:f>
              <c:numCache>
                <c:formatCode>General</c:formatCode>
                <c:ptCount val="5"/>
                <c:pt idx="0">
                  <c:v>1997</c:v>
                </c:pt>
                <c:pt idx="1">
                  <c:v>2002</c:v>
                </c:pt>
                <c:pt idx="2">
                  <c:v>2007</c:v>
                </c:pt>
                <c:pt idx="3">
                  <c:v>2012</c:v>
                </c:pt>
                <c:pt idx="4">
                  <c:v>2017</c:v>
                </c:pt>
              </c:numCache>
            </c:numRef>
          </c:cat>
          <c:val>
            <c:numRef>
              <c:f>Sheet1!$B$19:$F$19</c:f>
              <c:numCache>
                <c:formatCode>General</c:formatCode>
                <c:ptCount val="5"/>
                <c:pt idx="0">
                  <c:v>0.23589773672055425</c:v>
                </c:pt>
                <c:pt idx="1">
                  <c:v>0.36791315789473683</c:v>
                </c:pt>
                <c:pt idx="2">
                  <c:v>0.4644172929292929</c:v>
                </c:pt>
                <c:pt idx="3">
                  <c:v>0.58918549999999992</c:v>
                </c:pt>
                <c:pt idx="4">
                  <c:v>0.6611051612903226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2-CD45-97AF-09B7B33E1FB3}"/>
            </c:ext>
          </c:extLst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Exported P for agriculture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Sheet1!$B$17:$F$17</c:f>
              <c:numCache>
                <c:formatCode>General</c:formatCode>
                <c:ptCount val="5"/>
                <c:pt idx="0">
                  <c:v>1997</c:v>
                </c:pt>
                <c:pt idx="1">
                  <c:v>2002</c:v>
                </c:pt>
                <c:pt idx="2">
                  <c:v>2007</c:v>
                </c:pt>
                <c:pt idx="3">
                  <c:v>2012</c:v>
                </c:pt>
                <c:pt idx="4">
                  <c:v>2017</c:v>
                </c:pt>
              </c:numCache>
            </c:numRef>
          </c:cat>
          <c:val>
            <c:numRef>
              <c:f>Sheet1!$B$20:$F$20</c:f>
              <c:numCache>
                <c:formatCode>General</c:formatCode>
                <c:ptCount val="5"/>
                <c:pt idx="0">
                  <c:v>2.6355222632794453</c:v>
                </c:pt>
                <c:pt idx="1">
                  <c:v>2.2917220789473687</c:v>
                </c:pt>
                <c:pt idx="2">
                  <c:v>1.6439999999999999</c:v>
                </c:pt>
                <c:pt idx="3">
                  <c:v>1.496</c:v>
                </c:pt>
                <c:pt idx="4">
                  <c:v>0.98099999999999998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2-CD45-97AF-09B7B33E1FB3}"/>
            </c:ext>
          </c:extLst>
        </c:ser>
        <c:ser>
          <c:idx val="3"/>
          <c:order val="3"/>
          <c:tx>
            <c:strRef>
              <c:f>Sheet1!$A$21</c:f>
              <c:strCache>
                <c:ptCount val="1"/>
                <c:pt idx="0">
                  <c:v>Export P - Import 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Sheet1!$B$17:$F$17</c:f>
              <c:numCache>
                <c:formatCode>General</c:formatCode>
                <c:ptCount val="5"/>
                <c:pt idx="0">
                  <c:v>1997</c:v>
                </c:pt>
                <c:pt idx="1">
                  <c:v>2002</c:v>
                </c:pt>
                <c:pt idx="2">
                  <c:v>2007</c:v>
                </c:pt>
                <c:pt idx="3">
                  <c:v>2012</c:v>
                </c:pt>
                <c:pt idx="4">
                  <c:v>2017</c:v>
                </c:pt>
              </c:numCache>
            </c:numRef>
          </c:cat>
          <c:val>
            <c:numRef>
              <c:f>Sheet1!$B$21:$F$21</c:f>
              <c:numCache>
                <c:formatCode>General</c:formatCode>
                <c:ptCount val="5"/>
                <c:pt idx="0">
                  <c:v>2.3996245265588909</c:v>
                </c:pt>
                <c:pt idx="1">
                  <c:v>1.9238089210526319</c:v>
                </c:pt>
                <c:pt idx="2">
                  <c:v>1.179582707070707</c:v>
                </c:pt>
                <c:pt idx="3">
                  <c:v>0.90681450000000008</c:v>
                </c:pt>
                <c:pt idx="4">
                  <c:v>0.31989483870967739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A2-CD45-97AF-09B7B33E1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313775"/>
        <c:axId val="2123290095"/>
      </c:lineChart>
      <c:catAx>
        <c:axId val="212331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90095"/>
        <c:crosses val="autoZero"/>
        <c:auto val="1"/>
        <c:lblAlgn val="ctr"/>
        <c:lblOffset val="100"/>
        <c:noMultiLvlLbl val="0"/>
      </c:catAx>
      <c:valAx>
        <c:axId val="212329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</a:t>
                </a:r>
                <a:r>
                  <a:rPr lang="en-US" baseline="0"/>
                  <a:t> kg 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31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25</xdr:row>
      <xdr:rowOff>114300</xdr:rowOff>
    </xdr:from>
    <xdr:to>
      <xdr:col>2</xdr:col>
      <xdr:colOff>622300</xdr:colOff>
      <xdr:row>39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0C1E3-A109-1E44-B4EA-2400121A3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epa.gov/radiation/tenorm-fertilizer-and-fertilizer-production-was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36BB-28DA-684F-88B0-E0BF70014692}">
  <dimension ref="A1:R24"/>
  <sheetViews>
    <sheetView tabSelected="1" workbookViewId="0">
      <selection activeCell="B15" sqref="B15:F15"/>
    </sheetView>
  </sheetViews>
  <sheetFormatPr baseColWidth="10" defaultRowHeight="16"/>
  <cols>
    <col min="1" max="1" width="33.6640625" customWidth="1"/>
    <col min="2" max="2" width="7.5" customWidth="1"/>
    <col min="3" max="4" width="7" customWidth="1"/>
    <col min="5" max="5" width="6.83203125" customWidth="1"/>
    <col min="6" max="6" width="7.1640625" customWidth="1"/>
    <col min="7" max="7" width="30.5" style="15" customWidth="1"/>
    <col min="8" max="8" width="19.83203125" customWidth="1"/>
    <col min="9" max="9" width="30.83203125" customWidth="1"/>
    <col min="11" max="11" width="14.1640625" customWidth="1"/>
    <col min="15" max="15" width="5.5" customWidth="1"/>
    <col min="16" max="16" width="22.1640625" customWidth="1"/>
    <col min="18" max="18" width="21.5" bestFit="1" customWidth="1"/>
  </cols>
  <sheetData>
    <row r="1" spans="1:18">
      <c r="A1" s="16"/>
      <c r="B1" s="30" t="s">
        <v>73</v>
      </c>
      <c r="C1" s="31"/>
      <c r="D1" s="31"/>
      <c r="E1" s="31"/>
      <c r="F1" s="32"/>
      <c r="G1" s="17"/>
      <c r="I1" t="s">
        <v>2</v>
      </c>
    </row>
    <row r="2" spans="1:18">
      <c r="A2" s="18"/>
      <c r="B2" s="19">
        <v>1997</v>
      </c>
      <c r="C2" s="20">
        <v>2002</v>
      </c>
      <c r="D2" s="20">
        <v>2007</v>
      </c>
      <c r="E2" s="20">
        <v>2012</v>
      </c>
      <c r="F2" s="21">
        <v>2017</v>
      </c>
      <c r="G2" s="22" t="s">
        <v>15</v>
      </c>
      <c r="J2">
        <v>1997</v>
      </c>
      <c r="K2">
        <v>2002</v>
      </c>
      <c r="L2">
        <v>2007</v>
      </c>
      <c r="M2">
        <v>2012</v>
      </c>
      <c r="N2">
        <v>2017</v>
      </c>
    </row>
    <row r="3" spans="1:18" ht="32">
      <c r="A3" s="16" t="s">
        <v>60</v>
      </c>
      <c r="B3" s="23">
        <f>J3*10^6*J8/10^9</f>
        <v>6.0168221709006922</v>
      </c>
      <c r="C3" s="24">
        <f>K3*10^6*K8/10^9</f>
        <v>4.601</v>
      </c>
      <c r="D3" s="24">
        <f>L3*10^6*L8/10^9</f>
        <v>3.6463999999999999</v>
      </c>
      <c r="E3" s="24">
        <f>M3*10^6*M8/10^9</f>
        <v>3.6936999999999993</v>
      </c>
      <c r="F3" s="25">
        <f>N3*10^6*N8/10^9</f>
        <v>3.3109999999999995</v>
      </c>
      <c r="G3" s="26" t="s">
        <v>24</v>
      </c>
      <c r="I3" t="s">
        <v>0</v>
      </c>
      <c r="J3">
        <v>45900</v>
      </c>
      <c r="K3">
        <v>36100</v>
      </c>
      <c r="L3">
        <v>29700</v>
      </c>
      <c r="M3">
        <v>30100</v>
      </c>
      <c r="N3">
        <v>27900</v>
      </c>
    </row>
    <row r="4" spans="1:18" ht="32">
      <c r="A4" s="16" t="s">
        <v>63</v>
      </c>
      <c r="B4" s="23">
        <f>J4*10^6*J8/10^9</f>
        <v>0.23988637413394917</v>
      </c>
      <c r="C4" s="24">
        <f>K4*10^6*K8/10^9</f>
        <v>0.34411911357340724</v>
      </c>
      <c r="D4" s="24">
        <f>L4*10^6*L8/10^9</f>
        <v>0.32780767676767675</v>
      </c>
      <c r="E4" s="24">
        <f>M4*10^6*M8/10^9</f>
        <v>0.43808999999999998</v>
      </c>
      <c r="F4" s="25">
        <f>N4*10^6*N8/10^9</f>
        <v>0.29905806451612904</v>
      </c>
      <c r="G4" s="26" t="s">
        <v>24</v>
      </c>
      <c r="I4" t="s">
        <v>1</v>
      </c>
      <c r="J4">
        <v>1830</v>
      </c>
      <c r="K4">
        <v>2700</v>
      </c>
      <c r="L4">
        <v>2670</v>
      </c>
      <c r="M4">
        <v>3570</v>
      </c>
      <c r="N4">
        <v>2520</v>
      </c>
      <c r="P4" t="s">
        <v>4</v>
      </c>
      <c r="Q4">
        <v>0.13</v>
      </c>
      <c r="R4" t="s">
        <v>23</v>
      </c>
    </row>
    <row r="5" spans="1:18" ht="32">
      <c r="A5" s="16" t="s">
        <v>64</v>
      </c>
      <c r="B5" s="23">
        <f>J5*10^6*J8/10^9</f>
        <v>4.3913625866050805E-2</v>
      </c>
      <c r="C5" s="24">
        <f>K5*10^6*K8/10^9</f>
        <v>4.9706094182825492E-3</v>
      </c>
      <c r="D5" s="24">
        <v>0</v>
      </c>
      <c r="E5" s="24">
        <f>M5*10^6*M8/10^9</f>
        <v>0</v>
      </c>
      <c r="F5" s="25">
        <f>N5*10^6*N8/10^9</f>
        <v>0</v>
      </c>
      <c r="G5" s="26" t="s">
        <v>24</v>
      </c>
      <c r="I5" t="s">
        <v>5</v>
      </c>
      <c r="J5">
        <v>335</v>
      </c>
      <c r="K5">
        <v>39</v>
      </c>
      <c r="L5">
        <v>0</v>
      </c>
      <c r="M5">
        <v>0</v>
      </c>
      <c r="N5">
        <v>0</v>
      </c>
    </row>
    <row r="6" spans="1:18" ht="32">
      <c r="A6" s="16" t="s">
        <v>65</v>
      </c>
      <c r="B6" s="23">
        <v>0.9</v>
      </c>
      <c r="C6" s="24">
        <v>0.95</v>
      </c>
      <c r="D6" s="24">
        <v>0.95</v>
      </c>
      <c r="E6" s="24">
        <v>0.95</v>
      </c>
      <c r="F6" s="25">
        <v>0.95</v>
      </c>
      <c r="G6" s="26" t="s">
        <v>25</v>
      </c>
      <c r="I6" t="s">
        <v>3</v>
      </c>
      <c r="J6">
        <v>0.9</v>
      </c>
      <c r="K6">
        <v>0.95</v>
      </c>
      <c r="L6">
        <v>0.95</v>
      </c>
      <c r="M6">
        <v>0.95</v>
      </c>
      <c r="N6">
        <v>0.95</v>
      </c>
    </row>
    <row r="7" spans="1:18" ht="32">
      <c r="A7" s="16" t="s">
        <v>61</v>
      </c>
      <c r="B7" s="23">
        <f>B6*(SUM(B3:B4)-B5)</f>
        <v>5.591515427251732</v>
      </c>
      <c r="C7" s="24">
        <f t="shared" ref="C7:F7" si="0">C6*(SUM(C3:C4)-C5)</f>
        <v>4.6931410789473693</v>
      </c>
      <c r="D7" s="24">
        <f t="shared" si="0"/>
        <v>3.7754972929292925</v>
      </c>
      <c r="E7" s="24">
        <f t="shared" si="0"/>
        <v>3.9252004999999994</v>
      </c>
      <c r="F7" s="25">
        <f t="shared" si="0"/>
        <v>3.4295551612903217</v>
      </c>
      <c r="G7" s="26" t="s">
        <v>71</v>
      </c>
    </row>
    <row r="8" spans="1:18" ht="32">
      <c r="A8" s="16" t="s">
        <v>57</v>
      </c>
      <c r="B8" s="23">
        <v>1E-3</v>
      </c>
      <c r="C8" s="24">
        <v>4.0000000000000001E-3</v>
      </c>
      <c r="D8" s="24">
        <v>0.13400000000000001</v>
      </c>
      <c r="E8" s="24">
        <v>1E-3</v>
      </c>
      <c r="F8" s="25">
        <v>1E-3</v>
      </c>
      <c r="G8" s="26" t="s">
        <v>24</v>
      </c>
      <c r="I8" t="s">
        <v>16</v>
      </c>
      <c r="J8">
        <f>Sheet2!B7</f>
        <v>0.1310854503464203</v>
      </c>
      <c r="K8">
        <f>Sheet2!G7</f>
        <v>0.12745152354570638</v>
      </c>
      <c r="L8">
        <f>Sheet2!L7</f>
        <v>0.12277441077441077</v>
      </c>
      <c r="M8">
        <f>Sheet2!M7</f>
        <v>0.12271428571428571</v>
      </c>
      <c r="N8">
        <f>Sheet2!R7</f>
        <v>0.11867383512544802</v>
      </c>
    </row>
    <row r="9" spans="1:18" ht="32">
      <c r="A9" s="16" t="s">
        <v>58</v>
      </c>
      <c r="B9" s="23">
        <v>9.2999999999999999E-2</v>
      </c>
      <c r="C9" s="24">
        <v>5.0999999999999997E-2</v>
      </c>
      <c r="D9" s="24">
        <v>7.3999999999999996E-2</v>
      </c>
      <c r="E9" s="24">
        <v>0.20599999999999999</v>
      </c>
      <c r="F9" s="25">
        <v>0.13100000000000001</v>
      </c>
      <c r="G9" s="26" t="s">
        <v>24</v>
      </c>
    </row>
    <row r="10" spans="1:18" ht="48">
      <c r="A10" s="16" t="s">
        <v>66</v>
      </c>
      <c r="B10" s="23">
        <v>0.06</v>
      </c>
      <c r="C10" s="24">
        <v>0.06</v>
      </c>
      <c r="D10" s="24">
        <v>0.06</v>
      </c>
      <c r="E10" s="24">
        <v>0.06</v>
      </c>
      <c r="F10" s="25">
        <v>0.06</v>
      </c>
      <c r="G10" s="27" t="s">
        <v>67</v>
      </c>
    </row>
    <row r="11" spans="1:18">
      <c r="A11" s="16" t="s">
        <v>62</v>
      </c>
      <c r="B11" s="23">
        <f>$J$24*B7</f>
        <v>0.32852465561674216</v>
      </c>
      <c r="C11" s="24">
        <f>$J$24*C7</f>
        <v>0.27574144733778938</v>
      </c>
      <c r="D11" s="24">
        <f>$J$24*D7</f>
        <v>0.22182607990248818</v>
      </c>
      <c r="E11" s="24">
        <f>$J$24*E7</f>
        <v>0.2306217624303282</v>
      </c>
      <c r="F11" s="25">
        <f>$J$24*F7</f>
        <v>0.2015005489907592</v>
      </c>
      <c r="G11" s="26" t="s">
        <v>59</v>
      </c>
    </row>
    <row r="12" spans="1:18" ht="32">
      <c r="A12" s="16" t="s">
        <v>68</v>
      </c>
      <c r="B12" s="23">
        <v>1.9E-2</v>
      </c>
      <c r="C12" s="24">
        <v>3.6999999999999998E-2</v>
      </c>
      <c r="D12" s="24">
        <v>1.9E-2</v>
      </c>
      <c r="E12" s="24">
        <v>0.17199999999999999</v>
      </c>
      <c r="F12" s="25">
        <v>0.376</v>
      </c>
      <c r="G12" s="26" t="s">
        <v>24</v>
      </c>
    </row>
    <row r="13" spans="1:18" ht="48">
      <c r="A13" s="16" t="s">
        <v>69</v>
      </c>
      <c r="B13" s="23">
        <v>1.8</v>
      </c>
      <c r="C13" s="24">
        <v>1.81</v>
      </c>
      <c r="D13" s="24">
        <v>1.78</v>
      </c>
      <c r="E13" s="24">
        <v>1.7</v>
      </c>
      <c r="F13" s="25">
        <v>1.6990000000000001</v>
      </c>
      <c r="G13" s="26" t="s">
        <v>75</v>
      </c>
    </row>
    <row r="14" spans="1:18" ht="32">
      <c r="A14" s="16" t="s">
        <v>70</v>
      </c>
      <c r="B14" s="23">
        <f>2.01+0.385+0.108</f>
        <v>2.5029999999999997</v>
      </c>
      <c r="C14" s="24">
        <f>1.613+0.523+0.1</f>
        <v>2.2360000000000002</v>
      </c>
      <c r="D14" s="24">
        <f>0.579+0.991</f>
        <v>1.5699999999999998</v>
      </c>
      <c r="E14" s="24">
        <v>1.29</v>
      </c>
      <c r="F14" s="25">
        <v>0.85</v>
      </c>
      <c r="G14" s="26" t="s">
        <v>24</v>
      </c>
    </row>
    <row r="15" spans="1:18" ht="32">
      <c r="A15" s="16" t="s">
        <v>74</v>
      </c>
      <c r="B15" s="23">
        <f>B7-B13-B14-B9-B11+B12+B8</f>
        <v>0.8869907716349904</v>
      </c>
      <c r="C15" s="24">
        <f>C7-C13-C14-C9-C11+C12+C8</f>
        <v>0.36139963160957961</v>
      </c>
      <c r="D15" s="24">
        <f>D7-D13-D14-D9-D11+D12+D8</f>
        <v>0.28267121302680442</v>
      </c>
      <c r="E15" s="28">
        <f>E7-E13-E14-E9-E11+E12+E8</f>
        <v>0.67157873756967146</v>
      </c>
      <c r="F15" s="29">
        <f>F7-F13-F14-F9-F11+F12+F8</f>
        <v>0.92505461229956243</v>
      </c>
      <c r="G15" s="26" t="s">
        <v>72</v>
      </c>
    </row>
    <row r="16" spans="1:18">
      <c r="J16">
        <v>5.2</v>
      </c>
      <c r="K16" t="s">
        <v>6</v>
      </c>
      <c r="M16" t="s">
        <v>14</v>
      </c>
    </row>
    <row r="17" spans="1:13">
      <c r="B17">
        <v>1997</v>
      </c>
      <c r="C17">
        <v>2002</v>
      </c>
      <c r="D17">
        <v>2007</v>
      </c>
      <c r="E17">
        <v>2012</v>
      </c>
      <c r="F17">
        <v>2017</v>
      </c>
      <c r="J17">
        <v>1</v>
      </c>
      <c r="K17" t="s">
        <v>7</v>
      </c>
    </row>
    <row r="18" spans="1:13">
      <c r="A18" t="s">
        <v>26</v>
      </c>
      <c r="B18">
        <f>B3*B6</f>
        <v>5.4151399538106233</v>
      </c>
      <c r="C18">
        <f t="shared" ref="C18:F18" si="1">C3*C6</f>
        <v>4.3709499999999997</v>
      </c>
      <c r="D18">
        <f t="shared" si="1"/>
        <v>3.4640799999999996</v>
      </c>
      <c r="E18">
        <f t="shared" si="1"/>
        <v>3.5090149999999993</v>
      </c>
      <c r="F18">
        <f t="shared" si="1"/>
        <v>3.1454499999999994</v>
      </c>
      <c r="J18">
        <v>0.24</v>
      </c>
      <c r="K18" t="s">
        <v>8</v>
      </c>
    </row>
    <row r="19" spans="1:13">
      <c r="A19" t="s">
        <v>27</v>
      </c>
      <c r="B19">
        <f>B4*B6+B8+B12</f>
        <v>0.23589773672055425</v>
      </c>
      <c r="C19">
        <f t="shared" ref="C19:F19" si="2">C4*C6+C8+C12</f>
        <v>0.36791315789473683</v>
      </c>
      <c r="D19">
        <f t="shared" si="2"/>
        <v>0.4644172929292929</v>
      </c>
      <c r="E19">
        <f t="shared" si="2"/>
        <v>0.58918549999999992</v>
      </c>
      <c r="F19">
        <f t="shared" si="2"/>
        <v>0.6611051612903226</v>
      </c>
      <c r="J19">
        <v>6.7000000000000002E-3</v>
      </c>
      <c r="K19" t="s">
        <v>9</v>
      </c>
      <c r="M19" t="s">
        <v>10</v>
      </c>
    </row>
    <row r="20" spans="1:13">
      <c r="A20" t="s">
        <v>28</v>
      </c>
      <c r="B20">
        <f>B5*B6+B9+B14</f>
        <v>2.6355222632794453</v>
      </c>
      <c r="C20">
        <f t="shared" ref="C20:F20" si="3">C5*C6+C9+C14</f>
        <v>2.2917220789473687</v>
      </c>
      <c r="D20">
        <f t="shared" si="3"/>
        <v>1.6439999999999999</v>
      </c>
      <c r="E20">
        <f t="shared" si="3"/>
        <v>1.496</v>
      </c>
      <c r="F20">
        <f t="shared" si="3"/>
        <v>0.98099999999999998</v>
      </c>
      <c r="J20" s="1">
        <v>0.43</v>
      </c>
      <c r="K20" s="1" t="s">
        <v>11</v>
      </c>
    </row>
    <row r="21" spans="1:13">
      <c r="A21" t="s">
        <v>29</v>
      </c>
      <c r="B21">
        <f>B20-B19</f>
        <v>2.3996245265588909</v>
      </c>
      <c r="C21">
        <f t="shared" ref="C21:F21" si="4">C20-C19</f>
        <v>1.9238089210526319</v>
      </c>
      <c r="D21">
        <f t="shared" si="4"/>
        <v>1.179582707070707</v>
      </c>
      <c r="E21">
        <f t="shared" si="4"/>
        <v>0.90681450000000008</v>
      </c>
      <c r="F21">
        <f t="shared" si="4"/>
        <v>0.31989483870967739</v>
      </c>
    </row>
    <row r="23" spans="1:13">
      <c r="I23" t="s">
        <v>12</v>
      </c>
      <c r="J23" t="s">
        <v>13</v>
      </c>
    </row>
    <row r="24" spans="1:13">
      <c r="E24">
        <f>(B18-C18)/C18</f>
        <v>0.23889313623139677</v>
      </c>
      <c r="I24">
        <f>J18*J17/(J18*J17+J19*J16*J20)</f>
        <v>0.94124586440098323</v>
      </c>
      <c r="J24">
        <f>J16*J19*J20/(J16*J19*J20+J18*J17)</f>
        <v>5.8754135599016717E-2</v>
      </c>
    </row>
  </sheetData>
  <mergeCells count="1">
    <mergeCell ref="B1:F1"/>
  </mergeCells>
  <hyperlinks>
    <hyperlink ref="G10" r:id="rId1" xr:uid="{F9A822E8-BDDA-6F4A-B65B-0822650C25CA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5EAAB-FA6C-5747-8FC5-5B7CEFA8EC9B}">
  <dimension ref="A1:F20"/>
  <sheetViews>
    <sheetView workbookViewId="0">
      <selection activeCell="A2" sqref="A2:A20"/>
    </sheetView>
  </sheetViews>
  <sheetFormatPr baseColWidth="10" defaultRowHeight="16"/>
  <sheetData>
    <row r="1" spans="1:6">
      <c r="D1" t="s">
        <v>49</v>
      </c>
    </row>
    <row r="2" spans="1:6">
      <c r="A2" s="10" t="s">
        <v>30</v>
      </c>
      <c r="C2" t="s">
        <v>50</v>
      </c>
      <c r="D2" s="13">
        <v>0.03</v>
      </c>
      <c r="E2" t="s">
        <v>51</v>
      </c>
      <c r="F2" t="s">
        <v>56</v>
      </c>
    </row>
    <row r="3" spans="1:6">
      <c r="A3" s="11" t="s">
        <v>31</v>
      </c>
      <c r="C3" t="s">
        <v>52</v>
      </c>
      <c r="D3" s="13">
        <v>0.04</v>
      </c>
      <c r="E3" t="s">
        <v>51</v>
      </c>
    </row>
    <row r="4" spans="1:6">
      <c r="A4" s="11" t="s">
        <v>32</v>
      </c>
      <c r="C4" t="s">
        <v>54</v>
      </c>
      <c r="D4" s="14" t="s">
        <v>53</v>
      </c>
      <c r="E4" t="s">
        <v>51</v>
      </c>
    </row>
    <row r="5" spans="1:6">
      <c r="A5" s="10" t="s">
        <v>33</v>
      </c>
      <c r="C5" t="s">
        <v>55</v>
      </c>
      <c r="D5" s="14">
        <v>4.4999999999999998E-2</v>
      </c>
      <c r="E5" t="s">
        <v>51</v>
      </c>
    </row>
    <row r="6" spans="1:6">
      <c r="A6" s="11" t="s">
        <v>34</v>
      </c>
    </row>
    <row r="7" spans="1:6">
      <c r="A7" s="11" t="s">
        <v>35</v>
      </c>
    </row>
    <row r="8" spans="1:6">
      <c r="A8" s="10" t="s">
        <v>36</v>
      </c>
    </row>
    <row r="9" spans="1:6">
      <c r="A9" s="10" t="s">
        <v>37</v>
      </c>
    </row>
    <row r="10" spans="1:6">
      <c r="A10" s="10" t="s">
        <v>38</v>
      </c>
    </row>
    <row r="11" spans="1:6">
      <c r="A11" s="11" t="s">
        <v>39</v>
      </c>
    </row>
    <row r="12" spans="1:6">
      <c r="A12" s="12" t="s">
        <v>40</v>
      </c>
    </row>
    <row r="13" spans="1:6">
      <c r="A13" s="12" t="s">
        <v>41</v>
      </c>
    </row>
    <row r="14" spans="1:6">
      <c r="A14" s="12" t="s">
        <v>42</v>
      </c>
    </row>
    <row r="15" spans="1:6">
      <c r="A15" s="12" t="s">
        <v>43</v>
      </c>
    </row>
    <row r="16" spans="1:6">
      <c r="A16" s="12" t="s">
        <v>44</v>
      </c>
    </row>
    <row r="17" spans="1:1">
      <c r="A17" s="12" t="s">
        <v>45</v>
      </c>
    </row>
    <row r="18" spans="1:1">
      <c r="A18" s="11" t="s">
        <v>46</v>
      </c>
    </row>
    <row r="19" spans="1:1">
      <c r="A19" s="11" t="s">
        <v>47</v>
      </c>
    </row>
    <row r="20" spans="1:1">
      <c r="A20" s="1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9965D-E4C1-304B-89BB-2DD83A034E90}">
  <dimension ref="A1:R15"/>
  <sheetViews>
    <sheetView topLeftCell="L1" workbookViewId="0">
      <selection activeCell="B7" sqref="B7"/>
    </sheetView>
  </sheetViews>
  <sheetFormatPr baseColWidth="10" defaultRowHeight="16"/>
  <cols>
    <col min="1" max="1" width="53.33203125" customWidth="1"/>
  </cols>
  <sheetData>
    <row r="1" spans="1:18">
      <c r="A1" t="s">
        <v>17</v>
      </c>
      <c r="F1" s="2"/>
    </row>
    <row r="3" spans="1:18">
      <c r="B3">
        <v>1997</v>
      </c>
      <c r="C3">
        <v>1998</v>
      </c>
      <c r="D3">
        <v>1999</v>
      </c>
      <c r="E3">
        <v>2000</v>
      </c>
      <c r="F3">
        <v>2001</v>
      </c>
      <c r="G3">
        <v>2002</v>
      </c>
      <c r="H3">
        <v>2003</v>
      </c>
      <c r="I3">
        <v>2004</v>
      </c>
      <c r="J3">
        <v>2005</v>
      </c>
      <c r="K3">
        <v>2006</v>
      </c>
      <c r="L3">
        <v>2007</v>
      </c>
      <c r="M3">
        <v>2012</v>
      </c>
      <c r="N3">
        <v>2013</v>
      </c>
      <c r="O3">
        <v>2014</v>
      </c>
      <c r="P3">
        <v>2015</v>
      </c>
      <c r="Q3">
        <v>2016</v>
      </c>
      <c r="R3">
        <v>2017</v>
      </c>
    </row>
    <row r="4" spans="1:18">
      <c r="A4" t="s">
        <v>18</v>
      </c>
      <c r="B4" s="9">
        <v>43300</v>
      </c>
      <c r="C4" s="5">
        <v>44200</v>
      </c>
      <c r="D4" s="5">
        <v>40600</v>
      </c>
      <c r="E4" s="5">
        <v>38600</v>
      </c>
      <c r="F4" s="5">
        <v>31900</v>
      </c>
      <c r="G4" s="5">
        <v>36100</v>
      </c>
      <c r="H4">
        <v>35000</v>
      </c>
      <c r="I4">
        <v>35800</v>
      </c>
      <c r="J4">
        <v>36100</v>
      </c>
      <c r="K4">
        <v>30100</v>
      </c>
      <c r="L4">
        <v>29700</v>
      </c>
      <c r="M4">
        <v>30100</v>
      </c>
      <c r="N4">
        <v>31200</v>
      </c>
      <c r="O4">
        <v>25300</v>
      </c>
      <c r="P4">
        <v>27400</v>
      </c>
      <c r="Q4">
        <v>27100</v>
      </c>
      <c r="R4">
        <v>27900</v>
      </c>
    </row>
    <row r="5" spans="1:18">
      <c r="A5" t="s">
        <v>19</v>
      </c>
      <c r="B5">
        <v>13200</v>
      </c>
      <c r="C5" s="7">
        <v>12900</v>
      </c>
      <c r="D5" s="7">
        <v>11800</v>
      </c>
      <c r="E5" s="7">
        <v>11200</v>
      </c>
      <c r="F5" s="7">
        <v>9230</v>
      </c>
      <c r="G5" s="7">
        <v>10700</v>
      </c>
      <c r="H5">
        <v>10300</v>
      </c>
      <c r="I5">
        <v>10400</v>
      </c>
      <c r="J5">
        <v>10300</v>
      </c>
      <c r="K5">
        <v>8680</v>
      </c>
      <c r="L5">
        <v>8480</v>
      </c>
      <c r="M5">
        <v>8590</v>
      </c>
      <c r="N5">
        <v>8930</v>
      </c>
      <c r="O5">
        <v>7710</v>
      </c>
      <c r="P5">
        <v>7710</v>
      </c>
      <c r="Q5">
        <v>7660</v>
      </c>
      <c r="R5">
        <v>7700</v>
      </c>
    </row>
    <row r="6" spans="1:18">
      <c r="A6" t="s">
        <v>20</v>
      </c>
      <c r="B6">
        <f t="shared" ref="B6:G6" si="0">B5/B4</f>
        <v>0.30484988452655887</v>
      </c>
      <c r="C6">
        <f t="shared" si="0"/>
        <v>0.29185520361990952</v>
      </c>
      <c r="D6">
        <f t="shared" si="0"/>
        <v>0.29064039408866993</v>
      </c>
      <c r="E6">
        <f t="shared" si="0"/>
        <v>0.29015544041450775</v>
      </c>
      <c r="F6">
        <f t="shared" si="0"/>
        <v>0.28934169278996863</v>
      </c>
      <c r="G6">
        <f t="shared" si="0"/>
        <v>0.296398891966759</v>
      </c>
      <c r="H6">
        <f t="shared" ref="H6:N6" si="1">H5/H4</f>
        <v>0.29428571428571426</v>
      </c>
      <c r="I6">
        <f t="shared" si="1"/>
        <v>0.29050279329608941</v>
      </c>
      <c r="J6">
        <f t="shared" si="1"/>
        <v>0.2853185595567867</v>
      </c>
      <c r="K6">
        <f t="shared" si="1"/>
        <v>0.28837209302325584</v>
      </c>
      <c r="L6">
        <f t="shared" si="1"/>
        <v>0.28552188552188551</v>
      </c>
      <c r="M6">
        <f t="shared" si="1"/>
        <v>0.28538205980066444</v>
      </c>
      <c r="N6">
        <f t="shared" si="1"/>
        <v>0.2862179487179487</v>
      </c>
      <c r="O6">
        <f t="shared" ref="O6:R6" si="2">O5/O4</f>
        <v>0.30474308300395259</v>
      </c>
      <c r="P6">
        <f t="shared" si="2"/>
        <v>0.28138686131386859</v>
      </c>
      <c r="Q6">
        <f t="shared" si="2"/>
        <v>0.28265682656826568</v>
      </c>
      <c r="R6">
        <f t="shared" si="2"/>
        <v>0.27598566308243727</v>
      </c>
    </row>
    <row r="7" spans="1:18">
      <c r="A7" t="s">
        <v>21</v>
      </c>
      <c r="B7">
        <f>B6*$B$13</f>
        <v>0.1310854503464203</v>
      </c>
      <c r="C7">
        <f t="shared" ref="C7:R7" si="3">C6*$B$13</f>
        <v>0.1254977375565611</v>
      </c>
      <c r="D7">
        <f t="shared" si="3"/>
        <v>0.12497536945812807</v>
      </c>
      <c r="E7">
        <f t="shared" si="3"/>
        <v>0.12476683937823833</v>
      </c>
      <c r="F7">
        <f t="shared" si="3"/>
        <v>0.1244169278996865</v>
      </c>
      <c r="G7">
        <f t="shared" si="3"/>
        <v>0.12745152354570638</v>
      </c>
      <c r="H7">
        <f t="shared" si="3"/>
        <v>0.12654285714285712</v>
      </c>
      <c r="I7">
        <f t="shared" si="3"/>
        <v>0.12491620111731845</v>
      </c>
      <c r="J7">
        <f t="shared" si="3"/>
        <v>0.12268698060941828</v>
      </c>
      <c r="K7">
        <f t="shared" si="3"/>
        <v>0.12400000000000001</v>
      </c>
      <c r="L7">
        <f t="shared" si="3"/>
        <v>0.12277441077441077</v>
      </c>
      <c r="M7">
        <f t="shared" si="3"/>
        <v>0.12271428571428571</v>
      </c>
      <c r="N7">
        <f t="shared" si="3"/>
        <v>0.12307371794871794</v>
      </c>
      <c r="O7">
        <f t="shared" si="3"/>
        <v>0.1310395256916996</v>
      </c>
      <c r="P7">
        <f t="shared" si="3"/>
        <v>0.12099635036496349</v>
      </c>
      <c r="Q7">
        <f t="shared" si="3"/>
        <v>0.12154243542435424</v>
      </c>
      <c r="R7">
        <f t="shared" si="3"/>
        <v>0.11867383512544802</v>
      </c>
    </row>
    <row r="11" spans="1:18">
      <c r="H11" s="3"/>
      <c r="J11" s="3"/>
      <c r="L11" s="4"/>
      <c r="N11" s="3"/>
    </row>
    <row r="12" spans="1:18">
      <c r="H12" s="3"/>
      <c r="J12" s="3"/>
      <c r="L12" s="4"/>
      <c r="N12" s="3"/>
    </row>
    <row r="13" spans="1:18">
      <c r="A13" t="s">
        <v>11</v>
      </c>
      <c r="B13">
        <v>0.43</v>
      </c>
      <c r="C13" t="s">
        <v>22</v>
      </c>
    </row>
    <row r="14" spans="1:18">
      <c r="G14" s="6"/>
      <c r="I14" s="6"/>
      <c r="K14" s="6"/>
      <c r="M14" s="6"/>
    </row>
    <row r="15" spans="1:18">
      <c r="G15" s="8"/>
      <c r="I15" s="8"/>
      <c r="K15" s="8"/>
      <c r="M15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3D69-CF0D-244D-87FB-05CB70E76780}">
  <dimension ref="A1:G23"/>
  <sheetViews>
    <sheetView workbookViewId="0">
      <selection activeCell="F14" sqref="F14"/>
    </sheetView>
  </sheetViews>
  <sheetFormatPr baseColWidth="10" defaultRowHeight="16"/>
  <sheetData>
    <row r="1" spans="1:7">
      <c r="A1" s="33" t="s">
        <v>78</v>
      </c>
      <c r="B1" s="33"/>
      <c r="C1" s="33"/>
      <c r="F1" s="33">
        <v>907</v>
      </c>
      <c r="G1" t="s">
        <v>77</v>
      </c>
    </row>
    <row r="2" spans="1:7">
      <c r="A2" s="33"/>
      <c r="B2" s="33"/>
      <c r="C2" s="33"/>
      <c r="D2" s="33"/>
    </row>
    <row r="3" spans="1:7">
      <c r="A3" s="33"/>
      <c r="B3" s="33"/>
      <c r="C3" s="33"/>
      <c r="D3" s="33"/>
    </row>
    <row r="4" spans="1:7">
      <c r="A4" s="33"/>
      <c r="B4" s="33" t="s">
        <v>76</v>
      </c>
      <c r="C4" s="33"/>
      <c r="D4" s="33" t="s">
        <v>73</v>
      </c>
    </row>
    <row r="5" spans="1:7">
      <c r="A5" s="34">
        <v>1997</v>
      </c>
      <c r="B5" s="33">
        <v>1983.0740000000001</v>
      </c>
      <c r="C5" s="33"/>
      <c r="D5" s="33">
        <v>1.798648118</v>
      </c>
    </row>
    <row r="6" spans="1:7">
      <c r="A6" s="34">
        <v>1998</v>
      </c>
      <c r="B6" s="33">
        <v>1984.5359999999998</v>
      </c>
      <c r="C6" s="33"/>
      <c r="D6" s="33">
        <v>1.7999741519999999</v>
      </c>
    </row>
    <row r="7" spans="1:7">
      <c r="A7" s="34">
        <v>1999</v>
      </c>
      <c r="B7" s="33">
        <v>1829.3059999999998</v>
      </c>
      <c r="C7" s="33"/>
      <c r="D7" s="33">
        <v>1.6591805419999999</v>
      </c>
    </row>
    <row r="8" spans="1:7">
      <c r="A8" s="34">
        <v>2000</v>
      </c>
      <c r="B8" s="33">
        <v>1854.934</v>
      </c>
      <c r="C8" s="33"/>
      <c r="D8" s="33">
        <v>1.6824251380000002</v>
      </c>
    </row>
    <row r="9" spans="1:7">
      <c r="A9" s="34">
        <v>2001</v>
      </c>
      <c r="B9" s="33">
        <v>1830.596</v>
      </c>
      <c r="C9" s="33"/>
      <c r="D9" s="33">
        <v>1.660350572</v>
      </c>
    </row>
    <row r="10" spans="1:7">
      <c r="A10" s="34">
        <v>2002</v>
      </c>
      <c r="B10" s="33">
        <v>1990.8999999999999</v>
      </c>
      <c r="C10" s="33"/>
      <c r="D10" s="33">
        <v>1.8057462999999998</v>
      </c>
    </row>
    <row r="11" spans="1:7">
      <c r="A11" s="34">
        <v>2003</v>
      </c>
      <c r="B11" s="33">
        <v>1844.915</v>
      </c>
      <c r="C11" s="33"/>
      <c r="D11" s="33">
        <v>1.6733379050000001</v>
      </c>
    </row>
    <row r="12" spans="1:7">
      <c r="A12" s="34">
        <v>2004</v>
      </c>
      <c r="B12" s="33">
        <v>2074.5349999999999</v>
      </c>
      <c r="C12" s="33"/>
      <c r="D12" s="33">
        <v>1.8816032449999998</v>
      </c>
    </row>
    <row r="13" spans="1:7">
      <c r="A13" s="34">
        <v>2005</v>
      </c>
      <c r="B13" s="33">
        <v>1994.34</v>
      </c>
      <c r="C13" s="33"/>
      <c r="D13" s="33">
        <v>1.80886638</v>
      </c>
    </row>
    <row r="14" spans="1:7">
      <c r="A14" s="34">
        <v>2006</v>
      </c>
      <c r="B14" s="33">
        <v>1925.7980000000002</v>
      </c>
      <c r="C14" s="33"/>
      <c r="D14" s="33">
        <v>1.7466987860000005</v>
      </c>
    </row>
    <row r="15" spans="1:7">
      <c r="A15" s="34">
        <v>2007</v>
      </c>
      <c r="B15" s="33">
        <v>1965.8309999999999</v>
      </c>
      <c r="C15" s="33"/>
      <c r="D15" s="33">
        <v>1.783008717</v>
      </c>
    </row>
    <row r="16" spans="1:7">
      <c r="A16" s="34">
        <v>2008</v>
      </c>
      <c r="B16" s="33">
        <v>1826.1669999999999</v>
      </c>
      <c r="C16" s="33"/>
      <c r="D16" s="33">
        <v>1.6563334689999998</v>
      </c>
    </row>
    <row r="17" spans="1:4">
      <c r="A17" s="34">
        <v>2009</v>
      </c>
      <c r="B17" s="33">
        <v>1349.125</v>
      </c>
      <c r="C17" s="33"/>
      <c r="D17" s="33">
        <v>1.223656375</v>
      </c>
    </row>
    <row r="18" spans="1:4">
      <c r="A18" s="34">
        <v>2010</v>
      </c>
      <c r="B18" s="33">
        <v>1789.4019999999998</v>
      </c>
      <c r="C18" s="33"/>
      <c r="D18" s="33">
        <v>1.6229876139999999</v>
      </c>
    </row>
    <row r="19" spans="1:4">
      <c r="A19" s="34">
        <v>2011</v>
      </c>
      <c r="B19" s="33">
        <v>1846.893</v>
      </c>
      <c r="C19" s="33"/>
      <c r="D19" s="33">
        <v>1.6751319510000002</v>
      </c>
    </row>
    <row r="20" spans="1:4">
      <c r="A20" s="34">
        <v>2012</v>
      </c>
      <c r="B20" s="33">
        <v>1870.1990000000001</v>
      </c>
      <c r="C20" s="33"/>
      <c r="D20" s="33">
        <v>1.6962704929999999</v>
      </c>
    </row>
    <row r="21" spans="1:4">
      <c r="A21" s="34">
        <v>2013</v>
      </c>
      <c r="B21" s="33">
        <v>2020.1399999999999</v>
      </c>
      <c r="C21" s="33"/>
      <c r="D21" s="33">
        <v>1.83226698</v>
      </c>
    </row>
    <row r="22" spans="1:4">
      <c r="A22" s="34">
        <v>2014</v>
      </c>
      <c r="B22" s="33">
        <v>2018.6780000000001</v>
      </c>
      <c r="C22" s="33"/>
      <c r="D22" s="33">
        <v>1.8309409459999999</v>
      </c>
    </row>
    <row r="23" spans="1:4">
      <c r="A23" s="34">
        <v>2015</v>
      </c>
      <c r="B23" s="33">
        <v>1834.595</v>
      </c>
      <c r="C23" s="33"/>
      <c r="D23" s="33">
        <v>1.663977665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6" ma:contentTypeDescription="Create a new document." ma:contentTypeScope="" ma:versionID="bcac96711073587df0b68b080c708180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98209c71c39a5a5ad103d397a60c957b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A08A567F-AD36-431A-9238-41A7A846E123}"/>
</file>

<file path=customXml/itemProps2.xml><?xml version="1.0" encoding="utf-8"?>
<ds:datastoreItem xmlns:ds="http://schemas.openxmlformats.org/officeDocument/2006/customXml" ds:itemID="{23DAF47F-752C-4BDF-8A5F-605222A915B3}"/>
</file>

<file path=customXml/itemProps3.xml><?xml version="1.0" encoding="utf-8"?>
<ds:datastoreItem xmlns:ds="http://schemas.openxmlformats.org/officeDocument/2006/customXml" ds:itemID="{3E4A6C2C-A1F3-42FA-AE83-676250C7B7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USDA fertilizer 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2021-01-14T07:08:50Z</dcterms:created>
  <dcterms:modified xsi:type="dcterms:W3CDTF">2021-03-10T04:41:24Z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