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3.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worksheets/sheet1.xml" ContentType="application/vnd.openxmlformats-officedocument.spreadsheetml.worksheet+xml"/>
  <Override PartName="/xl/worksheets/sheet2.xml" ContentType="application/vnd.openxmlformats-officedocument.spreadsheetml.worksheet+xml"/>
  <Override PartName="/docProps/app.xml" ContentType="application/vnd.openxmlformats-officedocument.extended-properties+xml"/>
  <Override PartName="/docProps/core.xml" ContentType="application/vnd.openxmlformats-package.core-properties+xml"/>
  <Override PartName="/xl/calcChain.xml" ContentType="application/vnd.openxmlformats-officedocument.spreadsheetml.calcChain+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0"/>
  <workbookPr defaultThemeVersion="166925"/>
  <mc:AlternateContent xmlns:mc="http://schemas.openxmlformats.org/markup-compatibility/2006">
    <mc:Choice Requires="x15">
      <x15ac:absPath xmlns:x15ac="http://schemas.microsoft.com/office/spreadsheetml/2010/11/ac" url="/Users/malgren/Documents/Mines/N&amp;P/NANI_NAPI/NANI_NAPI_R/RawData/"/>
    </mc:Choice>
  </mc:AlternateContent>
  <xr:revisionPtr revIDLastSave="0" documentId="13_ncr:1_{9EFB9478-C8A1-4548-AF7F-AEB1D2465B35}" xr6:coauthVersionLast="45" xr6:coauthVersionMax="45" xr10:uidLastSave="{00000000-0000-0000-0000-000000000000}"/>
  <bookViews>
    <workbookView xWindow="16200" yWindow="920" windowWidth="25080" windowHeight="18940" activeTab="4" xr2:uid="{16436631-14AE-7949-8378-903B806A452D}"/>
  </bookViews>
  <sheets>
    <sheet name="CornGrain" sheetId="1" r:id="rId1"/>
    <sheet name="CornTotal" sheetId="15" r:id="rId2"/>
    <sheet name="SorghumTotal" sheetId="16" r:id="rId3"/>
    <sheet name="SorghumGrain" sheetId="13" r:id="rId4"/>
    <sheet name="Wheat" sheetId="3" r:id="rId5"/>
    <sheet name="Oats" sheetId="2" r:id="rId6"/>
    <sheet name="Barley" sheetId="17" r:id="rId7"/>
    <sheet name="Soybeans" sheetId="7" r:id="rId8"/>
    <sheet name="Potatoes_fresh" sheetId="8" r:id="rId9"/>
    <sheet name="Potatoes_can" sheetId="9" r:id="rId10"/>
    <sheet name="Potatoes_chip" sheetId="10" r:id="rId11"/>
    <sheet name="Potatoes_dehy" sheetId="11" r:id="rId12"/>
    <sheet name="Potatoes_frz" sheetId="12" r:id="rId13"/>
    <sheet name="Rye" sheetId="5" r:id="rId14"/>
    <sheet name="Rice" sheetId="6" r:id="rId15"/>
    <sheet name="Hay" sheetId="14" r:id="rId16"/>
    <sheet name="Peanuts" sheetId="18" r:id="rId17"/>
    <sheet name="DGS" sheetId="19" r:id="rId18"/>
    <sheet name="Conversions" sheetId="4" r:id="rId19"/>
  </sheets>
  <externalReferences>
    <externalReference r:id="rId20"/>
    <externalReference r:id="rId21"/>
  </externalReferences>
  <calcPr calcId="191029" calcMode="manual"/>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P4" i="16" l="1"/>
  <c r="C48" i="18"/>
  <c r="E48" i="18" s="1"/>
  <c r="J48" i="18" s="1"/>
  <c r="I48" i="18" s="1"/>
  <c r="J47" i="18"/>
  <c r="I47" i="18" s="1"/>
  <c r="G47" i="18"/>
  <c r="F47" i="18"/>
  <c r="E47" i="18"/>
  <c r="D47" i="18"/>
  <c r="C47" i="18"/>
  <c r="G46" i="18"/>
  <c r="F46" i="18"/>
  <c r="E46" i="18"/>
  <c r="J46" i="18" s="1"/>
  <c r="I46" i="18" s="1"/>
  <c r="D46" i="18"/>
  <c r="C46" i="18"/>
  <c r="G45" i="18"/>
  <c r="F45" i="18"/>
  <c r="D45" i="18"/>
  <c r="E45" i="18" s="1"/>
  <c r="J45" i="18" s="1"/>
  <c r="I45" i="18" s="1"/>
  <c r="C45" i="18"/>
  <c r="F44" i="18"/>
  <c r="E44" i="18"/>
  <c r="J44" i="18" s="1"/>
  <c r="I44" i="18" s="1"/>
  <c r="C44" i="18"/>
  <c r="L43" i="18"/>
  <c r="G43" i="18"/>
  <c r="F43" i="18"/>
  <c r="D43" i="18"/>
  <c r="E43" i="18" s="1"/>
  <c r="J43" i="18" s="1"/>
  <c r="I43" i="18" s="1"/>
  <c r="C43" i="18"/>
  <c r="L42" i="18"/>
  <c r="G42" i="18"/>
  <c r="F42" i="18"/>
  <c r="D42" i="18"/>
  <c r="E42" i="18" s="1"/>
  <c r="J42" i="18" s="1"/>
  <c r="I42" i="18" s="1"/>
  <c r="C42" i="18"/>
  <c r="L41" i="18"/>
  <c r="G41" i="18"/>
  <c r="F41" i="18"/>
  <c r="D41" i="18"/>
  <c r="E41" i="18" s="1"/>
  <c r="J41" i="18" s="1"/>
  <c r="I41" i="18" s="1"/>
  <c r="C41" i="18"/>
  <c r="L40" i="18"/>
  <c r="G40" i="18"/>
  <c r="F40" i="18"/>
  <c r="D40" i="18"/>
  <c r="E40" i="18" s="1"/>
  <c r="J40" i="18" s="1"/>
  <c r="I40" i="18" s="1"/>
  <c r="C40" i="18"/>
  <c r="L39" i="18"/>
  <c r="G39" i="18"/>
  <c r="F39" i="18"/>
  <c r="D39" i="18"/>
  <c r="E39" i="18" s="1"/>
  <c r="J39" i="18" s="1"/>
  <c r="I39" i="18" s="1"/>
  <c r="C39" i="18"/>
  <c r="L38" i="18"/>
  <c r="G38" i="18"/>
  <c r="F38" i="18"/>
  <c r="D38" i="18"/>
  <c r="E38" i="18" s="1"/>
  <c r="J38" i="18" s="1"/>
  <c r="I38" i="18" s="1"/>
  <c r="C38" i="18"/>
  <c r="L37" i="18"/>
  <c r="G37" i="18"/>
  <c r="F37" i="18"/>
  <c r="D37" i="18"/>
  <c r="E37" i="18" s="1"/>
  <c r="J37" i="18" s="1"/>
  <c r="I37" i="18" s="1"/>
  <c r="C37" i="18"/>
  <c r="L36" i="18"/>
  <c r="G36" i="18"/>
  <c r="F36" i="18"/>
  <c r="D36" i="18"/>
  <c r="E36" i="18" s="1"/>
  <c r="J36" i="18" s="1"/>
  <c r="I36" i="18" s="1"/>
  <c r="C36" i="18"/>
  <c r="L35" i="18"/>
  <c r="G35" i="18"/>
  <c r="F35" i="18"/>
  <c r="D35" i="18"/>
  <c r="E35" i="18" s="1"/>
  <c r="J35" i="18" s="1"/>
  <c r="I35" i="18" s="1"/>
  <c r="C35" i="18"/>
  <c r="L34" i="18"/>
  <c r="F34" i="18"/>
  <c r="D34" i="18"/>
  <c r="C34" i="18"/>
  <c r="E34" i="18" s="1"/>
  <c r="J34" i="18" s="1"/>
  <c r="I34" i="18" s="1"/>
  <c r="L33" i="18"/>
  <c r="F33" i="18"/>
  <c r="D33" i="18"/>
  <c r="C33" i="18"/>
  <c r="E33" i="18" s="1"/>
  <c r="J33" i="18" s="1"/>
  <c r="I33" i="18" s="1"/>
  <c r="L32" i="18"/>
  <c r="F32" i="18"/>
  <c r="E32" i="18"/>
  <c r="J32" i="18" s="1"/>
  <c r="I32" i="18" s="1"/>
  <c r="D32" i="18"/>
  <c r="C32" i="18"/>
  <c r="L31" i="18"/>
  <c r="F31" i="18"/>
  <c r="E31" i="18"/>
  <c r="J31" i="18" s="1"/>
  <c r="I31" i="18" s="1"/>
  <c r="D31" i="18"/>
  <c r="C31" i="18"/>
  <c r="L30" i="18"/>
  <c r="F30" i="18"/>
  <c r="D30" i="18"/>
  <c r="E30" i="18" s="1"/>
  <c r="J30" i="18" s="1"/>
  <c r="I30" i="18" s="1"/>
  <c r="C30" i="18"/>
  <c r="L29" i="18"/>
  <c r="F29" i="18"/>
  <c r="D29" i="18"/>
  <c r="C29" i="18"/>
  <c r="E29" i="18" s="1"/>
  <c r="J29" i="18" s="1"/>
  <c r="I29" i="18" s="1"/>
  <c r="L28" i="18"/>
  <c r="F28" i="18"/>
  <c r="D28" i="18"/>
  <c r="C28" i="18"/>
  <c r="E28" i="18" s="1"/>
  <c r="J28" i="18" s="1"/>
  <c r="I28" i="18" s="1"/>
  <c r="L27" i="18"/>
  <c r="F27" i="18"/>
  <c r="D27" i="18"/>
  <c r="C27" i="18"/>
  <c r="E27" i="18" s="1"/>
  <c r="J27" i="18" s="1"/>
  <c r="I27" i="18" s="1"/>
  <c r="L26" i="18"/>
  <c r="F26" i="18"/>
  <c r="C26" i="18"/>
  <c r="E26" i="18" s="1"/>
  <c r="J26" i="18" s="1"/>
  <c r="I26" i="18" s="1"/>
  <c r="L25" i="18"/>
  <c r="F25" i="18"/>
  <c r="E25" i="18"/>
  <c r="J25" i="18" s="1"/>
  <c r="I25" i="18" s="1"/>
  <c r="C25" i="18"/>
  <c r="L24" i="18"/>
  <c r="F24" i="18"/>
  <c r="D24" i="18"/>
  <c r="E24" i="18" s="1"/>
  <c r="J24" i="18" s="1"/>
  <c r="I24" i="18" s="1"/>
  <c r="C24" i="18"/>
  <c r="L23" i="18"/>
  <c r="F23" i="18"/>
  <c r="D23" i="18"/>
  <c r="C23" i="18"/>
  <c r="E23" i="18" s="1"/>
  <c r="J23" i="18" s="1"/>
  <c r="I23" i="18" s="1"/>
  <c r="L22" i="18"/>
  <c r="F22" i="18"/>
  <c r="D22" i="18"/>
  <c r="C22" i="18"/>
  <c r="E22" i="18" s="1"/>
  <c r="J22" i="18" s="1"/>
  <c r="I22" i="18" s="1"/>
  <c r="L21" i="18"/>
  <c r="F21" i="18"/>
  <c r="D21" i="18"/>
  <c r="C21" i="18"/>
  <c r="E21" i="18" s="1"/>
  <c r="J21" i="18" s="1"/>
  <c r="I21" i="18" s="1"/>
  <c r="L20" i="18"/>
  <c r="F20" i="18"/>
  <c r="D20" i="18"/>
  <c r="C20" i="18"/>
  <c r="E20" i="18" s="1"/>
  <c r="J20" i="18" s="1"/>
  <c r="I20" i="18" s="1"/>
  <c r="L19" i="18"/>
  <c r="F19" i="18"/>
  <c r="D19" i="18"/>
  <c r="C19" i="18"/>
  <c r="E19" i="18" s="1"/>
  <c r="J19" i="18" s="1"/>
  <c r="I19" i="18" s="1"/>
  <c r="L18" i="18"/>
  <c r="F18" i="18"/>
  <c r="E18" i="18"/>
  <c r="J18" i="18" s="1"/>
  <c r="I18" i="18" s="1"/>
  <c r="D18" i="18"/>
  <c r="C18" i="18"/>
  <c r="L17" i="18"/>
  <c r="F17" i="18"/>
  <c r="E17" i="18"/>
  <c r="J17" i="18" s="1"/>
  <c r="I17" i="18" s="1"/>
  <c r="D17" i="18"/>
  <c r="C17" i="18"/>
  <c r="L16" i="18"/>
  <c r="F16" i="18"/>
  <c r="D16" i="18"/>
  <c r="E16" i="18" s="1"/>
  <c r="J16" i="18" s="1"/>
  <c r="I16" i="18" s="1"/>
  <c r="C16" i="18"/>
  <c r="L15" i="18"/>
  <c r="F15" i="18"/>
  <c r="C15" i="18"/>
  <c r="E15" i="18" s="1"/>
  <c r="J15" i="18" s="1"/>
  <c r="I15" i="18" s="1"/>
  <c r="L14" i="18"/>
  <c r="F14" i="18"/>
  <c r="C14" i="18"/>
  <c r="E14" i="18" s="1"/>
  <c r="J14" i="18" s="1"/>
  <c r="I14" i="18" s="1"/>
  <c r="L13" i="18"/>
  <c r="F13" i="18"/>
  <c r="C13" i="18"/>
  <c r="E13" i="18" s="1"/>
  <c r="J13" i="18" s="1"/>
  <c r="I13" i="18" s="1"/>
  <c r="L12" i="18"/>
  <c r="F12" i="18"/>
  <c r="E12" i="18"/>
  <c r="J12" i="18" s="1"/>
  <c r="I12" i="18" s="1"/>
  <c r="C12" i="18"/>
  <c r="L11" i="18"/>
  <c r="F11" i="18"/>
  <c r="C11" i="18"/>
  <c r="E11" i="18" s="1"/>
  <c r="J11" i="18" s="1"/>
  <c r="I11" i="18" s="1"/>
  <c r="L10" i="18"/>
  <c r="F10" i="18"/>
  <c r="C10" i="18"/>
  <c r="E10" i="18" s="1"/>
  <c r="J10" i="18" s="1"/>
  <c r="I10" i="18" s="1"/>
  <c r="L9" i="18"/>
  <c r="F9" i="18"/>
  <c r="C9" i="18"/>
  <c r="E9" i="18" s="1"/>
  <c r="J9" i="18" s="1"/>
  <c r="I9" i="18" s="1"/>
  <c r="D3" i="4" l="1"/>
  <c r="D4" i="4"/>
  <c r="D5" i="4"/>
  <c r="D6" i="4"/>
  <c r="D7" i="4"/>
  <c r="D8" i="4"/>
  <c r="D2" i="4"/>
  <c r="E32" i="19" l="1"/>
  <c r="E31" i="19"/>
  <c r="E30" i="19"/>
  <c r="E29" i="19"/>
  <c r="E28" i="19"/>
  <c r="E27" i="19"/>
  <c r="E26" i="19"/>
  <c r="E25" i="19"/>
  <c r="E24" i="19"/>
  <c r="E23" i="19"/>
  <c r="E22" i="19"/>
  <c r="E21" i="19"/>
  <c r="E20" i="19"/>
  <c r="E19" i="19"/>
  <c r="E18" i="19"/>
  <c r="E17" i="19"/>
  <c r="E16" i="19"/>
  <c r="E15" i="19"/>
  <c r="E14" i="19"/>
  <c r="E13" i="19"/>
  <c r="E12" i="19"/>
  <c r="E11" i="19"/>
  <c r="E10" i="19"/>
  <c r="E9" i="19"/>
  <c r="E8" i="19"/>
  <c r="E7" i="19"/>
  <c r="P5" i="16" l="1"/>
  <c r="P6" i="16"/>
  <c r="P7" i="16"/>
  <c r="P8" i="16"/>
  <c r="P9" i="16"/>
  <c r="P10" i="16"/>
  <c r="P11" i="16"/>
  <c r="P12" i="16"/>
  <c r="P13" i="16"/>
  <c r="P14" i="16"/>
  <c r="P15" i="16"/>
  <c r="P16" i="16"/>
  <c r="P17" i="16"/>
  <c r="P18" i="16"/>
  <c r="P19" i="16"/>
  <c r="P20" i="16"/>
  <c r="P21" i="16"/>
  <c r="P22" i="16"/>
  <c r="P23" i="16"/>
  <c r="P24" i="16"/>
  <c r="P25" i="16"/>
  <c r="P26" i="16"/>
  <c r="P27" i="16"/>
  <c r="P28" i="16"/>
  <c r="P29" i="16"/>
  <c r="P30" i="16"/>
  <c r="P31" i="16"/>
  <c r="Q4" i="16"/>
  <c r="C4" i="14" l="1"/>
  <c r="C3" i="14"/>
  <c r="C2" i="14"/>
  <c r="B2" i="14"/>
  <c r="B3" i="14"/>
  <c r="B4" i="14"/>
  <c r="R3" i="8"/>
  <c r="S3" i="8" s="1"/>
  <c r="O16" i="8"/>
  <c r="O7" i="8"/>
  <c r="R12" i="8"/>
  <c r="S12" i="8" s="1"/>
  <c r="C45" i="7"/>
  <c r="B45" i="7"/>
  <c r="C44" i="7"/>
  <c r="C43" i="7"/>
  <c r="G42" i="7"/>
  <c r="C42" i="7"/>
  <c r="G41" i="7"/>
  <c r="C41" i="7"/>
  <c r="G40" i="7"/>
  <c r="C40" i="7"/>
  <c r="G39" i="7"/>
  <c r="C39" i="7"/>
  <c r="C38" i="7"/>
  <c r="C37" i="7"/>
  <c r="C36" i="7"/>
  <c r="C35" i="7"/>
  <c r="C34" i="7"/>
  <c r="C33" i="7"/>
  <c r="C32" i="7"/>
  <c r="C31" i="7"/>
  <c r="C30" i="7"/>
  <c r="C29" i="7"/>
  <c r="C28" i="7"/>
  <c r="C27" i="7"/>
  <c r="B27" i="7"/>
  <c r="C26" i="7"/>
  <c r="B26" i="7"/>
  <c r="C25" i="7"/>
  <c r="B25" i="7"/>
  <c r="E25" i="7" s="1"/>
  <c r="J25" i="7" s="1"/>
  <c r="I25" i="7" s="1"/>
  <c r="C24" i="7"/>
  <c r="B24" i="7"/>
  <c r="C23" i="7"/>
  <c r="B23" i="7"/>
  <c r="C22" i="7"/>
  <c r="B22" i="7"/>
  <c r="C21" i="7"/>
  <c r="B21" i="7"/>
  <c r="E21" i="7" s="1"/>
  <c r="J21" i="7" s="1"/>
  <c r="I21" i="7" s="1"/>
  <c r="C20" i="7"/>
  <c r="B20" i="7"/>
  <c r="C19" i="7"/>
  <c r="B19" i="7"/>
  <c r="E19" i="7" s="1"/>
  <c r="J19" i="7" s="1"/>
  <c r="I19" i="7" s="1"/>
  <c r="C18" i="7"/>
  <c r="B18" i="7"/>
  <c r="C17" i="7"/>
  <c r="B17" i="7"/>
  <c r="E17" i="7" s="1"/>
  <c r="J17" i="7" s="1"/>
  <c r="I17" i="7" s="1"/>
  <c r="C16" i="7"/>
  <c r="B16" i="7"/>
  <c r="C15" i="7"/>
  <c r="B15" i="7"/>
  <c r="C14" i="7"/>
  <c r="B14" i="7"/>
  <c r="E14" i="7" s="1"/>
  <c r="J14" i="7" s="1"/>
  <c r="I14" i="7" s="1"/>
  <c r="C13" i="7"/>
  <c r="B13" i="7"/>
  <c r="E13" i="7" s="1"/>
  <c r="J13" i="7" s="1"/>
  <c r="I13" i="7" s="1"/>
  <c r="C12" i="7"/>
  <c r="B12" i="7"/>
  <c r="C11" i="7"/>
  <c r="B11" i="7"/>
  <c r="E11" i="7" s="1"/>
  <c r="J11" i="7" s="1"/>
  <c r="I11" i="7" s="1"/>
  <c r="C10" i="7"/>
  <c r="B10" i="7"/>
  <c r="E10" i="7" s="1"/>
  <c r="J10" i="7" s="1"/>
  <c r="I10" i="7" s="1"/>
  <c r="C9" i="7"/>
  <c r="B9" i="7"/>
  <c r="E9" i="7" s="1"/>
  <c r="J9" i="7" s="1"/>
  <c r="I9" i="7" s="1"/>
  <c r="C8" i="7"/>
  <c r="E8" i="7" s="1"/>
  <c r="J8" i="7" s="1"/>
  <c r="I8" i="7" s="1"/>
  <c r="E45" i="7" l="1"/>
  <c r="J45" i="7" s="1"/>
  <c r="I45" i="7" s="1"/>
  <c r="E12" i="7"/>
  <c r="J12" i="7" s="1"/>
  <c r="I12" i="7" s="1"/>
  <c r="E16" i="7"/>
  <c r="J16" i="7" s="1"/>
  <c r="I16" i="7" s="1"/>
  <c r="E20" i="7"/>
  <c r="J20" i="7" s="1"/>
  <c r="I20" i="7" s="1"/>
  <c r="E24" i="7"/>
  <c r="J24" i="7" s="1"/>
  <c r="I24" i="7" s="1"/>
  <c r="E18" i="7"/>
  <c r="J18" i="7" s="1"/>
  <c r="I18" i="7" s="1"/>
  <c r="E22" i="7"/>
  <c r="J22" i="7" s="1"/>
  <c r="I22" i="7" s="1"/>
  <c r="E26" i="7"/>
  <c r="J26" i="7" s="1"/>
  <c r="I26" i="7" s="1"/>
  <c r="E15" i="7"/>
  <c r="J15" i="7" s="1"/>
  <c r="I15" i="7" s="1"/>
  <c r="E27" i="7"/>
  <c r="E23" i="7"/>
  <c r="J23" i="7" s="1"/>
  <c r="I23" i="7" s="1"/>
  <c r="G28" i="7"/>
  <c r="G29" i="7"/>
  <c r="H29" i="7"/>
  <c r="G30" i="7"/>
  <c r="H30" i="7"/>
  <c r="G32" i="7"/>
  <c r="H32" i="7"/>
  <c r="G33" i="7"/>
  <c r="H33" i="7"/>
  <c r="G34" i="7"/>
  <c r="H34" i="7"/>
  <c r="G35" i="7"/>
  <c r="H35" i="7"/>
  <c r="G36" i="7"/>
  <c r="H37" i="7"/>
  <c r="H38" i="7"/>
  <c r="H40" i="7"/>
  <c r="K40" i="7"/>
  <c r="B41" i="7" s="1"/>
  <c r="E41" i="7" s="1"/>
  <c r="H44" i="7" l="1"/>
  <c r="G31" i="7"/>
  <c r="G37" i="7"/>
  <c r="K43" i="7"/>
  <c r="B44" i="7" s="1"/>
  <c r="E44" i="7" s="1"/>
  <c r="J44" i="7" s="1"/>
  <c r="K33" i="7"/>
  <c r="B34" i="7" s="1"/>
  <c r="E34" i="7" s="1"/>
  <c r="H42" i="7"/>
  <c r="K39" i="7"/>
  <c r="B40" i="7" s="1"/>
  <c r="E40" i="7" s="1"/>
  <c r="J40" i="7" s="1"/>
  <c r="I40" i="7" s="1"/>
  <c r="K31" i="7"/>
  <c r="B32" i="7" s="1"/>
  <c r="E32" i="7" s="1"/>
  <c r="K35" i="7"/>
  <c r="B36" i="7" s="1"/>
  <c r="E36" i="7" s="1"/>
  <c r="K27" i="7"/>
  <c r="H39" i="7"/>
  <c r="K42" i="7"/>
  <c r="B43" i="7" s="1"/>
  <c r="E43" i="7" s="1"/>
  <c r="J43" i="7" s="1"/>
  <c r="K38" i="7"/>
  <c r="B39" i="7" s="1"/>
  <c r="E39" i="7" s="1"/>
  <c r="K36" i="7"/>
  <c r="B37" i="7" s="1"/>
  <c r="E37" i="7" s="1"/>
  <c r="K34" i="7"/>
  <c r="B35" i="7" s="1"/>
  <c r="E35" i="7" s="1"/>
  <c r="K32" i="7"/>
  <c r="B33" i="7" s="1"/>
  <c r="E33" i="7" s="1"/>
  <c r="K30" i="7"/>
  <c r="B31" i="7" s="1"/>
  <c r="E31" i="7" s="1"/>
  <c r="K28" i="7"/>
  <c r="B29" i="7" s="1"/>
  <c r="E29" i="7" s="1"/>
  <c r="H41" i="7"/>
  <c r="K41" i="7"/>
  <c r="B42" i="7" s="1"/>
  <c r="E42" i="7" s="1"/>
  <c r="K37" i="7"/>
  <c r="B38" i="7" s="1"/>
  <c r="E38" i="7" s="1"/>
  <c r="J38" i="7" s="1"/>
  <c r="K29" i="7"/>
  <c r="B30" i="7" s="1"/>
  <c r="E30" i="7" s="1"/>
  <c r="G38" i="7"/>
  <c r="H28" i="7"/>
  <c r="H36" i="7"/>
  <c r="H31" i="7"/>
  <c r="J42" i="7" l="1"/>
  <c r="J34" i="7"/>
  <c r="I34" i="7" s="1"/>
  <c r="J32" i="7"/>
  <c r="I32" i="7" s="1"/>
  <c r="I38" i="7"/>
  <c r="J39" i="7"/>
  <c r="I39" i="7" s="1"/>
  <c r="J29" i="7"/>
  <c r="I29" i="7" s="1"/>
  <c r="J36" i="7"/>
  <c r="I36" i="7" s="1"/>
  <c r="J31" i="7"/>
  <c r="I31" i="7" s="1"/>
  <c r="J37" i="7"/>
  <c r="I37" i="7" s="1"/>
  <c r="G44" i="7"/>
  <c r="J33" i="7"/>
  <c r="I33" i="7" s="1"/>
  <c r="J41" i="7"/>
  <c r="I41" i="7" s="1"/>
  <c r="H43" i="7"/>
  <c r="J30" i="7"/>
  <c r="I30" i="7" s="1"/>
  <c r="B28" i="7"/>
  <c r="E28" i="7" s="1"/>
  <c r="J28" i="7" s="1"/>
  <c r="I28" i="7" s="1"/>
  <c r="J27" i="7"/>
  <c r="I27" i="7" s="1"/>
  <c r="I42" i="7"/>
  <c r="J35" i="7"/>
  <c r="I35" i="7" s="1"/>
  <c r="G43" i="7" l="1"/>
</calcChain>
</file>

<file path=xl/sharedStrings.xml><?xml version="1.0" encoding="utf-8"?>
<sst xmlns="http://schemas.openxmlformats.org/spreadsheetml/2006/main" count="1277" uniqueCount="325">
  <si>
    <t>Table 18--U.S. corn and sorghum exports (1,000 bushels)</t>
  </si>
  <si>
    <t>Export and mkt yr 1/</t>
  </si>
  <si>
    <t>Sep</t>
  </si>
  <si>
    <t>Oct</t>
  </si>
  <si>
    <t>Nov</t>
  </si>
  <si>
    <t>Dec</t>
  </si>
  <si>
    <t>Jan</t>
  </si>
  <si>
    <t>Feb</t>
  </si>
  <si>
    <t>Mar</t>
  </si>
  <si>
    <t>Apr</t>
  </si>
  <si>
    <t>May</t>
  </si>
  <si>
    <t>Jun</t>
  </si>
  <si>
    <t>Jul</t>
  </si>
  <si>
    <t>Aug</t>
  </si>
  <si>
    <t>Annual</t>
  </si>
  <si>
    <t>Corn grain</t>
  </si>
  <si>
    <t>1988/89</t>
  </si>
  <si>
    <t>1989/90</t>
  </si>
  <si>
    <t>1990/91</t>
  </si>
  <si>
    <t>1991/92</t>
  </si>
  <si>
    <t>1992/93</t>
  </si>
  <si>
    <t>1993/94</t>
  </si>
  <si>
    <t>1994/95</t>
  </si>
  <si>
    <t>1995/96</t>
  </si>
  <si>
    <t>1996/97</t>
  </si>
  <si>
    <t>1997/98</t>
  </si>
  <si>
    <t>1998/99</t>
  </si>
  <si>
    <t>1999/00</t>
  </si>
  <si>
    <t>2000/01</t>
  </si>
  <si>
    <t>2001/02</t>
  </si>
  <si>
    <t>2002/03</t>
  </si>
  <si>
    <t>2003/04</t>
  </si>
  <si>
    <t>2004/05</t>
  </si>
  <si>
    <t>2005/06</t>
  </si>
  <si>
    <t>2006/07</t>
  </si>
  <si>
    <t>2007/08</t>
  </si>
  <si>
    <t>2008/09</t>
  </si>
  <si>
    <t>2009/10</t>
  </si>
  <si>
    <t>2010/11</t>
  </si>
  <si>
    <t>2011/12</t>
  </si>
  <si>
    <t>2012/13</t>
  </si>
  <si>
    <t>2013/14</t>
  </si>
  <si>
    <t>2014/15</t>
  </si>
  <si>
    <t>2015/16</t>
  </si>
  <si>
    <t>2016/17</t>
  </si>
  <si>
    <t>2017/18</t>
  </si>
  <si>
    <t>Corn total 2/</t>
  </si>
  <si>
    <t>Sorghum total 3/</t>
  </si>
  <si>
    <t>1/ September-August.
2/ Includes whole grain (white, yellow, seed, relief), dry-processed corn (cornmeal for relief, as grain, grits), and wet-processed corn (corn starch, sugar dextrose,</t>
  </si>
  <si>
    <t>glucose, high fructose).
3/ Includes seed and unmilled.
Source: U.S. Department of Commerce, Bureau of the Census, Foreign Trade Statistics; and ERS calculations using Census trade statistics.</t>
  </si>
  <si>
    <t>Date run: 2/9/2018</t>
  </si>
  <si>
    <t>Source: from USDA Feed Grains Yearbook</t>
  </si>
  <si>
    <t>Table 19--U.S. barley and oats exports (bushels)</t>
  </si>
  <si>
    <t>Export and
 mkt yr 1/</t>
  </si>
  <si>
    <t xml:space="preserve">
 Annual</t>
  </si>
  <si>
    <t>Barley total 2/</t>
  </si>
  <si>
    <t>Oats total 3/</t>
  </si>
  <si>
    <t>1/ June-May.
2/ Includes grain (barley for malting, other) and malted barley.</t>
  </si>
  <si>
    <t>3/ Includes grain, oatmeal (bulk and packaged), and other oat products.
Source: U.S. Department of Commerce, Bureau of the Census, Foreign Trade Statistics; and ERS calculations using Census trade statistics.</t>
  </si>
  <si>
    <t>MT</t>
  </si>
  <si>
    <t>Wheat</t>
  </si>
  <si>
    <t>Oats</t>
  </si>
  <si>
    <t>Barley</t>
  </si>
  <si>
    <t>Rye</t>
  </si>
  <si>
    <t>bushels/tonne EQUIVALENT</t>
  </si>
  <si>
    <t>United States Department of Agriculture</t>
  </si>
  <si>
    <t>Foreign Agricultural Service</t>
  </si>
  <si>
    <t>Area/Partners of Destination                         January - December</t>
  </si>
  <si>
    <t/>
  </si>
  <si>
    <t>Partner</t>
  </si>
  <si>
    <t>Product</t>
  </si>
  <si>
    <t>UOM</t>
  </si>
  <si>
    <t>Qty</t>
  </si>
  <si>
    <t>Period/Period %  Change (Qty)</t>
  </si>
  <si>
    <t xml:space="preserve">  World Total</t>
  </si>
  <si>
    <t xml:space="preserve">MT   </t>
  </si>
  <si>
    <t>Grand Total</t>
  </si>
  <si>
    <t>Notes:</t>
  </si>
  <si>
    <t>1. Data Source: U.S. Census Bureau Trade Data</t>
  </si>
  <si>
    <t>2. Users should use cautious interpretation on QUANTITY reports using mixed units of measure. QUANTITY line items will only include statistics on the units of measure that are equal to, or are able to be converted to, the assigned unit of measure of the grouped commodities.</t>
  </si>
  <si>
    <t>3. Product Group : FAS &amp;#40;Agricultural&amp;#41;</t>
  </si>
  <si>
    <t>Table 5--All wheat: supply and disappearance (million bushels)</t>
  </si>
  <si>
    <t>Mkt year and qtr 1/</t>
  </si>
  <si>
    <t>Supply</t>
  </si>
  <si>
    <t>Disappearance</t>
  </si>
  <si>
    <t>Domestic use</t>
  </si>
  <si>
    <t>Beginning stocks</t>
  </si>
  <si>
    <t>Production</t>
  </si>
  <si>
    <t>Imports 2/</t>
  </si>
  <si>
    <t>Total supply 3/</t>
  </si>
  <si>
    <t>Food use</t>
  </si>
  <si>
    <t>Seed use</t>
  </si>
  <si>
    <t>Feed and residual use</t>
  </si>
  <si>
    <t>Total domestic use 3/</t>
  </si>
  <si>
    <t>Exports 2/</t>
  </si>
  <si>
    <t>Total disappearance 3/</t>
  </si>
  <si>
    <t>Ending stocks</t>
  </si>
  <si>
    <t>1950/51</t>
  </si>
  <si>
    <t>MY Jun-May</t>
  </si>
  <si>
    <t>--</t>
  </si>
  <si>
    <t>1951/52</t>
  </si>
  <si>
    <t>1952/53</t>
  </si>
  <si>
    <t>1953/54</t>
  </si>
  <si>
    <t>1954/55</t>
  </si>
  <si>
    <t>1955/56</t>
  </si>
  <si>
    <t>1956/57</t>
  </si>
  <si>
    <t>1957/58</t>
  </si>
  <si>
    <t>1958/59</t>
  </si>
  <si>
    <t>1959/60</t>
  </si>
  <si>
    <t>1960/61</t>
  </si>
  <si>
    <t>1961/62</t>
  </si>
  <si>
    <t>1962/63</t>
  </si>
  <si>
    <t>1963/64</t>
  </si>
  <si>
    <t>1964/65</t>
  </si>
  <si>
    <t>1965/66</t>
  </si>
  <si>
    <t>1966/67</t>
  </si>
  <si>
    <t>1967/68</t>
  </si>
  <si>
    <t>1968/69</t>
  </si>
  <si>
    <t>1969/70</t>
  </si>
  <si>
    <t>1970/71</t>
  </si>
  <si>
    <t>1971/72</t>
  </si>
  <si>
    <t>1972/73</t>
  </si>
  <si>
    <t>1973/74</t>
  </si>
  <si>
    <t>1974/75</t>
  </si>
  <si>
    <t>1975/76</t>
  </si>
  <si>
    <t>Q1 Jun-Aug</t>
  </si>
  <si>
    <t>Q2 Sep-Nov</t>
  </si>
  <si>
    <t>Q3 Dec-Feb</t>
  </si>
  <si>
    <t>Q4 Mar-May</t>
  </si>
  <si>
    <t>1976/77</t>
  </si>
  <si>
    <t>1977/78</t>
  </si>
  <si>
    <t>1978/79</t>
  </si>
  <si>
    <t>1979/80</t>
  </si>
  <si>
    <t>1980/81</t>
  </si>
  <si>
    <t>1981/82</t>
  </si>
  <si>
    <t>1982/83</t>
  </si>
  <si>
    <t>1983/84</t>
  </si>
  <si>
    <t>1984/85</t>
  </si>
  <si>
    <t>1985/86</t>
  </si>
  <si>
    <t>1986/87</t>
  </si>
  <si>
    <t>1987/88</t>
  </si>
  <si>
    <t>1/ June-May. Latest data may be preliminary or projected.
2/ Includes flour and selected other products expressed in grain-equivalent bushels.
3/ Totals may not add due to rounding.
Source: USDA, World Agricultural Outlook Board, World Agricultural Supply and Demand Estimates and supporting materials.</t>
  </si>
  <si>
    <t>Date run: 4/11/2018</t>
  </si>
  <si>
    <t>Table 12--Rye: supply and disappearance (million bushels)</t>
  </si>
  <si>
    <t>Mkt year 1/</t>
  </si>
  <si>
    <t>Production 2/</t>
  </si>
  <si>
    <t>Imports</t>
  </si>
  <si>
    <t>Industrial use 4/</t>
  </si>
  <si>
    <t>Exports</t>
  </si>
  <si>
    <t>1/ June-May. Latest data may be preliminary or projected.
2/ As of marketing year 2000, Colorado, Indiana, Maryland, New Jersey, and Virginia are no longer included in national production estimates.
3/ Totals may not add due to rounding.
4/ Includes commercial adhesives, packaging materials, thatching, mattresses, hats, and paper.
Source: USDA, World Agricultural Outlook Board, World Agricultural Supply and Demand Estimates supporting materials cleared by the Wheat Interagency Commodity Estimates Committee.</t>
  </si>
  <si>
    <t>Beginning</t>
  </si>
  <si>
    <t>stocks</t>
  </si>
  <si>
    <t>Total</t>
  </si>
  <si>
    <t xml:space="preserve">1997/98 </t>
  </si>
  <si>
    <t xml:space="preserve">1998/99 </t>
  </si>
  <si>
    <t xml:space="preserve">1999/00 </t>
  </si>
  <si>
    <t>Table 3--Soybeans:  Supply, disappearance, and price, U.S., 1980/81-2017/18</t>
  </si>
  <si>
    <t xml:space="preserve">  Year</t>
  </si>
  <si>
    <t>Price</t>
  </si>
  <si>
    <t>beginning</t>
  </si>
  <si>
    <t>Seed, feed</t>
  </si>
  <si>
    <t>Ending</t>
  </si>
  <si>
    <t>Season-average</t>
  </si>
  <si>
    <t>September 1</t>
  </si>
  <si>
    <t>Total 1/</t>
  </si>
  <si>
    <t>Crush</t>
  </si>
  <si>
    <t>and</t>
  </si>
  <si>
    <t>received</t>
  </si>
  <si>
    <t>residual</t>
  </si>
  <si>
    <t>by farmers</t>
  </si>
  <si>
    <t>Million bushels</t>
  </si>
  <si>
    <t>$/bushel</t>
  </si>
  <si>
    <t>9.00-9.60</t>
  </si>
  <si>
    <t>1/ Total supply includes imports.  2/ Forecast.</t>
  </si>
  <si>
    <r>
      <t xml:space="preserve">Sources: USDA, Economic Research Service using data from USDA, National Agricultural Statistics Service, </t>
    </r>
    <r>
      <rPr>
        <i/>
        <sz val="8"/>
        <rFont val="Helvetica"/>
        <family val="2"/>
      </rPr>
      <t>Crop Production</t>
    </r>
    <r>
      <rPr>
        <sz val="8"/>
        <rFont val="Helvetica"/>
        <family val="2"/>
      </rPr>
      <t xml:space="preserve">, </t>
    </r>
    <r>
      <rPr>
        <i/>
        <sz val="8"/>
        <rFont val="Helvetica"/>
        <family val="2"/>
      </rPr>
      <t>Grain Stocks</t>
    </r>
    <r>
      <rPr>
        <sz val="8"/>
        <rFont val="Helvetica"/>
        <family val="2"/>
      </rPr>
      <t xml:space="preserve"> and</t>
    </r>
    <r>
      <rPr>
        <i/>
        <sz val="8"/>
        <rFont val="Helvetica"/>
        <family val="2"/>
      </rPr>
      <t/>
    </r>
  </si>
  <si>
    <r>
      <rPr>
        <i/>
        <sz val="8"/>
        <rFont val="Helvetica"/>
        <family val="2"/>
      </rPr>
      <t xml:space="preserve"> Fats &amp; Oils: Oilseed Crushings</t>
    </r>
    <r>
      <rPr>
        <sz val="8"/>
        <rFont val="Helvetica"/>
        <family val="2"/>
      </rPr>
      <t xml:space="preserve">, </t>
    </r>
    <r>
      <rPr>
        <i/>
        <sz val="8"/>
        <rFont val="Helvetica"/>
        <family val="2"/>
      </rPr>
      <t>Agricultural Prices</t>
    </r>
    <r>
      <rPr>
        <sz val="8"/>
        <rFont val="Helvetica"/>
        <family val="2"/>
      </rPr>
      <t xml:space="preserve">, and USDA, Foreign Agricultural Service, </t>
    </r>
    <r>
      <rPr>
        <i/>
        <sz val="8"/>
        <rFont val="Helvetica"/>
        <family val="2"/>
      </rPr>
      <t>Global Agricultural Trade System</t>
    </r>
    <r>
      <rPr>
        <sz val="8"/>
        <rFont val="Helvetica"/>
        <family val="2"/>
      </rPr>
      <t>.</t>
    </r>
  </si>
  <si>
    <t>Last updated: March 30, 2018</t>
  </si>
  <si>
    <t>canned</t>
  </si>
  <si>
    <t>processed potatoes</t>
  </si>
  <si>
    <t>chip</t>
  </si>
  <si>
    <t>dehydrated</t>
  </si>
  <si>
    <t>frozen</t>
  </si>
  <si>
    <t>in million lbs</t>
  </si>
  <si>
    <t>total in kg</t>
  </si>
  <si>
    <t>total in million lbs</t>
  </si>
  <si>
    <t>fresh potatoes</t>
  </si>
  <si>
    <t>Totals</t>
  </si>
  <si>
    <t xml:space="preserve"> </t>
  </si>
  <si>
    <t>in kg</t>
  </si>
  <si>
    <t>comparable to GATS</t>
  </si>
  <si>
    <r>
      <t>Table 34--U.S. fresh potatoes: supply, utilization, &amp; price, farm weight, 1970-2017</t>
    </r>
    <r>
      <rPr>
        <vertAlign val="superscript"/>
        <sz val="10"/>
        <color theme="1"/>
        <rFont val="Calibri"/>
        <family val="2"/>
        <scheme val="minor"/>
      </rPr>
      <t>1</t>
    </r>
  </si>
  <si>
    <t xml:space="preserve"> -------------------- Supply  --------------------</t>
  </si>
  <si>
    <t xml:space="preserve"> ---------------- Availability ----------------</t>
  </si>
  <si>
    <t xml:space="preserve"> -- Season Average Price  --</t>
  </si>
  <si>
    <t xml:space="preserve">Year </t>
  </si>
  <si>
    <r>
      <t>Production</t>
    </r>
    <r>
      <rPr>
        <b/>
        <vertAlign val="superscript"/>
        <sz val="10"/>
        <color theme="1"/>
        <rFont val="Calibri"/>
        <family val="2"/>
        <scheme val="minor"/>
      </rPr>
      <t xml:space="preserve">1 </t>
    </r>
  </si>
  <si>
    <r>
      <t>Imports</t>
    </r>
    <r>
      <rPr>
        <b/>
        <vertAlign val="superscript"/>
        <sz val="10"/>
        <color theme="1"/>
        <rFont val="Calibri"/>
        <family val="2"/>
        <scheme val="minor"/>
      </rPr>
      <t>2</t>
    </r>
  </si>
  <si>
    <t xml:space="preserve">Total Supply </t>
  </si>
  <si>
    <r>
      <t>Exports</t>
    </r>
    <r>
      <rPr>
        <b/>
        <vertAlign val="superscript"/>
        <sz val="10"/>
        <color theme="1"/>
        <rFont val="Calibri"/>
        <family val="2"/>
        <scheme val="minor"/>
      </rPr>
      <t>2</t>
    </r>
  </si>
  <si>
    <r>
      <t>Domestic Availability</t>
    </r>
    <r>
      <rPr>
        <b/>
        <vertAlign val="superscript"/>
        <sz val="10"/>
        <color theme="1"/>
        <rFont val="Calibri"/>
        <family val="2"/>
        <scheme val="minor"/>
      </rPr>
      <t xml:space="preserve"> </t>
    </r>
  </si>
  <si>
    <t>Per Capita Availability</t>
  </si>
  <si>
    <r>
      <t>Current Dollars</t>
    </r>
    <r>
      <rPr>
        <b/>
        <vertAlign val="superscript"/>
        <sz val="10"/>
        <color theme="1"/>
        <rFont val="Calibri"/>
        <family val="2"/>
        <scheme val="minor"/>
      </rPr>
      <t>3</t>
    </r>
  </si>
  <si>
    <r>
      <t>Constant 2009 Dollars</t>
    </r>
    <r>
      <rPr>
        <b/>
        <vertAlign val="superscript"/>
        <sz val="10"/>
        <color theme="1"/>
        <rFont val="Calibri"/>
        <family val="2"/>
        <scheme val="minor"/>
      </rPr>
      <t>4</t>
    </r>
  </si>
  <si>
    <t xml:space="preserve"> --------------------------------- Million pounds --------------------------------- </t>
  </si>
  <si>
    <t xml:space="preserve"> -- Pounds --</t>
  </si>
  <si>
    <t xml:space="preserve"> ------------- $/cwt -------------</t>
  </si>
  <si>
    <t>-- = Not available. Cwt = hundredweight. Most recent year is preliminary.</t>
  </si>
  <si>
    <t xml:space="preserve">1/ Source: USDA, National Agricultural Statistics Service. Crop year utilization for the past season and the current season distributed on a calendar year </t>
  </si>
  <si>
    <t xml:space="preserve">     basis using NASS potato marketing distributions. </t>
  </si>
  <si>
    <t xml:space="preserve">2/ Source: U.S. Department of Commerce,  U.S. Census  Bureau. </t>
  </si>
  <si>
    <t>3/ Source: USDA, NASS and includes fresh-market potatoes only. Current year estimated by ERS using monthly NASS data.</t>
  </si>
  <si>
    <t xml:space="preserve">4/ Deflated by the GDP implicit price deflator, 2009=100.  </t>
  </si>
  <si>
    <t xml:space="preserve">Source: USDA, Economic Research Service. </t>
  </si>
  <si>
    <r>
      <t>Table 61--U.S. potatoes for canning: supply, utilization, &amp; price, farm weight, 1970-2017</t>
    </r>
    <r>
      <rPr>
        <vertAlign val="superscript"/>
        <sz val="10"/>
        <color theme="1"/>
        <rFont val="Calibri"/>
        <family val="2"/>
        <scheme val="minor"/>
      </rPr>
      <t>1</t>
    </r>
  </si>
  <si>
    <t xml:space="preserve"> -------------------- Supply  -------------------</t>
  </si>
  <si>
    <t xml:space="preserve"> ------------------ Availability -------------------</t>
  </si>
  <si>
    <r>
      <t>Production</t>
    </r>
    <r>
      <rPr>
        <b/>
        <vertAlign val="superscript"/>
        <sz val="10"/>
        <color theme="1"/>
        <rFont val="Calibri"/>
        <family val="2"/>
        <scheme val="minor"/>
      </rPr>
      <t xml:space="preserve">2 </t>
    </r>
  </si>
  <si>
    <r>
      <t>Imports</t>
    </r>
    <r>
      <rPr>
        <b/>
        <vertAlign val="superscript"/>
        <sz val="10"/>
        <color theme="1"/>
        <rFont val="Calibri"/>
        <family val="2"/>
        <scheme val="minor"/>
      </rPr>
      <t>3</t>
    </r>
  </si>
  <si>
    <r>
      <t>Exports</t>
    </r>
    <r>
      <rPr>
        <b/>
        <vertAlign val="superscript"/>
        <sz val="10"/>
        <color theme="1"/>
        <rFont val="Calibri"/>
        <family val="2"/>
        <scheme val="minor"/>
      </rPr>
      <t>3</t>
    </r>
  </si>
  <si>
    <t xml:space="preserve">----------------------------------- Million pounds ----------------------------------- </t>
  </si>
  <si>
    <t xml:space="preserve">1/ Price data not available. </t>
  </si>
  <si>
    <t xml:space="preserve">2/ Source: USDA, National Agricultural Statistics Service. Represents marketings from 2 crop years (t-1, t) within the given </t>
  </si>
  <si>
    <t xml:space="preserve">     calendar year. </t>
  </si>
  <si>
    <t xml:space="preserve">3/ Source: U.S. Department of Commerce,  U.S. Census  Bureau. All product-weight data have been converted to a fresh (farm) </t>
  </si>
  <si>
    <t xml:space="preserve">     weight using a factor of 1.572.</t>
  </si>
  <si>
    <r>
      <t>Table 62--U.S. potatoes for chips &amp; shoestrings: supply, utilization, &amp; price, farm weight, 1970-2017</t>
    </r>
    <r>
      <rPr>
        <vertAlign val="superscript"/>
        <sz val="10"/>
        <color theme="1"/>
        <rFont val="Calibri"/>
        <family val="2"/>
        <scheme val="minor"/>
      </rPr>
      <t>1</t>
    </r>
  </si>
  <si>
    <t xml:space="preserve">     weight using a factor of 4 through 1989. In 1990, conversion factor was changed to 4.08. Prior to 1978, potato chip exports </t>
  </si>
  <si>
    <t xml:space="preserve">     included corn chips. Includes chips produced from reconstituted potatoes. </t>
  </si>
  <si>
    <r>
      <t>Table 63--U.S. potatoes for dehydration: supply, utilization, &amp; price, farm weight, 1970-2017</t>
    </r>
    <r>
      <rPr>
        <vertAlign val="superscript"/>
        <sz val="10"/>
        <color theme="1"/>
        <rFont val="Calibri"/>
        <family val="2"/>
        <scheme val="minor"/>
      </rPr>
      <t>1</t>
    </r>
  </si>
  <si>
    <t xml:space="preserve">     weight using a factor of 6.5 after 1978. Prior to 1978, factors were 7.1 for flakes/granules and 8.0 for other dried. </t>
  </si>
  <si>
    <t xml:space="preserve">     Excludes starch.</t>
  </si>
  <si>
    <r>
      <t>Table 64--U.S. potatoes for freezing: supply &amp; availability, 1970-2017</t>
    </r>
    <r>
      <rPr>
        <vertAlign val="superscript"/>
        <sz val="10"/>
        <color theme="1"/>
        <rFont val="Calibri"/>
        <family val="2"/>
        <scheme val="minor"/>
      </rPr>
      <t>1</t>
    </r>
  </si>
  <si>
    <t xml:space="preserve"> ------------------------------ Supply  -----------------------------</t>
  </si>
  <si>
    <t xml:space="preserve"> ---------------------------- Availability -----------------------------</t>
  </si>
  <si>
    <r>
      <t>Beginning Stocks</t>
    </r>
    <r>
      <rPr>
        <b/>
        <vertAlign val="superscript"/>
        <sz val="10"/>
        <color theme="1"/>
        <rFont val="Calibri"/>
        <family val="2"/>
        <scheme val="minor"/>
      </rPr>
      <t>2</t>
    </r>
  </si>
  <si>
    <r>
      <t>Ending Stocks</t>
    </r>
    <r>
      <rPr>
        <b/>
        <vertAlign val="superscript"/>
        <sz val="10"/>
        <color theme="1"/>
        <rFont val="Calibri"/>
        <family val="2"/>
        <scheme val="minor"/>
      </rPr>
      <t>2</t>
    </r>
  </si>
  <si>
    <t xml:space="preserve">------------------------------------------------------- Million pounds ------------------------------------------------------- </t>
  </si>
  <si>
    <t xml:space="preserve">2/ Source: USDA, National Agricultural Statistics Service. Represents marketings from 2 crop years (t-1, t) within the given calendar year. </t>
  </si>
  <si>
    <t>3/ Source: U.S. Department of Commerce,  U.S. Census  Bureau. All product-weight data have been converted to a fresh (farm) weight using a factor of 2.0.</t>
  </si>
  <si>
    <t>Grain Sorghum</t>
  </si>
  <si>
    <t>And Commodities Exported                         Cumulative To Date Quantities</t>
  </si>
  <si>
    <t>Jan - Mar 2017</t>
  </si>
  <si>
    <t>Jan - Mar 2018</t>
  </si>
  <si>
    <t>kg alfalfa hay exported</t>
  </si>
  <si>
    <t>kg other hay exported</t>
  </si>
  <si>
    <t>only had estimates/data from 2002 and 2007, averaged for all other years as a placeholder</t>
  </si>
  <si>
    <t>crop</t>
  </si>
  <si>
    <t>Corn</t>
  </si>
  <si>
    <t>Sorghum</t>
  </si>
  <si>
    <t>Soybeans</t>
  </si>
  <si>
    <t>Yearbook Table 12:  U.S. rice exports by type, 1977/78 to present 1/</t>
  </si>
  <si>
    <t xml:space="preserve">Crop </t>
  </si>
  <si>
    <t>Regular-milled</t>
  </si>
  <si>
    <t>Brown</t>
  </si>
  <si>
    <t>Rough</t>
  </si>
  <si>
    <t>Processed</t>
  </si>
  <si>
    <t xml:space="preserve">year </t>
  </si>
  <si>
    <t>white rice</t>
  </si>
  <si>
    <t>rice</t>
  </si>
  <si>
    <t>Parboiled</t>
  </si>
  <si>
    <t>Brokens</t>
  </si>
  <si>
    <t>products  2/</t>
  </si>
  <si>
    <t>Total 3/</t>
  </si>
  <si>
    <t xml:space="preserve">  - - - - - - - - 1,000 metric tons - - - - - - - </t>
  </si>
  <si>
    <t>N/A</t>
  </si>
  <si>
    <t xml:space="preserve">  N/A = Not reported. 1/  Shipments reported on a product-weight basis.  2/ Rice flour, groats, and  meal.  This category was not reported separately </t>
  </si>
  <si>
    <t>until 1988/89.  Estimates of total shipments prior to 1988/89 do not include this category of exports.</t>
  </si>
  <si>
    <t>3/  Categories may not sum to totals due to overlapping classifications.</t>
  </si>
  <si>
    <t xml:space="preserve">  Source: USDA, Economic Research Service using data from the Foreign Agricultural Service, Global Agricultural Information Network,</t>
  </si>
  <si>
    <t>Begin-</t>
  </si>
  <si>
    <t>Seed, loss,</t>
  </si>
  <si>
    <t>per capita</t>
  </si>
  <si>
    <t>ning</t>
  </si>
  <si>
    <t>Food</t>
  </si>
  <si>
    <t>shrinkage,</t>
  </si>
  <si>
    <t>(shelled basis)</t>
  </si>
  <si>
    <t>August 1</t>
  </si>
  <si>
    <t>by</t>
  </si>
  <si>
    <t xml:space="preserve">                                                                                  residual           farmers</t>
  </si>
  <si>
    <t>residual 1/</t>
  </si>
  <si>
    <t>farmers</t>
  </si>
  <si>
    <t>---------------------------------------------------------- Million pounds----------------------------------------------------------</t>
  </si>
  <si>
    <t>Cents/lb.</t>
  </si>
  <si>
    <t>Pounds</t>
  </si>
  <si>
    <t>Table 8--Dried distillers grain with solubles: Supply and disappearance</t>
  </si>
  <si>
    <t>Source: https://www.ers.usda.gov/data-products/us-bioenergy-statistics/us-bioenergy-statistics/#Supply and Disappearance</t>
  </si>
  <si>
    <r>
      <t>Production</t>
    </r>
    <r>
      <rPr>
        <vertAlign val="superscript"/>
        <sz val="10"/>
        <color indexed="8"/>
        <rFont val="Arial"/>
        <family val="2"/>
      </rPr>
      <t>2</t>
    </r>
  </si>
  <si>
    <t>Import</t>
  </si>
  <si>
    <t>Feed and residual</t>
  </si>
  <si>
    <t>Total disappearance</t>
  </si>
  <si>
    <r>
      <t>Marketing Year</t>
    </r>
    <r>
      <rPr>
        <vertAlign val="superscript"/>
        <sz val="10"/>
        <color indexed="8"/>
        <rFont val="Arial"/>
        <family val="2"/>
      </rPr>
      <t>1</t>
    </r>
  </si>
  <si>
    <t>Ethanol plants</t>
  </si>
  <si>
    <t>Beverage distillers</t>
  </si>
  <si>
    <r>
      <t>Brewers' and distillers' dregs and wastes</t>
    </r>
    <r>
      <rPr>
        <vertAlign val="superscript"/>
        <sz val="10"/>
        <color indexed="8"/>
        <rFont val="Arial"/>
        <family val="2"/>
      </rPr>
      <t>3</t>
    </r>
  </si>
  <si>
    <r>
      <t>Brewers' and distiller's dregs and wastes</t>
    </r>
    <r>
      <rPr>
        <vertAlign val="superscript"/>
        <sz val="10"/>
        <color indexed="8"/>
        <rFont val="Arial"/>
        <family val="2"/>
      </rPr>
      <t>3</t>
    </r>
  </si>
  <si>
    <t>Million Metric Tons</t>
  </si>
  <si>
    <t xml:space="preserve">2008/09 </t>
  </si>
  <si>
    <t xml:space="preserve">2009/10 </t>
  </si>
  <si>
    <r>
      <t>1</t>
    </r>
    <r>
      <rPr>
        <sz val="8"/>
        <color indexed="8"/>
        <rFont val="Arial"/>
        <family val="2"/>
      </rPr>
      <t xml:space="preserve"> September-August. </t>
    </r>
  </si>
  <si>
    <r>
      <t>2</t>
    </r>
    <r>
      <rPr>
        <sz val="8"/>
        <color indexed="8"/>
        <rFont val="Arial"/>
        <family val="2"/>
      </rPr>
      <t xml:space="preserve">Distllers' spent grains-do not account for non-corn spent grains from  dry or wet ethanol plants. </t>
    </r>
  </si>
  <si>
    <r>
      <t>3</t>
    </r>
    <r>
      <rPr>
        <sz val="8"/>
        <color indexed="8"/>
        <rFont val="Arial"/>
        <family val="2"/>
      </rPr>
      <t xml:space="preserve"> Assumes brewers' spent grains are minor and may contain non-corn brewers' and distillers' dregs and wastes.  </t>
    </r>
  </si>
  <si>
    <r>
      <rPr>
        <vertAlign val="superscript"/>
        <sz val="8"/>
        <rFont val="Arial"/>
        <family val="2"/>
      </rPr>
      <t>4</t>
    </r>
    <r>
      <rPr>
        <sz val="8"/>
        <rFont val="Arial"/>
        <family val="2"/>
      </rPr>
      <t xml:space="preserve">  This table is computed from estimates contained in the </t>
    </r>
    <r>
      <rPr>
        <i/>
        <sz val="8"/>
        <rFont val="Arial"/>
        <family val="2"/>
      </rPr>
      <t>WASDE</t>
    </r>
    <r>
      <rPr>
        <sz val="8"/>
        <color indexed="8"/>
        <rFont val="Arial"/>
        <family val="2"/>
      </rPr>
      <t xml:space="preserve"> and</t>
    </r>
    <r>
      <rPr>
        <i/>
        <sz val="8"/>
        <rFont val="Arial"/>
        <family val="2"/>
      </rPr>
      <t xml:space="preserve"> Feed Grains Database for the month prior to the update date</t>
    </r>
    <r>
      <rPr>
        <sz val="8"/>
        <color indexed="8"/>
        <rFont val="Arial"/>
        <family val="2"/>
      </rPr>
      <t xml:space="preserve">. </t>
    </r>
  </si>
  <si>
    <t xml:space="preserve">Source: USDA-World Agriculturual Supply and Demand  Estimates, Decemer 12, 2017, and Economic Research Service.  </t>
  </si>
  <si>
    <t>Updated January 2018.</t>
  </si>
  <si>
    <t>&lt;&lt;from republished FAS data</t>
  </si>
  <si>
    <t>https://hayandforage.com/article-1791-hay-exports-hit-record-high.html</t>
  </si>
  <si>
    <t>kg/bushel</t>
  </si>
  <si>
    <t>2018/19</t>
  </si>
  <si>
    <t>Table updated March 20, 2020.</t>
  </si>
  <si>
    <t>Table 11--Peanuts (farmers' stock basis): Supply, disappearance, and price, U.S., 1980/81-2019/20</t>
  </si>
  <si>
    <t xml:space="preserve">2000/01  </t>
  </si>
  <si>
    <t xml:space="preserve">2003/04  </t>
  </si>
  <si>
    <t xml:space="preserve">2007/08 </t>
  </si>
  <si>
    <t xml:space="preserve">2011/12 </t>
  </si>
  <si>
    <t xml:space="preserve">2013/14  </t>
  </si>
  <si>
    <t xml:space="preserve">2014/15 </t>
  </si>
  <si>
    <t xml:space="preserve">2015/16 </t>
  </si>
  <si>
    <t xml:space="preserve">2017/18 </t>
  </si>
  <si>
    <t xml:space="preserve">2018/19 </t>
  </si>
  <si>
    <t>2019/20 2/</t>
  </si>
  <si>
    <t>1/ Estimates for farm use and local sales are not available, so these are now included in residual use.  2/ Forecast</t>
  </si>
  <si>
    <r>
      <t xml:space="preserve">Sources: USDA, Economic Research Service using data from USDA, National Agricultural Statistics Service, </t>
    </r>
    <r>
      <rPr>
        <i/>
        <sz val="8"/>
        <rFont val="Helvetica"/>
        <family val="2"/>
      </rPr>
      <t>Crop Production</t>
    </r>
    <r>
      <rPr>
        <sz val="8"/>
        <rFont val="Helvetica"/>
        <family val="2"/>
      </rPr>
      <t xml:space="preserve"> and </t>
    </r>
    <r>
      <rPr>
        <i/>
        <sz val="8"/>
        <rFont val="Helvetica"/>
        <family val="2"/>
      </rPr>
      <t/>
    </r>
  </si>
  <si>
    <r>
      <rPr>
        <i/>
        <sz val="8"/>
        <rFont val="Helvetica"/>
        <family val="2"/>
      </rPr>
      <t>Peanut Stocks and Processing</t>
    </r>
    <r>
      <rPr>
        <sz val="8"/>
        <rFont val="Helvetica"/>
        <family val="2"/>
      </rPr>
      <t xml:space="preserve"> and Agricultural Prices and USDA, Foreign Agricultural Service, </t>
    </r>
    <r>
      <rPr>
        <i/>
        <sz val="8"/>
        <rFont val="Helvetica"/>
        <family val="2"/>
      </rPr>
      <t>Global Agricultural Trade System</t>
    </r>
    <r>
      <rPr>
        <sz val="8"/>
        <rFont val="Helvetica"/>
        <family val="2"/>
      </rPr>
      <t>.</t>
    </r>
  </si>
  <si>
    <t>Last updated: March 27, 2020.</t>
  </si>
  <si>
    <t>2019/20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</si>
</sst>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7">
    <numFmt numFmtId="43" formatCode="_(* #,##0.00_);_(* \(#,##0.00\);_(* &quot;-&quot;??_);_(@_)"/>
    <numFmt numFmtId="164" formatCode="[$-10409]###,###"/>
    <numFmt numFmtId="165" formatCode="mmmm\ dd\,\ yyyy"/>
    <numFmt numFmtId="166" formatCode="[$-10409]###,###.#0"/>
    <numFmt numFmtId="167" formatCode="[$-10409]##.#0"/>
    <numFmt numFmtId="168" formatCode="0.0"/>
    <numFmt numFmtId="169" formatCode="#,##0_______)"/>
    <numFmt numFmtId="170" formatCode="#,##0.00_______)"/>
    <numFmt numFmtId="171" formatCode="#,##0.0"/>
    <numFmt numFmtId="172" formatCode="General_)"/>
    <numFmt numFmtId="173" formatCode="_(* #,##0.0_);_(* \(#,##0.0\);_(* &quot;-&quot;??_);_(@_)"/>
    <numFmt numFmtId="174" formatCode="&quot;Updated &quot;mmm\-yyyy"/>
    <numFmt numFmtId="175" formatCode="_(* #,##0.0000_);_(* \(#,##0.0000\);_(* &quot;-&quot;??_);_(@_)"/>
    <numFmt numFmtId="176" formatCode="#,##0___)"/>
    <numFmt numFmtId="177" formatCode="#,##0_____)"/>
    <numFmt numFmtId="178" formatCode="#,##0.0___)"/>
    <numFmt numFmtId="179" formatCode="#,##0___________________)"/>
  </numFmts>
  <fonts count="38">
    <font>
      <sz val="12"/>
      <color theme="1"/>
      <name val="Calibri"/>
      <family val="2"/>
      <scheme val="minor"/>
    </font>
    <font>
      <sz val="10"/>
      <name val="Arial"/>
      <family val="2"/>
    </font>
    <font>
      <sz val="8"/>
      <color indexed="8"/>
      <name val="Arial"/>
      <family val="2"/>
    </font>
    <font>
      <i/>
      <sz val="5.95"/>
      <color indexed="8"/>
      <name val="Arial"/>
      <family val="2"/>
    </font>
    <font>
      <b/>
      <sz val="12"/>
      <color rgb="FF000000"/>
      <name val="Arial"/>
      <family val="2"/>
    </font>
    <font>
      <sz val="12"/>
      <color rgb="FF222222"/>
      <name val="Arial"/>
      <family val="2"/>
    </font>
    <font>
      <sz val="10"/>
      <name val="Arial"/>
      <family val="2"/>
    </font>
    <font>
      <sz val="8"/>
      <color indexed="8"/>
      <name val="Arial"/>
      <family val="2"/>
    </font>
    <font>
      <b/>
      <sz val="10"/>
      <name val="Arial"/>
      <family val="2"/>
    </font>
    <font>
      <i/>
      <sz val="8"/>
      <color indexed="8"/>
      <name val="Arial"/>
      <family val="2"/>
    </font>
    <font>
      <sz val="8"/>
      <name val="Helvetica"/>
      <family val="2"/>
    </font>
    <font>
      <sz val="12"/>
      <name val="HLV"/>
    </font>
    <font>
      <i/>
      <sz val="8"/>
      <name val="Helvetica"/>
      <family val="2"/>
    </font>
    <font>
      <sz val="10"/>
      <name val="Arial MT"/>
    </font>
    <font>
      <sz val="8"/>
      <name val="Arial"/>
      <family val="2"/>
    </font>
    <font>
      <sz val="10"/>
      <color theme="1"/>
      <name val="Calibri"/>
      <family val="2"/>
      <scheme val="minor"/>
    </font>
    <font>
      <vertAlign val="superscript"/>
      <sz val="10"/>
      <color theme="1"/>
      <name val="Calibri"/>
      <family val="2"/>
      <scheme val="minor"/>
    </font>
    <font>
      <b/>
      <sz val="10"/>
      <color theme="1"/>
      <name val="Calibri"/>
      <family val="2"/>
      <scheme val="minor"/>
    </font>
    <font>
      <b/>
      <vertAlign val="superscript"/>
      <sz val="10"/>
      <color theme="1"/>
      <name val="Calibri"/>
      <family val="2"/>
      <scheme val="minor"/>
    </font>
    <font>
      <sz val="8"/>
      <name val="Calibri"/>
      <family val="2"/>
      <scheme val="minor"/>
    </font>
    <font>
      <sz val="8"/>
      <color theme="1"/>
      <name val="Calibri"/>
      <family val="2"/>
      <scheme val="minor"/>
    </font>
    <font>
      <sz val="10"/>
      <name val="Helv"/>
    </font>
    <font>
      <sz val="10"/>
      <color theme="1"/>
      <name val="Courier"/>
      <family val="1"/>
    </font>
    <font>
      <sz val="12"/>
      <color theme="1"/>
      <name val="Calibri"/>
      <family val="2"/>
      <scheme val="minor"/>
    </font>
    <font>
      <u/>
      <sz val="12"/>
      <color theme="10"/>
      <name val="Calibri"/>
      <family val="2"/>
      <scheme val="minor"/>
    </font>
    <font>
      <sz val="8"/>
      <color theme="1"/>
      <name val="Helvetica"/>
      <family val="2"/>
    </font>
    <font>
      <u/>
      <sz val="8"/>
      <color indexed="12"/>
      <name val="Helvetica"/>
      <family val="2"/>
    </font>
    <font>
      <sz val="10"/>
      <color theme="1"/>
      <name val="Arial"/>
      <family val="2"/>
    </font>
    <font>
      <vertAlign val="superscript"/>
      <sz val="10"/>
      <color indexed="8"/>
      <name val="Arial"/>
      <family val="2"/>
    </font>
    <font>
      <vertAlign val="superscript"/>
      <sz val="8"/>
      <color rgb="FF000000"/>
      <name val="Arial"/>
      <family val="2"/>
    </font>
    <font>
      <sz val="8"/>
      <color theme="1"/>
      <name val="Times New Roman"/>
      <family val="1"/>
    </font>
    <font>
      <vertAlign val="superscript"/>
      <sz val="8"/>
      <name val="Arial"/>
      <family val="2"/>
    </font>
    <font>
      <i/>
      <sz val="8"/>
      <name val="Arial"/>
      <family val="2"/>
    </font>
    <font>
      <sz val="8"/>
      <color rgb="FF000000"/>
      <name val="Arial"/>
      <family val="2"/>
    </font>
    <font>
      <sz val="10"/>
      <name val="Helvetica"/>
      <family val="2"/>
    </font>
    <font>
      <b/>
      <sz val="10"/>
      <color indexed="10"/>
      <name val="Helvetica"/>
      <family val="2"/>
    </font>
    <font>
      <b/>
      <sz val="10"/>
      <color indexed="10"/>
      <name val="Arial"/>
      <family val="2"/>
    </font>
    <font>
      <sz val="11"/>
      <name val="Calibri"/>
      <family val="2"/>
    </font>
  </fonts>
  <fills count="6">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indexed="9"/>
        <bgColor indexed="64"/>
      </patternFill>
    </fill>
    <fill>
      <patternFill patternType="solid">
        <fgColor theme="9" tint="0.59999389629810485"/>
        <bgColor indexed="64"/>
      </patternFill>
    </fill>
  </fills>
  <borders count="30">
    <border>
      <left/>
      <right/>
      <top/>
      <bottom/>
      <diagonal/>
    </border>
    <border>
      <left/>
      <right/>
      <top style="thin">
        <color indexed="8"/>
      </top>
      <bottom style="thin">
        <color indexed="8"/>
      </bottom>
      <diagonal/>
    </border>
    <border>
      <left/>
      <right/>
      <top/>
      <bottom style="thin">
        <color indexed="8"/>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style="thin">
        <color indexed="8"/>
      </top>
      <bottom/>
      <diagonal/>
    </border>
    <border>
      <left style="thin">
        <color indexed="8"/>
      </left>
      <right style="thin">
        <color indexed="8"/>
      </right>
      <top style="thin">
        <color indexed="8"/>
      </top>
      <bottom/>
      <diagonal/>
    </border>
    <border>
      <left/>
      <right style="thin">
        <color indexed="8"/>
      </right>
      <top style="thin">
        <color indexed="8"/>
      </top>
      <bottom/>
      <diagonal/>
    </border>
    <border>
      <left style="thin">
        <color indexed="8"/>
      </left>
      <right style="thin">
        <color indexed="8"/>
      </right>
      <top/>
      <bottom/>
      <diagonal/>
    </border>
    <border>
      <left/>
      <right style="thin">
        <color indexed="8"/>
      </right>
      <top/>
      <bottom/>
      <diagonal/>
    </border>
    <border>
      <left style="thin">
        <color indexed="8"/>
      </left>
      <right style="thin">
        <color indexed="8"/>
      </right>
      <top style="thin">
        <color indexed="8"/>
      </top>
      <bottom style="thin">
        <color indexed="8"/>
      </bottom>
      <diagonal/>
    </border>
    <border>
      <left style="thin">
        <color indexed="8"/>
      </left>
      <right style="thin">
        <color indexed="8"/>
      </right>
      <top/>
      <bottom style="thin">
        <color indexed="8"/>
      </bottom>
      <diagonal/>
    </border>
    <border>
      <left/>
      <right style="thin">
        <color indexed="8"/>
      </right>
      <top/>
      <bottom style="thin">
        <color indexed="8"/>
      </bottom>
      <diagonal/>
    </border>
    <border>
      <left/>
      <right/>
      <top/>
      <bottom style="thin">
        <color indexed="64"/>
      </bottom>
      <diagonal/>
    </border>
    <border>
      <left/>
      <right/>
      <top style="thin">
        <color indexed="64"/>
      </top>
      <bottom style="thin">
        <color indexed="64"/>
      </bottom>
      <diagonal/>
    </border>
    <border>
      <left/>
      <right/>
      <top style="thin">
        <color indexed="64"/>
      </top>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right/>
      <top style="thin">
        <color auto="1"/>
      </top>
      <bottom/>
      <diagonal/>
    </border>
    <border>
      <left style="thin">
        <color auto="1"/>
      </left>
      <right/>
      <top style="thin">
        <color auto="1"/>
      </top>
      <bottom/>
      <diagonal/>
    </border>
    <border>
      <left/>
      <right style="thin">
        <color auto="1"/>
      </right>
      <top style="thin">
        <color auto="1"/>
      </top>
      <bottom/>
      <diagonal/>
    </border>
    <border>
      <left style="thin">
        <color auto="1"/>
      </left>
      <right style="thin">
        <color auto="1"/>
      </right>
      <top/>
      <bottom/>
      <diagonal/>
    </border>
    <border>
      <left style="thin">
        <color auto="1"/>
      </left>
      <right/>
      <top/>
      <bottom/>
      <diagonal/>
    </border>
    <border>
      <left/>
      <right style="thin">
        <color auto="1"/>
      </right>
      <top/>
      <bottom/>
      <diagonal/>
    </border>
    <border>
      <left/>
      <right style="thin">
        <color auto="1"/>
      </right>
      <top/>
      <bottom style="thin">
        <color auto="1"/>
      </bottom>
      <diagonal/>
    </border>
    <border>
      <left style="thin">
        <color indexed="64"/>
      </left>
      <right/>
      <top/>
      <bottom style="thin">
        <color indexed="64"/>
      </bottom>
      <diagonal/>
    </border>
    <border>
      <left/>
      <right/>
      <top/>
      <bottom style="thin">
        <color rgb="FF000000"/>
      </bottom>
      <diagonal/>
    </border>
  </borders>
  <cellStyleXfs count="10">
    <xf numFmtId="0" fontId="0" fillId="0" borderId="0"/>
    <xf numFmtId="0" fontId="1" fillId="0" borderId="0"/>
    <xf numFmtId="0" fontId="6" fillId="0" borderId="0"/>
    <xf numFmtId="0" fontId="11" fillId="0" borderId="0"/>
    <xf numFmtId="0" fontId="13" fillId="0" borderId="0"/>
    <xf numFmtId="172" fontId="21" fillId="0" borderId="0"/>
    <xf numFmtId="43" fontId="23" fillId="0" borderId="0" applyFont="0" applyFill="0" applyBorder="0" applyAlignment="0" applyProtection="0"/>
    <xf numFmtId="0" fontId="24" fillId="0" borderId="0" applyNumberFormat="0" applyFill="0" applyBorder="0" applyAlignment="0" applyProtection="0"/>
    <xf numFmtId="0" fontId="14" fillId="4" borderId="0"/>
    <xf numFmtId="0" fontId="27" fillId="0" borderId="0"/>
  </cellStyleXfs>
  <cellXfs count="259">
    <xf numFmtId="0" fontId="0" fillId="0" borderId="0" xfId="0"/>
    <xf numFmtId="0" fontId="2" fillId="0" borderId="0" xfId="1" applyFont="1" applyAlignment="1" applyProtection="1">
      <alignment vertical="top" wrapText="1"/>
      <protection locked="0"/>
    </xf>
    <xf numFmtId="0" fontId="1" fillId="0" borderId="0" xfId="1"/>
    <xf numFmtId="0" fontId="2" fillId="0" borderId="1" xfId="1" applyFont="1" applyBorder="1" applyAlignment="1" applyProtection="1">
      <alignment horizontal="left" wrapText="1"/>
      <protection locked="0"/>
    </xf>
    <xf numFmtId="0" fontId="1" fillId="0" borderId="1" xfId="1" applyBorder="1" applyAlignment="1" applyProtection="1">
      <alignment vertical="top" wrapText="1"/>
      <protection locked="0"/>
    </xf>
    <xf numFmtId="0" fontId="2" fillId="0" borderId="1" xfId="1" applyFont="1" applyBorder="1" applyAlignment="1" applyProtection="1">
      <alignment horizontal="right" wrapText="1"/>
      <protection locked="0"/>
    </xf>
    <xf numFmtId="0" fontId="2" fillId="0" borderId="0" xfId="1" applyFont="1" applyAlignment="1" applyProtection="1">
      <alignment horizontal="left" vertical="top" wrapText="1"/>
      <protection locked="0"/>
    </xf>
    <xf numFmtId="0" fontId="2" fillId="0" borderId="0" xfId="1" applyFont="1" applyAlignment="1" applyProtection="1">
      <alignment horizontal="right" vertical="top" wrapText="1"/>
      <protection locked="0"/>
    </xf>
    <xf numFmtId="0" fontId="2" fillId="0" borderId="0" xfId="1" applyNumberFormat="1" applyFont="1" applyAlignment="1" applyProtection="1">
      <alignment horizontal="right" vertical="top" wrapText="1"/>
      <protection locked="0"/>
    </xf>
    <xf numFmtId="0" fontId="1" fillId="0" borderId="2" xfId="1" applyBorder="1" applyAlignment="1" applyProtection="1">
      <alignment vertical="top" wrapText="1"/>
      <protection locked="0"/>
    </xf>
    <xf numFmtId="0" fontId="2" fillId="0" borderId="2" xfId="1" applyFont="1" applyBorder="1" applyAlignment="1" applyProtection="1">
      <alignment horizontal="center" vertical="top" wrapText="1"/>
      <protection locked="0"/>
    </xf>
    <xf numFmtId="0" fontId="2" fillId="0" borderId="2" xfId="1" applyFont="1" applyBorder="1" applyAlignment="1" applyProtection="1">
      <alignment horizontal="right" vertical="top" wrapText="1"/>
      <protection locked="0"/>
    </xf>
    <xf numFmtId="0" fontId="3" fillId="0" borderId="0" xfId="1" applyFont="1" applyAlignment="1" applyProtection="1">
      <alignment horizontal="right" vertical="top" wrapText="1"/>
      <protection locked="0"/>
    </xf>
    <xf numFmtId="0" fontId="2" fillId="0" borderId="0" xfId="1" applyNumberFormat="1" applyFont="1" applyFill="1" applyAlignment="1" applyProtection="1">
      <alignment horizontal="right" vertical="top" wrapText="1"/>
      <protection locked="0"/>
    </xf>
    <xf numFmtId="0" fontId="4" fillId="0" borderId="0" xfId="0" applyFont="1"/>
    <xf numFmtId="0" fontId="5" fillId="0" borderId="0" xfId="0" applyFont="1"/>
    <xf numFmtId="11" fontId="0" fillId="0" borderId="0" xfId="0" applyNumberFormat="1"/>
    <xf numFmtId="164" fontId="7" fillId="0" borderId="0" xfId="1" applyNumberFormat="1" applyFont="1" applyAlignment="1" applyProtection="1">
      <alignment horizontal="right" vertical="top" wrapText="1" readingOrder="1"/>
      <protection locked="0"/>
    </xf>
    <xf numFmtId="0" fontId="0" fillId="0" borderId="0" xfId="0" applyAlignment="1">
      <alignment vertical="center"/>
    </xf>
    <xf numFmtId="0" fontId="0" fillId="0" borderId="3" xfId="0" applyBorder="1" applyAlignment="1">
      <alignment horizontal="center" vertical="center"/>
    </xf>
    <xf numFmtId="0" fontId="0" fillId="0" borderId="4" xfId="0" applyBorder="1" applyAlignment="1">
      <alignment vertical="center"/>
    </xf>
    <xf numFmtId="0" fontId="7" fillId="0" borderId="10" xfId="1" applyFont="1" applyBorder="1" applyAlignment="1" applyProtection="1">
      <alignment horizontal="right" wrapText="1" readingOrder="1"/>
      <protection locked="0"/>
    </xf>
    <xf numFmtId="0" fontId="7" fillId="0" borderId="0" xfId="1" applyFont="1" applyAlignment="1" applyProtection="1">
      <alignment horizontal="left" vertical="top" wrapText="1" readingOrder="1"/>
      <protection locked="0"/>
    </xf>
    <xf numFmtId="0" fontId="7" fillId="0" borderId="0" xfId="1" applyFont="1" applyAlignment="1" applyProtection="1">
      <alignment horizontal="right" vertical="top" wrapText="1" readingOrder="1"/>
      <protection locked="0"/>
    </xf>
    <xf numFmtId="0" fontId="1" fillId="2" borderId="0" xfId="1" applyFill="1"/>
    <xf numFmtId="0" fontId="7" fillId="2" borderId="10" xfId="1" applyFont="1" applyFill="1" applyBorder="1" applyAlignment="1" applyProtection="1">
      <alignment horizontal="right" wrapText="1" readingOrder="1"/>
      <protection locked="0"/>
    </xf>
    <xf numFmtId="164" fontId="7" fillId="2" borderId="0" xfId="1" applyNumberFormat="1" applyFont="1" applyFill="1" applyAlignment="1" applyProtection="1">
      <alignment horizontal="right" vertical="top" wrapText="1" readingOrder="1"/>
      <protection locked="0"/>
    </xf>
    <xf numFmtId="0" fontId="0" fillId="2" borderId="0" xfId="0" applyFill="1"/>
    <xf numFmtId="0" fontId="2" fillId="2" borderId="1" xfId="1" applyFont="1" applyFill="1" applyBorder="1" applyAlignment="1" applyProtection="1">
      <alignment horizontal="right" wrapText="1"/>
      <protection locked="0"/>
    </xf>
    <xf numFmtId="0" fontId="2" fillId="2" borderId="0" xfId="1" applyFont="1" applyFill="1" applyAlignment="1" applyProtection="1">
      <alignment horizontal="right" vertical="top" wrapText="1"/>
      <protection locked="0"/>
    </xf>
    <xf numFmtId="0" fontId="2" fillId="2" borderId="0" xfId="1" applyNumberFormat="1" applyFont="1" applyFill="1" applyAlignment="1" applyProtection="1">
      <alignment horizontal="right" vertical="top" wrapText="1"/>
      <protection locked="0"/>
    </xf>
    <xf numFmtId="0" fontId="2" fillId="2" borderId="2" xfId="1" applyFont="1" applyFill="1" applyBorder="1" applyAlignment="1" applyProtection="1">
      <alignment horizontal="right" vertical="top" wrapText="1"/>
      <protection locked="0"/>
    </xf>
    <xf numFmtId="0" fontId="7" fillId="0" borderId="6" xfId="1" applyFont="1" applyBorder="1" applyAlignment="1" applyProtection="1">
      <alignment horizontal="center" wrapText="1" readingOrder="1"/>
      <protection locked="0"/>
    </xf>
    <xf numFmtId="0" fontId="7" fillId="0" borderId="8" xfId="1" applyFont="1" applyBorder="1" applyAlignment="1" applyProtection="1">
      <alignment horizontal="center" wrapText="1" readingOrder="1"/>
      <protection locked="0"/>
    </xf>
    <xf numFmtId="0" fontId="7" fillId="0" borderId="11" xfId="1" applyFont="1" applyBorder="1" applyAlignment="1" applyProtection="1">
      <alignment horizontal="right" wrapText="1" readingOrder="1"/>
      <protection locked="0"/>
    </xf>
    <xf numFmtId="166" fontId="7" fillId="0" borderId="0" xfId="1" applyNumberFormat="1" applyFont="1" applyAlignment="1" applyProtection="1">
      <alignment horizontal="right" vertical="top" wrapText="1" readingOrder="1"/>
      <protection locked="0"/>
    </xf>
    <xf numFmtId="167" fontId="7" fillId="0" borderId="0" xfId="1" applyNumberFormat="1" applyFont="1" applyAlignment="1" applyProtection="1">
      <alignment horizontal="right" vertical="top" wrapText="1" readingOrder="1"/>
      <protection locked="0"/>
    </xf>
    <xf numFmtId="0" fontId="10" fillId="0" borderId="13" xfId="0" quotePrefix="1" applyFont="1" applyBorder="1" applyAlignment="1">
      <alignment horizontal="left"/>
    </xf>
    <xf numFmtId="0" fontId="0" fillId="0" borderId="13" xfId="0" applyBorder="1"/>
    <xf numFmtId="0" fontId="0" fillId="0" borderId="14" xfId="0" applyBorder="1" applyAlignment="1">
      <alignment horizontal="center"/>
    </xf>
    <xf numFmtId="0" fontId="0" fillId="0" borderId="14" xfId="0" applyBorder="1" applyAlignment="1">
      <alignment horizontal="left" indent="6"/>
    </xf>
    <xf numFmtId="0" fontId="0" fillId="0" borderId="13" xfId="0" applyBorder="1" applyAlignment="1">
      <alignment horizontal="center"/>
    </xf>
    <xf numFmtId="0" fontId="0" fillId="0" borderId="0" xfId="0" applyAlignment="1">
      <alignment horizontal="center"/>
    </xf>
    <xf numFmtId="0" fontId="0" fillId="0" borderId="0" xfId="0" applyBorder="1" applyAlignment="1">
      <alignment horizontal="center"/>
    </xf>
    <xf numFmtId="0" fontId="0" fillId="0" borderId="15" xfId="0" quotePrefix="1" applyBorder="1" applyAlignment="1">
      <alignment horizontal="center"/>
    </xf>
    <xf numFmtId="0" fontId="0" fillId="0" borderId="0" xfId="0" quotePrefix="1" applyBorder="1" applyAlignment="1">
      <alignment horizontal="center"/>
    </xf>
    <xf numFmtId="0" fontId="0" fillId="0" borderId="0" xfId="0" applyAlignment="1">
      <alignment horizontal="left"/>
    </xf>
    <xf numFmtId="169" fontId="0" fillId="0" borderId="0" xfId="0" applyNumberFormat="1"/>
    <xf numFmtId="169" fontId="0" fillId="0" borderId="0" xfId="0" applyNumberFormat="1" applyBorder="1"/>
    <xf numFmtId="170" fontId="0" fillId="0" borderId="0" xfId="0" applyNumberFormat="1"/>
    <xf numFmtId="0" fontId="0" fillId="0" borderId="0" xfId="0" applyBorder="1" applyAlignment="1">
      <alignment horizontal="left"/>
    </xf>
    <xf numFmtId="169" fontId="0" fillId="0" borderId="0" xfId="0" applyNumberFormat="1" applyFill="1"/>
    <xf numFmtId="170" fontId="0" fillId="0" borderId="0" xfId="0" applyNumberFormat="1" applyFill="1"/>
    <xf numFmtId="169" fontId="0" fillId="0" borderId="13" xfId="0" applyNumberFormat="1" applyBorder="1"/>
    <xf numFmtId="169" fontId="0" fillId="0" borderId="13" xfId="0" applyNumberFormat="1" applyFill="1" applyBorder="1"/>
    <xf numFmtId="170" fontId="0" fillId="0" borderId="13" xfId="0" quotePrefix="1" applyNumberFormat="1" applyFill="1" applyBorder="1" applyAlignment="1">
      <alignment horizontal="center"/>
    </xf>
    <xf numFmtId="0" fontId="10" fillId="0" borderId="0" xfId="0" applyFont="1"/>
    <xf numFmtId="169" fontId="0" fillId="0" borderId="0" xfId="0" applyNumberFormat="1" applyFill="1" applyBorder="1"/>
    <xf numFmtId="0" fontId="10" fillId="0" borderId="0" xfId="0" quotePrefix="1" applyFont="1" applyAlignment="1">
      <alignment horizontal="left"/>
    </xf>
    <xf numFmtId="0" fontId="10" fillId="0" borderId="0" xfId="0" applyFont="1" applyAlignment="1">
      <alignment horizontal="right"/>
    </xf>
    <xf numFmtId="171" fontId="14" fillId="0" borderId="0" xfId="4" applyNumberFormat="1" applyFont="1" applyFill="1" applyAlignment="1" applyProtection="1">
      <alignment horizontal="right"/>
    </xf>
    <xf numFmtId="171" fontId="0" fillId="0" borderId="0" xfId="0" applyNumberFormat="1"/>
    <xf numFmtId="0" fontId="15" fillId="0" borderId="0" xfId="0" applyFont="1"/>
    <xf numFmtId="0" fontId="15" fillId="5" borderId="15" xfId="0" applyFont="1" applyFill="1" applyBorder="1"/>
    <xf numFmtId="0" fontId="15" fillId="5" borderId="15" xfId="0" applyFont="1" applyFill="1" applyBorder="1" applyAlignment="1">
      <alignment horizontal="left"/>
    </xf>
    <xf numFmtId="0" fontId="15" fillId="2" borderId="15" xfId="0" applyFont="1" applyFill="1" applyBorder="1"/>
    <xf numFmtId="0" fontId="17" fillId="5" borderId="13" xfId="0" applyFont="1" applyFill="1" applyBorder="1" applyAlignment="1">
      <alignment horizontal="center" vertical="center" wrapText="1"/>
    </xf>
    <xf numFmtId="0" fontId="17" fillId="2" borderId="13" xfId="0" applyFont="1" applyFill="1" applyBorder="1" applyAlignment="1">
      <alignment horizontal="center" vertical="center" wrapText="1"/>
    </xf>
    <xf numFmtId="0" fontId="15" fillId="2" borderId="0" xfId="0" applyFont="1" applyFill="1"/>
    <xf numFmtId="0" fontId="14" fillId="0" borderId="0" xfId="4" applyFont="1" applyFill="1" applyAlignment="1">
      <alignment horizontal="center"/>
    </xf>
    <xf numFmtId="171" fontId="14" fillId="2" borderId="0" xfId="4" applyNumberFormat="1" applyFont="1" applyFill="1" applyAlignment="1" applyProtection="1">
      <alignment horizontal="right"/>
    </xf>
    <xf numFmtId="4" fontId="14" fillId="0" borderId="0" xfId="4" applyNumberFormat="1" applyFont="1" applyFill="1" applyAlignment="1" applyProtection="1">
      <alignment horizontal="right"/>
    </xf>
    <xf numFmtId="0" fontId="14" fillId="0" borderId="0" xfId="4" applyFont="1" applyAlignment="1">
      <alignment horizontal="center"/>
    </xf>
    <xf numFmtId="0" fontId="19" fillId="0" borderId="15" xfId="0" quotePrefix="1" applyFont="1" applyBorder="1" applyAlignment="1" applyProtection="1">
      <alignment horizontal="left"/>
      <protection locked="0"/>
    </xf>
    <xf numFmtId="0" fontId="20" fillId="0" borderId="15" xfId="0" applyFont="1" applyBorder="1"/>
    <xf numFmtId="0" fontId="20" fillId="2" borderId="15" xfId="0" applyFont="1" applyFill="1" applyBorder="1"/>
    <xf numFmtId="0" fontId="20" fillId="0" borderId="0" xfId="0" applyFont="1"/>
    <xf numFmtId="0" fontId="19" fillId="0" borderId="0" xfId="0" quotePrefix="1" applyFont="1" applyBorder="1" applyAlignment="1" applyProtection="1">
      <alignment horizontal="left"/>
      <protection locked="0"/>
    </xf>
    <xf numFmtId="0" fontId="20" fillId="0" borderId="0" xfId="0" applyFont="1" applyBorder="1"/>
    <xf numFmtId="0" fontId="20" fillId="2" borderId="0" xfId="0" applyFont="1" applyFill="1" applyBorder="1"/>
    <xf numFmtId="0" fontId="19" fillId="0" borderId="0" xfId="0" quotePrefix="1" applyFont="1" applyAlignment="1" applyProtection="1">
      <alignment horizontal="left"/>
      <protection locked="0"/>
    </xf>
    <xf numFmtId="0" fontId="20" fillId="2" borderId="0" xfId="0" applyFont="1" applyFill="1"/>
    <xf numFmtId="172" fontId="19" fillId="0" borderId="0" xfId="5" quotePrefix="1" applyFont="1" applyBorder="1" applyAlignment="1" applyProtection="1">
      <alignment horizontal="left"/>
    </xf>
    <xf numFmtId="0" fontId="19" fillId="0" borderId="0" xfId="0" applyFont="1"/>
    <xf numFmtId="0" fontId="15" fillId="0" borderId="0" xfId="0" quotePrefix="1" applyFont="1"/>
    <xf numFmtId="171" fontId="14" fillId="0" borderId="0" xfId="4" quotePrefix="1" applyNumberFormat="1" applyFont="1" applyFill="1" applyAlignment="1" applyProtection="1">
      <alignment horizontal="right"/>
    </xf>
    <xf numFmtId="171" fontId="14" fillId="2" borderId="0" xfId="4" quotePrefix="1" applyNumberFormat="1" applyFont="1" applyFill="1" applyAlignment="1" applyProtection="1">
      <alignment horizontal="right"/>
    </xf>
    <xf numFmtId="0" fontId="0" fillId="2" borderId="13" xfId="0" applyFill="1" applyBorder="1"/>
    <xf numFmtId="0" fontId="0" fillId="2" borderId="14" xfId="0" applyFill="1" applyBorder="1" applyAlignment="1">
      <alignment horizontal="left" indent="3"/>
    </xf>
    <xf numFmtId="0" fontId="0" fillId="2" borderId="0" xfId="0" applyFill="1" applyAlignment="1">
      <alignment horizontal="center"/>
    </xf>
    <xf numFmtId="0" fontId="0" fillId="2" borderId="13" xfId="0" applyFill="1" applyBorder="1" applyAlignment="1">
      <alignment horizontal="center"/>
    </xf>
    <xf numFmtId="0" fontId="0" fillId="2" borderId="15" xfId="0" quotePrefix="1" applyFill="1" applyBorder="1" applyAlignment="1">
      <alignment horizontal="center"/>
    </xf>
    <xf numFmtId="0" fontId="0" fillId="2" borderId="0" xfId="0" quotePrefix="1" applyFill="1" applyBorder="1" applyAlignment="1">
      <alignment horizontal="center"/>
    </xf>
    <xf numFmtId="169" fontId="0" fillId="2" borderId="0" xfId="0" applyNumberFormat="1" applyFill="1"/>
    <xf numFmtId="169" fontId="0" fillId="2" borderId="0" xfId="0" applyNumberFormat="1" applyFill="1" applyBorder="1"/>
    <xf numFmtId="169" fontId="0" fillId="2" borderId="13" xfId="0" applyNumberFormat="1" applyFill="1" applyBorder="1"/>
    <xf numFmtId="167" fontId="7" fillId="2" borderId="0" xfId="1" applyNumberFormat="1" applyFont="1" applyFill="1" applyAlignment="1" applyProtection="1">
      <alignment horizontal="right" vertical="top" wrapText="1" readingOrder="1"/>
      <protection locked="0"/>
    </xf>
    <xf numFmtId="166" fontId="7" fillId="2" borderId="0" xfId="1" applyNumberFormat="1" applyFont="1" applyFill="1" applyAlignment="1" applyProtection="1">
      <alignment horizontal="right" vertical="top" wrapText="1" readingOrder="1"/>
      <protection locked="0"/>
    </xf>
    <xf numFmtId="0" fontId="22" fillId="0" borderId="0" xfId="0" applyFont="1"/>
    <xf numFmtId="2" fontId="0" fillId="0" borderId="4" xfId="0" applyNumberFormat="1" applyBorder="1" applyAlignment="1">
      <alignment vertical="center"/>
    </xf>
    <xf numFmtId="0" fontId="1" fillId="0" borderId="0" xfId="1"/>
    <xf numFmtId="11" fontId="0" fillId="0" borderId="4" xfId="0" applyNumberFormat="1" applyBorder="1" applyAlignment="1">
      <alignment vertical="center"/>
    </xf>
    <xf numFmtId="173" fontId="25" fillId="0" borderId="0" xfId="6" applyNumberFormat="1" applyFont="1" applyAlignment="1">
      <alignment horizontal="right"/>
    </xf>
    <xf numFmtId="173" fontId="25" fillId="0" borderId="0" xfId="6" applyNumberFormat="1" applyFont="1" applyBorder="1" applyAlignment="1">
      <alignment horizontal="right"/>
    </xf>
    <xf numFmtId="173" fontId="25" fillId="0" borderId="13" xfId="6" applyNumberFormat="1" applyFont="1" applyBorder="1" applyAlignment="1">
      <alignment horizontal="right"/>
    </xf>
    <xf numFmtId="173" fontId="26" fillId="0" borderId="0" xfId="7" applyNumberFormat="1" applyFont="1" applyAlignment="1" applyProtection="1">
      <alignment horizontal="left"/>
    </xf>
    <xf numFmtId="173" fontId="25" fillId="2" borderId="0" xfId="6" applyNumberFormat="1" applyFont="1" applyFill="1" applyAlignment="1">
      <alignment horizontal="right"/>
    </xf>
    <xf numFmtId="173" fontId="25" fillId="2" borderId="0" xfId="6" applyNumberFormat="1" applyFont="1" applyFill="1" applyBorder="1" applyAlignment="1">
      <alignment horizontal="right"/>
    </xf>
    <xf numFmtId="173" fontId="25" fillId="2" borderId="13" xfId="6" applyNumberFormat="1" applyFont="1" applyFill="1" applyBorder="1" applyAlignment="1">
      <alignment horizontal="right"/>
    </xf>
    <xf numFmtId="3" fontId="8" fillId="4" borderId="0" xfId="8" applyNumberFormat="1" applyFont="1" applyBorder="1"/>
    <xf numFmtId="0" fontId="27" fillId="0" borderId="0" xfId="1" applyFont="1"/>
    <xf numFmtId="0" fontId="27" fillId="0" borderId="0" xfId="1" applyFont="1" applyAlignment="1">
      <alignment horizontal="center" wrapText="1"/>
    </xf>
    <xf numFmtId="3" fontId="1" fillId="4" borderId="0" xfId="8" applyNumberFormat="1" applyFont="1" applyBorder="1"/>
    <xf numFmtId="0" fontId="27" fillId="0" borderId="16" xfId="1" applyFont="1" applyBorder="1" applyAlignment="1">
      <alignment horizontal="center"/>
    </xf>
    <xf numFmtId="0" fontId="27" fillId="0" borderId="20" xfId="1" applyFont="1" applyBorder="1" applyAlignment="1">
      <alignment horizontal="center"/>
    </xf>
    <xf numFmtId="0" fontId="27" fillId="0" borderId="20" xfId="1" applyFont="1" applyBorder="1" applyAlignment="1">
      <alignment horizontal="center" wrapText="1"/>
    </xf>
    <xf numFmtId="0" fontId="27" fillId="0" borderId="20" xfId="1" applyFont="1" applyBorder="1" applyAlignment="1">
      <alignment horizontal="left" wrapText="1"/>
    </xf>
    <xf numFmtId="0" fontId="27" fillId="0" borderId="16" xfId="1" applyFont="1" applyBorder="1"/>
    <xf numFmtId="168" fontId="27" fillId="0" borderId="22" xfId="1" applyNumberFormat="1" applyFont="1" applyBorder="1" applyAlignment="1">
      <alignment horizontal="right"/>
    </xf>
    <xf numFmtId="168" fontId="27" fillId="0" borderId="21" xfId="1" applyNumberFormat="1" applyFont="1" applyBorder="1" applyAlignment="1">
      <alignment horizontal="right"/>
    </xf>
    <xf numFmtId="168" fontId="27" fillId="0" borderId="0" xfId="1" applyNumberFormat="1" applyFont="1" applyBorder="1" applyAlignment="1">
      <alignment horizontal="right"/>
    </xf>
    <xf numFmtId="168" fontId="27" fillId="0" borderId="23" xfId="1" applyNumberFormat="1" applyFont="1" applyBorder="1" applyAlignment="1">
      <alignment horizontal="right"/>
    </xf>
    <xf numFmtId="0" fontId="27" fillId="0" borderId="24" xfId="1" applyFont="1" applyBorder="1"/>
    <xf numFmtId="168" fontId="27" fillId="0" borderId="25" xfId="1" applyNumberFormat="1" applyFont="1" applyBorder="1" applyAlignment="1">
      <alignment horizontal="right"/>
    </xf>
    <xf numFmtId="168" fontId="27" fillId="0" borderId="26" xfId="1" applyNumberFormat="1" applyFont="1" applyBorder="1" applyAlignment="1">
      <alignment horizontal="right"/>
    </xf>
    <xf numFmtId="0" fontId="27" fillId="0" borderId="25" xfId="1" applyFont="1" applyBorder="1"/>
    <xf numFmtId="0" fontId="27" fillId="0" borderId="24" xfId="1" quotePrefix="1" applyFont="1" applyBorder="1" applyAlignment="1">
      <alignment horizontal="left"/>
    </xf>
    <xf numFmtId="0" fontId="27" fillId="0" borderId="4" xfId="1" applyFont="1" applyBorder="1"/>
    <xf numFmtId="168" fontId="27" fillId="0" borderId="27" xfId="1" applyNumberFormat="1" applyFont="1" applyBorder="1" applyAlignment="1">
      <alignment horizontal="right"/>
    </xf>
    <xf numFmtId="0" fontId="29" fillId="0" borderId="21" xfId="1" applyFont="1" applyBorder="1"/>
    <xf numFmtId="0" fontId="30" fillId="0" borderId="21" xfId="1" applyFont="1" applyBorder="1"/>
    <xf numFmtId="0" fontId="20" fillId="0" borderId="21" xfId="1" applyFont="1" applyBorder="1"/>
    <xf numFmtId="0" fontId="15" fillId="0" borderId="21" xfId="1" applyFont="1" applyBorder="1"/>
    <xf numFmtId="0" fontId="29" fillId="0" borderId="0" xfId="1" applyFont="1"/>
    <xf numFmtId="0" fontId="20" fillId="0" borderId="0" xfId="1" applyFont="1"/>
    <xf numFmtId="0" fontId="14" fillId="3" borderId="0" xfId="9" applyFont="1" applyFill="1" applyBorder="1"/>
    <xf numFmtId="0" fontId="20" fillId="3" borderId="0" xfId="1" applyFont="1" applyFill="1"/>
    <xf numFmtId="0" fontId="33" fillId="3" borderId="0" xfId="1" applyFont="1" applyFill="1"/>
    <xf numFmtId="0" fontId="27" fillId="2" borderId="0" xfId="1" applyFont="1" applyFill="1"/>
    <xf numFmtId="0" fontId="27" fillId="2" borderId="20" xfId="1" applyFont="1" applyFill="1" applyBorder="1" applyAlignment="1">
      <alignment horizontal="center"/>
    </xf>
    <xf numFmtId="0" fontId="27" fillId="2" borderId="20" xfId="1" applyFont="1" applyFill="1" applyBorder="1" applyAlignment="1">
      <alignment horizontal="center" wrapText="1"/>
    </xf>
    <xf numFmtId="168" fontId="27" fillId="2" borderId="21" xfId="1" applyNumberFormat="1" applyFont="1" applyFill="1" applyBorder="1" applyAlignment="1">
      <alignment horizontal="right"/>
    </xf>
    <xf numFmtId="168" fontId="27" fillId="2" borderId="0" xfId="1" applyNumberFormat="1" applyFont="1" applyFill="1" applyBorder="1" applyAlignment="1">
      <alignment horizontal="right"/>
    </xf>
    <xf numFmtId="0" fontId="15" fillId="2" borderId="21" xfId="1" applyFont="1" applyFill="1" applyBorder="1"/>
    <xf numFmtId="164" fontId="7" fillId="0" borderId="0" xfId="1" applyNumberFormat="1" applyFont="1" applyAlignment="1" applyProtection="1">
      <alignment horizontal="right" vertical="top" wrapText="1" readingOrder="1"/>
      <protection locked="0"/>
    </xf>
    <xf numFmtId="0" fontId="8" fillId="0" borderId="0" xfId="0" applyFont="1" applyAlignment="1">
      <alignment vertical="center"/>
    </xf>
    <xf numFmtId="0" fontId="0" fillId="0" borderId="0" xfId="0" applyAlignment="1">
      <alignment vertical="center"/>
    </xf>
    <xf numFmtId="165" fontId="0" fillId="0" borderId="0" xfId="0" applyNumberFormat="1" applyAlignment="1">
      <alignment horizontal="left" vertical="center"/>
    </xf>
    <xf numFmtId="0" fontId="0" fillId="0" borderId="0" xfId="0" applyAlignment="1">
      <alignment horizontal="center" vertical="center"/>
    </xf>
    <xf numFmtId="0" fontId="9" fillId="0" borderId="0" xfId="1" applyFont="1" applyAlignment="1" applyProtection="1">
      <alignment horizontal="right" vertical="top" wrapText="1" readingOrder="1"/>
      <protection locked="0"/>
    </xf>
    <xf numFmtId="0" fontId="1" fillId="0" borderId="0" xfId="1"/>
    <xf numFmtId="0" fontId="7" fillId="0" borderId="0" xfId="1" applyFont="1" applyAlignment="1" applyProtection="1">
      <alignment horizontal="left" vertical="top" wrapText="1" readingOrder="1"/>
      <protection locked="0"/>
    </xf>
    <xf numFmtId="164" fontId="7" fillId="0" borderId="0" xfId="1" applyNumberFormat="1" applyFont="1" applyAlignment="1" applyProtection="1">
      <alignment horizontal="right" vertical="top" wrapText="1" readingOrder="1"/>
      <protection locked="0"/>
    </xf>
    <xf numFmtId="0" fontId="7" fillId="0" borderId="5" xfId="1" applyFont="1" applyBorder="1" applyAlignment="1" applyProtection="1">
      <alignment vertical="top" wrapText="1" readingOrder="1"/>
      <protection locked="0"/>
    </xf>
    <xf numFmtId="0" fontId="1" fillId="0" borderId="5" xfId="1" applyBorder="1" applyAlignment="1" applyProtection="1">
      <alignment vertical="top" wrapText="1"/>
      <protection locked="0"/>
    </xf>
    <xf numFmtId="0" fontId="7" fillId="0" borderId="8" xfId="1" applyFont="1" applyBorder="1" applyAlignment="1" applyProtection="1">
      <alignment horizontal="center" wrapText="1" readingOrder="1"/>
      <protection locked="0"/>
    </xf>
    <xf numFmtId="0" fontId="1" fillId="0" borderId="9" xfId="1" applyBorder="1" applyAlignment="1" applyProtection="1">
      <alignment vertical="top" wrapText="1"/>
      <protection locked="0"/>
    </xf>
    <xf numFmtId="0" fontId="7" fillId="0" borderId="11" xfId="1" applyFont="1" applyBorder="1" applyAlignment="1" applyProtection="1">
      <alignment horizontal="right" wrapText="1" readingOrder="1"/>
      <protection locked="0"/>
    </xf>
    <xf numFmtId="0" fontId="1" fillId="0" borderId="12" xfId="1" applyBorder="1" applyAlignment="1" applyProtection="1">
      <alignment vertical="top" wrapText="1"/>
      <protection locked="0"/>
    </xf>
    <xf numFmtId="0" fontId="7" fillId="0" borderId="0" xfId="1" applyFont="1" applyAlignment="1" applyProtection="1">
      <alignment vertical="top" wrapText="1" readingOrder="1"/>
      <protection locked="0"/>
    </xf>
    <xf numFmtId="0" fontId="7" fillId="0" borderId="1" xfId="1" applyFont="1" applyBorder="1" applyAlignment="1" applyProtection="1">
      <alignment horizontal="left" wrapText="1" readingOrder="1"/>
      <protection locked="0"/>
    </xf>
    <xf numFmtId="0" fontId="1" fillId="0" borderId="2" xfId="1" applyBorder="1" applyAlignment="1" applyProtection="1">
      <alignment vertical="top" wrapText="1"/>
      <protection locked="0"/>
    </xf>
    <xf numFmtId="0" fontId="7" fillId="0" borderId="6" xfId="1" applyFont="1" applyBorder="1" applyAlignment="1" applyProtection="1">
      <alignment horizontal="center" wrapText="1" readingOrder="1"/>
      <protection locked="0"/>
    </xf>
    <xf numFmtId="0" fontId="1" fillId="0" borderId="7" xfId="1" applyBorder="1" applyAlignment="1" applyProtection="1">
      <alignment vertical="top" wrapText="1"/>
      <protection locked="0"/>
    </xf>
    <xf numFmtId="0" fontId="7" fillId="0" borderId="5" xfId="1" applyFont="1" applyBorder="1" applyAlignment="1" applyProtection="1">
      <alignment horizontal="left" vertical="center" wrapText="1" readingOrder="1"/>
      <protection locked="0"/>
    </xf>
    <xf numFmtId="0" fontId="9" fillId="0" borderId="0" xfId="1" applyFont="1" applyAlignment="1" applyProtection="1">
      <alignment horizontal="right" vertical="center" wrapText="1" readingOrder="1"/>
      <protection locked="0"/>
    </xf>
    <xf numFmtId="0" fontId="27" fillId="0" borderId="16" xfId="1" applyFont="1" applyBorder="1" applyAlignment="1">
      <alignment horizontal="center"/>
    </xf>
    <xf numFmtId="0" fontId="27" fillId="0" borderId="17" xfId="1" applyFont="1" applyBorder="1" applyAlignment="1">
      <alignment horizontal="center"/>
    </xf>
    <xf numFmtId="0" fontId="27" fillId="0" borderId="18" xfId="1" applyFont="1" applyBorder="1" applyAlignment="1">
      <alignment horizontal="center"/>
    </xf>
    <xf numFmtId="0" fontId="27" fillId="0" borderId="19" xfId="1" applyFont="1" applyBorder="1" applyAlignment="1">
      <alignment horizontal="center"/>
    </xf>
    <xf numFmtId="0" fontId="27" fillId="0" borderId="20" xfId="1" applyFont="1" applyBorder="1" applyAlignment="1">
      <alignment horizontal="center"/>
    </xf>
    <xf numFmtId="0" fontId="27" fillId="0" borderId="21" xfId="1" applyFont="1" applyBorder="1" applyAlignment="1">
      <alignment horizontal="center"/>
    </xf>
    <xf numFmtId="174" fontId="33" fillId="3" borderId="0" xfId="1" quotePrefix="1" applyNumberFormat="1" applyFont="1" applyFill="1" applyAlignment="1">
      <alignment horizontal="left" wrapText="1"/>
    </xf>
    <xf numFmtId="0" fontId="20" fillId="3" borderId="0" xfId="1" applyFont="1" applyFill="1" applyAlignment="1">
      <alignment horizontal="left"/>
    </xf>
    <xf numFmtId="173" fontId="10" fillId="0" borderId="13" xfId="6" quotePrefix="1" applyNumberFormat="1" applyFont="1" applyBorder="1" applyAlignment="1" applyProtection="1">
      <alignment horizontal="left"/>
    </xf>
    <xf numFmtId="173" fontId="10" fillId="0" borderId="13" xfId="6" applyNumberFormat="1" applyFont="1" applyBorder="1" applyAlignment="1">
      <alignment horizontal="right"/>
    </xf>
    <xf numFmtId="0" fontId="34" fillId="0" borderId="0" xfId="0" applyFont="1"/>
    <xf numFmtId="173" fontId="10" fillId="0" borderId="0" xfId="6" applyNumberFormat="1" applyFont="1" applyAlignment="1" applyProtection="1">
      <alignment horizontal="center"/>
    </xf>
    <xf numFmtId="173" fontId="10" fillId="0" borderId="0" xfId="6" applyNumberFormat="1" applyFont="1" applyAlignment="1">
      <alignment horizontal="center"/>
    </xf>
    <xf numFmtId="0" fontId="10" fillId="0" borderId="0" xfId="0" applyFont="1" applyAlignment="1">
      <alignment horizontal="center"/>
    </xf>
    <xf numFmtId="0" fontId="34" fillId="0" borderId="0" xfId="0" applyFont="1" applyAlignment="1">
      <alignment horizontal="center"/>
    </xf>
    <xf numFmtId="173" fontId="10" fillId="0" borderId="13" xfId="6" applyNumberFormat="1" applyFont="1" applyBorder="1" applyAlignment="1" applyProtection="1">
      <alignment horizontal="center"/>
    </xf>
    <xf numFmtId="173" fontId="10" fillId="0" borderId="0" xfId="6" applyNumberFormat="1" applyFont="1" applyAlignment="1">
      <alignment horizontal="right"/>
    </xf>
    <xf numFmtId="173" fontId="10" fillId="0" borderId="0" xfId="6" applyNumberFormat="1" applyFont="1" applyAlignment="1" applyProtection="1">
      <alignment horizontal="right"/>
    </xf>
    <xf numFmtId="173" fontId="10" fillId="0" borderId="0" xfId="6" quotePrefix="1" applyNumberFormat="1" applyFont="1" applyAlignment="1">
      <alignment horizontal="center"/>
    </xf>
    <xf numFmtId="173" fontId="10" fillId="0" borderId="0" xfId="6" quotePrefix="1" applyNumberFormat="1" applyFont="1" applyAlignment="1" applyProtection="1">
      <alignment horizontal="right"/>
    </xf>
    <xf numFmtId="171" fontId="10" fillId="0" borderId="0" xfId="0" applyNumberFormat="1" applyFont="1"/>
    <xf numFmtId="171" fontId="35" fillId="0" borderId="0" xfId="0" applyNumberFormat="1" applyFont="1"/>
    <xf numFmtId="0" fontId="35" fillId="0" borderId="0" xfId="0" applyFont="1"/>
    <xf numFmtId="0" fontId="36" fillId="0" borderId="0" xfId="0" applyFont="1"/>
    <xf numFmtId="173" fontId="10" fillId="0" borderId="0" xfId="6" applyNumberFormat="1" applyFont="1" applyFill="1" applyAlignment="1" applyProtection="1">
      <alignment horizontal="right"/>
    </xf>
    <xf numFmtId="10" fontId="10" fillId="0" borderId="0" xfId="0" applyNumberFormat="1" applyFont="1"/>
    <xf numFmtId="173" fontId="10" fillId="0" borderId="0" xfId="6" quotePrefix="1" applyNumberFormat="1" applyFont="1" applyFill="1" applyBorder="1" applyAlignment="1" applyProtection="1">
      <alignment horizontal="right"/>
    </xf>
    <xf numFmtId="173" fontId="10" fillId="0" borderId="0" xfId="6" quotePrefix="1" applyNumberFormat="1" applyFont="1" applyBorder="1" applyAlignment="1" applyProtection="1">
      <alignment horizontal="right"/>
    </xf>
    <xf numFmtId="175" fontId="34" fillId="0" borderId="0" xfId="0" applyNumberFormat="1" applyFont="1"/>
    <xf numFmtId="10" fontId="34" fillId="0" borderId="0" xfId="0" applyNumberFormat="1" applyFont="1"/>
    <xf numFmtId="173" fontId="10" fillId="0" borderId="13" xfId="6" quotePrefix="1" applyNumberFormat="1" applyFont="1" applyFill="1" applyBorder="1" applyAlignment="1" applyProtection="1">
      <alignment horizontal="right"/>
    </xf>
    <xf numFmtId="173" fontId="10" fillId="0" borderId="0" xfId="6" quotePrefix="1" applyNumberFormat="1" applyFont="1" applyAlignment="1" applyProtection="1">
      <alignment horizontal="left"/>
    </xf>
    <xf numFmtId="173" fontId="10" fillId="0" borderId="0" xfId="6" applyNumberFormat="1" applyFont="1" applyAlignment="1" applyProtection="1">
      <alignment horizontal="left"/>
    </xf>
    <xf numFmtId="173" fontId="10" fillId="0" borderId="0" xfId="6" applyNumberFormat="1" applyFont="1" applyBorder="1" applyAlignment="1" applyProtection="1">
      <alignment horizontal="left"/>
    </xf>
    <xf numFmtId="173" fontId="10" fillId="0" borderId="0" xfId="6" applyNumberFormat="1" applyFont="1" applyAlignment="1">
      <alignment horizontal="left"/>
    </xf>
    <xf numFmtId="0" fontId="10" fillId="0" borderId="0" xfId="0" applyFont="1" applyAlignment="1">
      <alignment horizontal="left"/>
    </xf>
    <xf numFmtId="0" fontId="14" fillId="0" borderId="0" xfId="0" applyFont="1" applyAlignment="1">
      <alignment horizontal="left"/>
    </xf>
    <xf numFmtId="0" fontId="34" fillId="0" borderId="0" xfId="0" applyFont="1" applyAlignment="1">
      <alignment horizontal="left"/>
    </xf>
    <xf numFmtId="0" fontId="10" fillId="0" borderId="13" xfId="0" applyFont="1" applyBorder="1"/>
    <xf numFmtId="0" fontId="0" fillId="0" borderId="17" xfId="0" applyBorder="1"/>
    <xf numFmtId="0" fontId="0" fillId="0" borderId="13" xfId="0" applyBorder="1" applyAlignment="1">
      <alignment horizontal="left" indent="4"/>
    </xf>
    <xf numFmtId="0" fontId="0" fillId="0" borderId="13" xfId="0" applyBorder="1" applyAlignment="1">
      <alignment horizontal="left"/>
    </xf>
    <xf numFmtId="0" fontId="0" fillId="0" borderId="19" xfId="0" applyBorder="1" applyAlignment="1">
      <alignment horizontal="center"/>
    </xf>
    <xf numFmtId="0" fontId="0" fillId="0" borderId="18" xfId="0" applyBorder="1" applyAlignment="1">
      <alignment horizontal="center"/>
    </xf>
    <xf numFmtId="0" fontId="0" fillId="0" borderId="17" xfId="0" applyBorder="1" applyAlignment="1">
      <alignment horizontal="center"/>
    </xf>
    <xf numFmtId="0" fontId="0" fillId="0" borderId="22" xfId="0" applyBorder="1" applyAlignment="1">
      <alignment horizontal="center"/>
    </xf>
    <xf numFmtId="0" fontId="0" fillId="0" borderId="23" xfId="0" applyBorder="1"/>
    <xf numFmtId="0" fontId="0" fillId="0" borderId="22" xfId="0" applyBorder="1"/>
    <xf numFmtId="0" fontId="0" fillId="0" borderId="25" xfId="0" applyBorder="1" applyAlignment="1">
      <alignment horizontal="center"/>
    </xf>
    <xf numFmtId="0" fontId="0" fillId="0" borderId="0" xfId="0" applyAlignment="1">
      <alignment horizontal="left" indent="1"/>
    </xf>
    <xf numFmtId="0" fontId="0" fillId="0" borderId="26" xfId="0" applyBorder="1" applyAlignment="1">
      <alignment horizontal="center"/>
    </xf>
    <xf numFmtId="0" fontId="0" fillId="0" borderId="25" xfId="0" applyBorder="1" applyAlignment="1">
      <alignment horizontal="right" indent="1"/>
    </xf>
    <xf numFmtId="0" fontId="0" fillId="0" borderId="26" xfId="0" applyBorder="1" applyAlignment="1">
      <alignment horizontal="left"/>
    </xf>
    <xf numFmtId="0" fontId="0" fillId="0" borderId="28" xfId="0" applyBorder="1" applyAlignment="1">
      <alignment horizontal="center"/>
    </xf>
    <xf numFmtId="0" fontId="0" fillId="0" borderId="27" xfId="0" applyBorder="1"/>
    <xf numFmtId="0" fontId="0" fillId="0" borderId="27" xfId="0" applyBorder="1" applyAlignment="1">
      <alignment horizontal="center"/>
    </xf>
    <xf numFmtId="0" fontId="0" fillId="0" borderId="21" xfId="0" quotePrefix="1" applyBorder="1" applyAlignment="1">
      <alignment horizontal="center"/>
    </xf>
    <xf numFmtId="0" fontId="0" fillId="0" borderId="0" xfId="0" applyAlignment="1">
      <alignment horizontal="centerContinuous"/>
    </xf>
    <xf numFmtId="0" fontId="0" fillId="0" borderId="0" xfId="0" quotePrefix="1" applyAlignment="1">
      <alignment horizontal="center"/>
    </xf>
    <xf numFmtId="176" fontId="0" fillId="0" borderId="0" xfId="0" applyNumberFormat="1"/>
    <xf numFmtId="176" fontId="10" fillId="0" borderId="0" xfId="0" applyNumberFormat="1" applyFont="1"/>
    <xf numFmtId="177" fontId="0" fillId="0" borderId="0" xfId="0" applyNumberFormat="1"/>
    <xf numFmtId="178" fontId="0" fillId="0" borderId="0" xfId="0" applyNumberFormat="1" applyAlignment="1">
      <alignment horizontal="left" indent="3"/>
    </xf>
    <xf numFmtId="177" fontId="10" fillId="0" borderId="0" xfId="0" applyNumberFormat="1" applyFont="1"/>
    <xf numFmtId="176" fontId="10" fillId="0" borderId="13" xfId="0" applyNumberFormat="1" applyFont="1" applyBorder="1"/>
    <xf numFmtId="176" fontId="0" fillId="0" borderId="13" xfId="0" applyNumberFormat="1" applyBorder="1"/>
    <xf numFmtId="177" fontId="10" fillId="0" borderId="13" xfId="0" applyNumberFormat="1" applyFont="1" applyBorder="1"/>
    <xf numFmtId="178" fontId="0" fillId="0" borderId="13" xfId="0" applyNumberFormat="1" applyBorder="1" applyAlignment="1">
      <alignment horizontal="left" indent="3"/>
    </xf>
    <xf numFmtId="179" fontId="0" fillId="0" borderId="0" xfId="0" applyNumberFormat="1" applyAlignment="1">
      <alignment horizontal="right"/>
    </xf>
    <xf numFmtId="0" fontId="0" fillId="2" borderId="18" xfId="0" applyFill="1" applyBorder="1" applyAlignment="1">
      <alignment horizontal="center"/>
    </xf>
    <xf numFmtId="0" fontId="0" fillId="2" borderId="0" xfId="0" applyFill="1" applyAlignment="1">
      <alignment horizontal="left" indent="2"/>
    </xf>
    <xf numFmtId="0" fontId="0" fillId="2" borderId="21" xfId="0" quotePrefix="1" applyFill="1" applyBorder="1" applyAlignment="1">
      <alignment horizontal="center"/>
    </xf>
    <xf numFmtId="0" fontId="0" fillId="2" borderId="0" xfId="0" quotePrefix="1" applyFill="1" applyAlignment="1">
      <alignment horizontal="center"/>
    </xf>
    <xf numFmtId="176" fontId="0" fillId="2" borderId="0" xfId="0" applyNumberFormat="1" applyFill="1"/>
    <xf numFmtId="176" fontId="10" fillId="2" borderId="0" xfId="0" applyNumberFormat="1" applyFont="1" applyFill="1"/>
    <xf numFmtId="176" fontId="10" fillId="2" borderId="13" xfId="0" applyNumberFormat="1" applyFont="1" applyFill="1" applyBorder="1"/>
    <xf numFmtId="173" fontId="10" fillId="2" borderId="13" xfId="6" applyNumberFormat="1" applyFont="1" applyFill="1" applyBorder="1" applyAlignment="1">
      <alignment horizontal="right"/>
    </xf>
    <xf numFmtId="173" fontId="10" fillId="2" borderId="0" xfId="6" applyNumberFormat="1" applyFont="1" applyFill="1" applyAlignment="1" applyProtection="1">
      <alignment horizontal="center"/>
    </xf>
    <xf numFmtId="173" fontId="10" fillId="2" borderId="13" xfId="6" applyNumberFormat="1" applyFont="1" applyFill="1" applyBorder="1" applyAlignment="1" applyProtection="1">
      <alignment horizontal="center"/>
    </xf>
    <xf numFmtId="173" fontId="10" fillId="2" borderId="0" xfId="6" applyNumberFormat="1" applyFont="1" applyFill="1" applyAlignment="1">
      <alignment horizontal="right"/>
    </xf>
    <xf numFmtId="173" fontId="10" fillId="2" borderId="0" xfId="6" applyNumberFormat="1" applyFont="1" applyFill="1" applyAlignment="1" applyProtection="1">
      <alignment horizontal="right"/>
    </xf>
    <xf numFmtId="173" fontId="10" fillId="2" borderId="0" xfId="6" applyNumberFormat="1" applyFont="1" applyFill="1" applyAlignment="1" applyProtection="1">
      <alignment horizontal="left"/>
    </xf>
    <xf numFmtId="0" fontId="33" fillId="0" borderId="0" xfId="0" applyFont="1" applyAlignment="1">
      <alignment horizontal="left" vertical="top" wrapText="1" readingOrder="1"/>
    </xf>
    <xf numFmtId="2" fontId="33" fillId="0" borderId="0" xfId="0" applyNumberFormat="1" applyFont="1" applyAlignment="1">
      <alignment horizontal="right" vertical="top" wrapText="1" readingOrder="1"/>
    </xf>
    <xf numFmtId="2" fontId="33" fillId="2" borderId="0" xfId="0" applyNumberFormat="1" applyFont="1" applyFill="1" applyAlignment="1">
      <alignment horizontal="right" vertical="top" wrapText="1" readingOrder="1"/>
    </xf>
    <xf numFmtId="0" fontId="33" fillId="0" borderId="0" xfId="0" applyFont="1" applyAlignment="1">
      <alignment horizontal="left" vertical="top" wrapText="1" readingOrder="1"/>
    </xf>
    <xf numFmtId="164" fontId="33" fillId="0" borderId="0" xfId="0" applyNumberFormat="1" applyFont="1" applyAlignment="1">
      <alignment horizontal="right" vertical="top" wrapText="1" readingOrder="1"/>
    </xf>
    <xf numFmtId="0" fontId="37" fillId="0" borderId="0" xfId="0" applyFont="1"/>
    <xf numFmtId="0" fontId="33" fillId="0" borderId="0" xfId="0" applyFont="1" applyAlignment="1">
      <alignment horizontal="right" vertical="top" wrapText="1" readingOrder="1"/>
    </xf>
    <xf numFmtId="0" fontId="33" fillId="0" borderId="29" xfId="0" applyFont="1" applyBorder="1" applyAlignment="1">
      <alignment horizontal="left" vertical="top" wrapText="1" readingOrder="1"/>
    </xf>
    <xf numFmtId="164" fontId="33" fillId="0" borderId="29" xfId="0" applyNumberFormat="1" applyFont="1" applyBorder="1" applyAlignment="1">
      <alignment horizontal="right" vertical="top" wrapText="1" readingOrder="1"/>
    </xf>
    <xf numFmtId="164" fontId="33" fillId="2" borderId="0" xfId="0" applyNumberFormat="1" applyFont="1" applyFill="1" applyAlignment="1">
      <alignment horizontal="right" vertical="top" wrapText="1" readingOrder="1"/>
    </xf>
    <xf numFmtId="164" fontId="33" fillId="2" borderId="29" xfId="0" applyNumberFormat="1" applyFont="1" applyFill="1" applyBorder="1" applyAlignment="1">
      <alignment horizontal="right" vertical="top" wrapText="1" readingOrder="1"/>
    </xf>
  </cellXfs>
  <cellStyles count="10">
    <cellStyle name="Comma" xfId="6" builtinId="3"/>
    <cellStyle name="Hyperlink" xfId="7" builtinId="8"/>
    <cellStyle name="Normal" xfId="0" builtinId="0"/>
    <cellStyle name="Normal 13" xfId="9" xr:uid="{C3A3D190-A2AD-4045-A10D-A0CC61FA7C03}"/>
    <cellStyle name="Normal 2" xfId="1" xr:uid="{FF0A8BF0-BAE9-D843-AE7A-587FCF9BB42D}"/>
    <cellStyle name="Normal 2 4" xfId="3" xr:uid="{BD8858DA-1454-FD4E-9176-9DC490AC494B}"/>
    <cellStyle name="Normal 3" xfId="2" xr:uid="{C60BE5EE-C4D3-6243-840A-56CAA5BD272C}"/>
    <cellStyle name="Normal_A_6" xfId="4" xr:uid="{9646E21A-612D-C64A-95DA-305870970158}"/>
    <cellStyle name="Normal_TAB02" xfId="5" xr:uid="{7B08CF14-CEB9-7E42-AF23-0429ED6550D4}"/>
    <cellStyle name="Normal_WORLD" xfId="8" xr:uid="{FC77D83D-93B9-F541-99AB-55EEB560A91A}"/>
  </cellStyles>
  <dxfs count="24">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externalLink" Target="externalLinks/externalLink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28"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 Id="rId27"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Hay!$A$2:$A$9</c:f>
              <c:numCache>
                <c:formatCode>General</c:formatCode>
                <c:ptCount val="8"/>
                <c:pt idx="0">
                  <c:v>1987</c:v>
                </c:pt>
                <c:pt idx="1">
                  <c:v>1992</c:v>
                </c:pt>
                <c:pt idx="2">
                  <c:v>1997</c:v>
                </c:pt>
                <c:pt idx="3">
                  <c:v>2002</c:v>
                </c:pt>
                <c:pt idx="4">
                  <c:v>2007</c:v>
                </c:pt>
                <c:pt idx="5">
                  <c:v>2012</c:v>
                </c:pt>
                <c:pt idx="6">
                  <c:v>2017</c:v>
                </c:pt>
              </c:numCache>
            </c:numRef>
          </c:xVal>
          <c:yVal>
            <c:numRef>
              <c:f>Hay!$B$2:$B$9</c:f>
              <c:numCache>
                <c:formatCode>General</c:formatCode>
                <c:ptCount val="8"/>
                <c:pt idx="0">
                  <c:v>999459500</c:v>
                </c:pt>
                <c:pt idx="1">
                  <c:v>999459500</c:v>
                </c:pt>
                <c:pt idx="2">
                  <c:v>999459500</c:v>
                </c:pt>
                <c:pt idx="3">
                  <c:v>1066821000</c:v>
                </c:pt>
                <c:pt idx="4">
                  <c:v>932098000</c:v>
                </c:pt>
                <c:pt idx="5">
                  <c:v>1750000000</c:v>
                </c:pt>
                <c:pt idx="6">
                  <c:v>2650000000</c:v>
                </c:pt>
              </c:numCache>
            </c:numRef>
          </c:yVal>
          <c:smooth val="0"/>
          <c:extLst>
            <c:ext xmlns:c16="http://schemas.microsoft.com/office/drawing/2014/chart" uri="{C3380CC4-5D6E-409C-BE32-E72D297353CC}">
              <c16:uniqueId val="{00000000-5D65-DC4E-9FAD-3065D81F8DB1}"/>
            </c:ext>
          </c:extLst>
        </c:ser>
        <c:ser>
          <c:idx val="1"/>
          <c:order val="1"/>
          <c:spPr>
            <a:ln w="19050" cap="rnd">
              <a:no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Hay!$A$2:$A$9</c:f>
              <c:numCache>
                <c:formatCode>General</c:formatCode>
                <c:ptCount val="8"/>
                <c:pt idx="0">
                  <c:v>1987</c:v>
                </c:pt>
                <c:pt idx="1">
                  <c:v>1992</c:v>
                </c:pt>
                <c:pt idx="2">
                  <c:v>1997</c:v>
                </c:pt>
                <c:pt idx="3">
                  <c:v>2002</c:v>
                </c:pt>
                <c:pt idx="4">
                  <c:v>2007</c:v>
                </c:pt>
                <c:pt idx="5">
                  <c:v>2012</c:v>
                </c:pt>
                <c:pt idx="6">
                  <c:v>2017</c:v>
                </c:pt>
              </c:numCache>
            </c:numRef>
          </c:xVal>
          <c:yVal>
            <c:numRef>
              <c:f>Hay!$C$2:$C$9</c:f>
              <c:numCache>
                <c:formatCode>General</c:formatCode>
                <c:ptCount val="8"/>
                <c:pt idx="0">
                  <c:v>1560734500</c:v>
                </c:pt>
                <c:pt idx="1">
                  <c:v>1560734500</c:v>
                </c:pt>
                <c:pt idx="2">
                  <c:v>1560734500</c:v>
                </c:pt>
                <c:pt idx="3">
                  <c:v>1636334000</c:v>
                </c:pt>
                <c:pt idx="4">
                  <c:v>1485135000</c:v>
                </c:pt>
                <c:pt idx="5">
                  <c:v>1950000000</c:v>
                </c:pt>
                <c:pt idx="6">
                  <c:v>1550000000</c:v>
                </c:pt>
              </c:numCache>
            </c:numRef>
          </c:yVal>
          <c:smooth val="0"/>
          <c:extLst>
            <c:ext xmlns:c16="http://schemas.microsoft.com/office/drawing/2014/chart" uri="{C3380CC4-5D6E-409C-BE32-E72D297353CC}">
              <c16:uniqueId val="{00000001-5D65-DC4E-9FAD-3065D81F8DB1}"/>
            </c:ext>
          </c:extLst>
        </c:ser>
        <c:dLbls>
          <c:showLegendKey val="0"/>
          <c:showVal val="0"/>
          <c:showCatName val="0"/>
          <c:showSerName val="0"/>
          <c:showPercent val="0"/>
          <c:showBubbleSize val="0"/>
        </c:dLbls>
        <c:axId val="459925680"/>
        <c:axId val="485646480"/>
      </c:scatterChart>
      <c:valAx>
        <c:axId val="45992568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646480"/>
        <c:crosses val="autoZero"/>
        <c:crossBetween val="midCat"/>
      </c:valAx>
      <c:valAx>
        <c:axId val="4856464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9925680"/>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393700</xdr:colOff>
      <xdr:row>11</xdr:row>
      <xdr:rowOff>57150</xdr:rowOff>
    </xdr:from>
    <xdr:to>
      <xdr:col>4</xdr:col>
      <xdr:colOff>342900</xdr:colOff>
      <xdr:row>24</xdr:row>
      <xdr:rowOff>158750</xdr:rowOff>
    </xdr:to>
    <xdr:graphicFrame macro="">
      <xdr:nvGraphicFramePr>
        <xdr:cNvPr id="4" name="Chart 3">
          <a:extLst>
            <a:ext uri="{FF2B5EF4-FFF2-40B4-BE49-F238E27FC236}">
              <a16:creationId xmlns:a16="http://schemas.microsoft.com/office/drawing/2014/main" id="{398C1C43-4AA4-A24D-B027-19E92CC39E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malgren/Documents/Backup/MATLAB/N&amp;P/NANI%20stuff%20for%20Mikaela%202017/USDA%20Crop%20Yearbooks/OilCropsAllTable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malgren/Library/Containers/com.microsoft.Excel/Data/Downloads/OilCropsAllTabl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tab01"/>
      <sheetName val="tab02"/>
      <sheetName val="tab3"/>
      <sheetName val="tab4"/>
      <sheetName val="tab5"/>
      <sheetName val="tab6"/>
      <sheetName val="tab7"/>
      <sheetName val="tab8"/>
      <sheetName val="tab 9"/>
      <sheetName val="tab 10"/>
      <sheetName val="tab 11"/>
      <sheetName val="tab 12"/>
      <sheetName val="tab 13"/>
      <sheetName val="tab 14"/>
      <sheetName val="tab 15"/>
      <sheetName val="tab 16"/>
      <sheetName val="tab 17"/>
      <sheetName val="tab 18"/>
      <sheetName val="tab 19"/>
      <sheetName val="tab20"/>
      <sheetName val="tab21"/>
      <sheetName val="tab22"/>
      <sheetName val="tab23"/>
      <sheetName val="tab24"/>
      <sheetName val="tab25"/>
      <sheetName val="tab26"/>
      <sheetName val="tab27"/>
      <sheetName val="tab28"/>
      <sheetName val="tab29"/>
      <sheetName val="tab30"/>
      <sheetName val="tab31"/>
      <sheetName val="tab32"/>
      <sheetName val="tab33(1)"/>
      <sheetName val="tab33(2)"/>
      <sheetName val="tab33(3)"/>
      <sheetName val="tab33(4)"/>
      <sheetName val="tab33(5)"/>
      <sheetName val="tab33(6)"/>
      <sheetName val="tab34"/>
      <sheetName val="tab35"/>
      <sheetName val="tab36"/>
      <sheetName val="tab37"/>
      <sheetName val="tab38"/>
      <sheetName val="tab39"/>
      <sheetName val="tab40"/>
      <sheetName val="tab41"/>
      <sheetName val="tab42"/>
      <sheetName val="tab43"/>
      <sheetName val="tab44"/>
      <sheetName val="tab45"/>
      <sheetName val="tab46"/>
      <sheetName val="tab47"/>
      <sheetName val="tab48"/>
    </sheetNames>
    <sheetDataSet>
      <sheetData sheetId="0"/>
      <sheetData sheetId="1">
        <row r="8">
          <cell r="D8">
            <v>290162</v>
          </cell>
        </row>
        <row r="13">
          <cell r="D13">
            <v>247747</v>
          </cell>
        </row>
        <row r="18">
          <cell r="D18">
            <v>208061</v>
          </cell>
        </row>
        <row r="23">
          <cell r="D23">
            <v>178329</v>
          </cell>
        </row>
        <row r="28">
          <cell r="D28">
            <v>112414</v>
          </cell>
        </row>
        <row r="33">
          <cell r="D33">
            <v>255738</v>
          </cell>
        </row>
        <row r="38">
          <cell r="D38">
            <v>449326</v>
          </cell>
        </row>
        <row r="43">
          <cell r="D43">
            <v>573810</v>
          </cell>
        </row>
        <row r="48">
          <cell r="D48">
            <v>205034</v>
          </cell>
        </row>
        <row r="53">
          <cell r="D53">
            <v>138198</v>
          </cell>
        </row>
        <row r="58">
          <cell r="D58">
            <v>150885</v>
          </cell>
        </row>
        <row r="63">
          <cell r="D63">
            <v>215013</v>
          </cell>
        </row>
        <row r="68">
          <cell r="D68">
            <v>169370</v>
          </cell>
        </row>
        <row r="73">
          <cell r="D73">
            <v>140557</v>
          </cell>
        </row>
        <row r="78">
          <cell r="D78">
            <v>91991</v>
          </cell>
        </row>
        <row r="83">
          <cell r="D83">
            <v>190610</v>
          </cell>
        </row>
        <row r="88">
          <cell r="D88">
            <v>196729</v>
          </cell>
        </row>
      </sheetData>
      <sheetData sheetId="2">
        <row r="26">
          <cell r="E26">
            <v>1797543</v>
          </cell>
        </row>
        <row r="27">
          <cell r="E27">
            <v>1989110</v>
          </cell>
        </row>
        <row r="28">
          <cell r="E28">
            <v>2190297</v>
          </cell>
        </row>
        <row r="29">
          <cell r="E29">
            <v>1635772</v>
          </cell>
        </row>
        <row r="30">
          <cell r="E30">
            <v>1860863</v>
          </cell>
        </row>
        <row r="31">
          <cell r="E31">
            <v>2099056</v>
          </cell>
        </row>
        <row r="32">
          <cell r="E32">
            <v>1942558</v>
          </cell>
        </row>
        <row r="33">
          <cell r="E33">
            <v>1937722</v>
          </cell>
        </row>
        <row r="34">
          <cell r="E34">
            <v>1548841</v>
          </cell>
        </row>
        <row r="35">
          <cell r="E35">
            <v>1923666</v>
          </cell>
        </row>
        <row r="36">
          <cell r="E36">
            <v>1925947</v>
          </cell>
        </row>
        <row r="37">
          <cell r="E37">
            <v>1986539</v>
          </cell>
        </row>
        <row r="38">
          <cell r="E38">
            <v>2190354</v>
          </cell>
        </row>
        <row r="39">
          <cell r="E39">
            <v>1869718</v>
          </cell>
        </row>
        <row r="40">
          <cell r="E40">
            <v>2514869</v>
          </cell>
        </row>
        <row r="41">
          <cell r="E41">
            <v>2174254</v>
          </cell>
        </row>
        <row r="42">
          <cell r="E42">
            <v>2380274</v>
          </cell>
        </row>
        <row r="43">
          <cell r="E43">
            <v>2688750</v>
          </cell>
        </row>
        <row r="44">
          <cell r="E44">
            <v>2741014</v>
          </cell>
        </row>
        <row r="45">
          <cell r="E45">
            <v>2653758</v>
          </cell>
        </row>
        <row r="46">
          <cell r="E46">
            <v>2757810</v>
          </cell>
        </row>
        <row r="47">
          <cell r="E47">
            <v>2890682</v>
          </cell>
        </row>
        <row r="48">
          <cell r="E48">
            <v>2756147</v>
          </cell>
        </row>
        <row r="49">
          <cell r="E49">
            <v>2453845</v>
          </cell>
        </row>
        <row r="50">
          <cell r="E50">
            <v>3123790</v>
          </cell>
        </row>
        <row r="51">
          <cell r="E51">
            <v>3068342</v>
          </cell>
        </row>
        <row r="52">
          <cell r="E52">
            <v>3196726</v>
          </cell>
        </row>
        <row r="53">
          <cell r="E53">
            <v>2677117</v>
          </cell>
        </row>
        <row r="54">
          <cell r="E54">
            <v>2967007</v>
          </cell>
        </row>
        <row r="55">
          <cell r="E55">
            <v>3360931</v>
          </cell>
        </row>
        <row r="56">
          <cell r="E56">
            <v>3331306</v>
          </cell>
        </row>
        <row r="57">
          <cell r="E57">
            <v>3097179</v>
          </cell>
        </row>
        <row r="58">
          <cell r="E58">
            <v>3042044</v>
          </cell>
        </row>
        <row r="59">
          <cell r="E59">
            <v>3357984</v>
          </cell>
        </row>
        <row r="60">
          <cell r="E60">
            <v>3927090</v>
          </cell>
        </row>
        <row r="61">
          <cell r="E61">
            <v>3926339</v>
          </cell>
        </row>
        <row r="62">
          <cell r="E62">
            <v>4296086</v>
          </cell>
        </row>
        <row r="63">
          <cell r="E63">
            <v>4391553</v>
          </cell>
        </row>
      </sheetData>
      <sheetData sheetId="3"/>
      <sheetData sheetId="4"/>
      <sheetData sheetId="5"/>
      <sheetData sheetId="6">
        <row r="12">
          <cell r="F12">
            <v>1639670</v>
          </cell>
          <cell r="G12">
            <v>995871.18845340004</v>
          </cell>
        </row>
        <row r="19">
          <cell r="F19">
            <v>1699740.8</v>
          </cell>
          <cell r="G19">
            <v>1063651.4467383001</v>
          </cell>
        </row>
        <row r="26">
          <cell r="F26">
            <v>1614787.4333333333</v>
          </cell>
          <cell r="G26">
            <v>1044372.1008357001</v>
          </cell>
        </row>
        <row r="33">
          <cell r="F33">
            <v>1529698.7333333334</v>
          </cell>
          <cell r="G33">
            <v>886550.56059570005</v>
          </cell>
        </row>
        <row r="40">
          <cell r="F40">
            <v>1696081.2333333334</v>
          </cell>
          <cell r="G40">
            <v>1097156.2998144</v>
          </cell>
        </row>
        <row r="47">
          <cell r="F47">
            <v>1738851.7333333334</v>
          </cell>
          <cell r="G47">
            <v>939878.75005290005</v>
          </cell>
        </row>
        <row r="54">
          <cell r="F54">
            <v>1807705.6423333334</v>
          </cell>
          <cell r="G54">
            <v>1116495.8686412999</v>
          </cell>
        </row>
        <row r="61">
          <cell r="F61">
            <v>1803407.3376666666</v>
          </cell>
          <cell r="G61">
            <v>1158829.057029</v>
          </cell>
        </row>
        <row r="68">
          <cell r="F68">
            <v>1661922.0666666664</v>
          </cell>
          <cell r="G68">
            <v>1279293.5714286</v>
          </cell>
        </row>
        <row r="75">
          <cell r="F75">
            <v>1751686.2683333335</v>
          </cell>
          <cell r="G75">
            <v>1499048.1245103001</v>
          </cell>
        </row>
        <row r="82">
          <cell r="F82">
            <v>1648042.5946666668</v>
          </cell>
          <cell r="G82">
            <v>1504977.6390978</v>
          </cell>
        </row>
        <row r="89">
          <cell r="F89">
            <v>1703019</v>
          </cell>
          <cell r="G89">
            <v>1365250.9814978098</v>
          </cell>
        </row>
        <row r="96">
          <cell r="F96">
            <v>1688903</v>
          </cell>
          <cell r="G96">
            <v>1327526</v>
          </cell>
        </row>
        <row r="103">
          <cell r="F103">
            <v>1733888</v>
          </cell>
          <cell r="G103">
            <v>1638558.9397691786</v>
          </cell>
        </row>
        <row r="110">
          <cell r="F110">
            <v>1873493.7851587886</v>
          </cell>
          <cell r="G110">
            <v>1842422.6925928909</v>
          </cell>
        </row>
        <row r="129">
          <cell r="F129">
            <v>1886236.8</v>
          </cell>
          <cell r="G129">
            <v>1942256.289243398</v>
          </cell>
        </row>
        <row r="148">
          <cell r="F148">
            <v>1901198.0666666667</v>
          </cell>
          <cell r="G148">
            <v>2173652.5417372668</v>
          </cell>
        </row>
      </sheetData>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tab01"/>
      <sheetName val="tab02"/>
      <sheetName val="tab3"/>
      <sheetName val="tab4"/>
      <sheetName val="tab5"/>
      <sheetName val="tab6"/>
      <sheetName val="tab7"/>
      <sheetName val="tab8"/>
      <sheetName val="tab 9"/>
      <sheetName val="tab 10"/>
      <sheetName val="tab 11"/>
      <sheetName val="tab 12"/>
      <sheetName val="tab 13"/>
      <sheetName val="tab 14"/>
      <sheetName val="tab 15"/>
      <sheetName val="tab 16"/>
      <sheetName val="tab 17"/>
      <sheetName val="tab 18"/>
      <sheetName val="tab 19"/>
      <sheetName val="tab 20"/>
      <sheetName val="tab21"/>
      <sheetName val="tab22"/>
      <sheetName val="tab23"/>
      <sheetName val="tab24"/>
      <sheetName val="tab25"/>
      <sheetName val="tab26"/>
      <sheetName val="tab27"/>
      <sheetName val="tab28"/>
      <sheetName val="tab29"/>
      <sheetName val="tab30"/>
      <sheetName val="tab31"/>
      <sheetName val="tab32"/>
      <sheetName val="tab33"/>
      <sheetName val="tab34(1)"/>
      <sheetName val="tab34(2)"/>
      <sheetName val="tab34(3)"/>
      <sheetName val="tab34(4)"/>
      <sheetName val="tab34(5)"/>
      <sheetName val="tab34(6)"/>
      <sheetName val="tab34(7)"/>
      <sheetName val="tab35"/>
      <sheetName val="tab36"/>
      <sheetName val="tab37"/>
      <sheetName val="tab38"/>
      <sheetName val="tab39"/>
      <sheetName val="tab40"/>
      <sheetName val="tab41"/>
      <sheetName val="tab42"/>
      <sheetName val="tab43"/>
    </sheetNames>
    <sheetDataSet>
      <sheetData sheetId="0"/>
      <sheetData sheetId="1"/>
      <sheetData sheetId="2"/>
      <sheetData sheetId="3"/>
      <sheetData sheetId="4"/>
      <sheetData sheetId="5"/>
      <sheetData sheetId="6"/>
      <sheetData sheetId="7"/>
      <sheetData sheetId="8"/>
      <sheetData sheetId="9"/>
      <sheetData sheetId="10">
        <row r="6">
          <cell r="E6">
            <v>2309.3270000000002</v>
          </cell>
        </row>
        <row r="7">
          <cell r="E7">
            <v>3981.85</v>
          </cell>
        </row>
        <row r="8">
          <cell r="E8">
            <v>3440.2550000000001</v>
          </cell>
        </row>
        <row r="9">
          <cell r="E9">
            <v>3295.53</v>
          </cell>
        </row>
        <row r="10">
          <cell r="E10">
            <v>4405.9449999999997</v>
          </cell>
        </row>
        <row r="11">
          <cell r="E11">
            <v>4122.7870000000003</v>
          </cell>
        </row>
        <row r="12">
          <cell r="E12">
            <v>3697.085</v>
          </cell>
        </row>
        <row r="13">
          <cell r="E13">
            <v>3616.01</v>
          </cell>
        </row>
        <row r="14">
          <cell r="E14">
            <v>3980.9169999999999</v>
          </cell>
        </row>
        <row r="15">
          <cell r="E15">
            <v>3989.9949999999999</v>
          </cell>
        </row>
        <row r="16">
          <cell r="E16">
            <v>3603.65</v>
          </cell>
        </row>
        <row r="17">
          <cell r="E17">
            <v>4926.57</v>
          </cell>
        </row>
        <row r="18">
          <cell r="E18">
            <v>4284.4160000000002</v>
          </cell>
        </row>
        <row r="19">
          <cell r="E19">
            <v>3392.415</v>
          </cell>
        </row>
        <row r="20">
          <cell r="E20">
            <v>4247.4549999999999</v>
          </cell>
        </row>
        <row r="21">
          <cell r="E21">
            <v>3461.4749999999999</v>
          </cell>
        </row>
        <row r="22">
          <cell r="E22">
            <v>3661.2049999999999</v>
          </cell>
        </row>
        <row r="23">
          <cell r="E23">
            <v>3539.38</v>
          </cell>
        </row>
        <row r="24">
          <cell r="E24">
            <v>3963.44</v>
          </cell>
        </row>
        <row r="25">
          <cell r="E25">
            <v>3829.49</v>
          </cell>
        </row>
        <row r="26">
          <cell r="E26">
            <v>3265.5050000000001</v>
          </cell>
        </row>
        <row r="27">
          <cell r="E27">
            <v>4276.7039999999997</v>
          </cell>
        </row>
        <row r="28">
          <cell r="E28">
            <v>3321.04</v>
          </cell>
        </row>
        <row r="29">
          <cell r="E29">
            <v>4144.1499999999996</v>
          </cell>
        </row>
        <row r="30">
          <cell r="E30">
            <v>4288.2</v>
          </cell>
        </row>
        <row r="31">
          <cell r="E31">
            <v>4869.8599999999997</v>
          </cell>
        </row>
        <row r="32">
          <cell r="E32">
            <v>3464.25</v>
          </cell>
        </row>
        <row r="33">
          <cell r="E33">
            <v>3672.25</v>
          </cell>
        </row>
        <row r="34">
          <cell r="E34">
            <v>5162.3999999999996</v>
          </cell>
        </row>
        <row r="35">
          <cell r="E35">
            <v>3691.65</v>
          </cell>
        </row>
        <row r="36">
          <cell r="E36">
            <v>4156.84</v>
          </cell>
        </row>
        <row r="37">
          <cell r="E37">
            <v>3658.59</v>
          </cell>
        </row>
        <row r="38">
          <cell r="E38">
            <v>6753.88</v>
          </cell>
        </row>
        <row r="39">
          <cell r="E39">
            <v>4173.17</v>
          </cell>
        </row>
        <row r="40">
          <cell r="E40">
            <v>5188.665</v>
          </cell>
        </row>
        <row r="41">
          <cell r="E41">
            <v>6001.357</v>
          </cell>
        </row>
        <row r="42">
          <cell r="E42">
            <v>5581.57</v>
          </cell>
        </row>
        <row r="43">
          <cell r="E43">
            <v>7115.41</v>
          </cell>
        </row>
        <row r="44">
          <cell r="E44">
            <v>5495.9350000000004</v>
          </cell>
        </row>
        <row r="45">
          <cell r="E45">
            <v>5496.0870000000004</v>
          </cell>
        </row>
      </sheetData>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6.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96CEFA-904A-5B40-9ECF-F9785C02A053}">
  <dimension ref="A1:P78"/>
  <sheetViews>
    <sheetView topLeftCell="A3" zoomScale="112" workbookViewId="0">
      <selection activeCell="H21" sqref="H21"/>
    </sheetView>
  </sheetViews>
  <sheetFormatPr baseColWidth="10" defaultRowHeight="16"/>
  <cols>
    <col min="15" max="15" width="10.83203125" style="27"/>
    <col min="16" max="16" width="12.1640625" bestFit="1" customWidth="1"/>
  </cols>
  <sheetData>
    <row r="1" spans="1:16" ht="48">
      <c r="A1" s="1" t="s">
        <v>0</v>
      </c>
      <c r="B1" s="2"/>
      <c r="C1" s="2"/>
      <c r="D1" s="2"/>
      <c r="E1" s="2"/>
      <c r="F1" s="2"/>
      <c r="G1" s="2"/>
      <c r="H1" s="2"/>
      <c r="I1" s="2"/>
      <c r="J1" s="2"/>
      <c r="K1" s="2"/>
      <c r="L1" s="2"/>
      <c r="M1" s="2"/>
      <c r="N1" s="2"/>
      <c r="O1" s="24"/>
      <c r="P1" t="s">
        <v>51</v>
      </c>
    </row>
    <row r="2" spans="1:16" ht="25">
      <c r="A2" s="3" t="s">
        <v>1</v>
      </c>
      <c r="B2" s="4"/>
      <c r="C2" s="5" t="s">
        <v>2</v>
      </c>
      <c r="D2" s="5" t="s">
        <v>3</v>
      </c>
      <c r="E2" s="5" t="s">
        <v>4</v>
      </c>
      <c r="F2" s="5" t="s">
        <v>5</v>
      </c>
      <c r="G2" s="5" t="s">
        <v>6</v>
      </c>
      <c r="H2" s="5" t="s">
        <v>7</v>
      </c>
      <c r="I2" s="5" t="s">
        <v>8</v>
      </c>
      <c r="J2" s="5" t="s">
        <v>9</v>
      </c>
      <c r="K2" s="5" t="s">
        <v>10</v>
      </c>
      <c r="L2" s="5" t="s">
        <v>11</v>
      </c>
      <c r="M2" s="5" t="s">
        <v>12</v>
      </c>
      <c r="N2" s="5" t="s">
        <v>13</v>
      </c>
      <c r="O2" s="28" t="s">
        <v>14</v>
      </c>
    </row>
    <row r="3" spans="1:16">
      <c r="A3" s="1" t="s">
        <v>15</v>
      </c>
      <c r="B3" s="6" t="s">
        <v>16</v>
      </c>
      <c r="C3" s="7"/>
      <c r="D3" s="7"/>
      <c r="E3" s="7"/>
      <c r="F3" s="7"/>
      <c r="G3" s="8">
        <v>2454.1771812454126</v>
      </c>
      <c r="H3" s="8">
        <v>3910.1235749057382</v>
      </c>
      <c r="I3" s="8">
        <v>5795.4626469559507</v>
      </c>
      <c r="J3" s="8">
        <v>2465.3607130848109</v>
      </c>
      <c r="K3" s="8">
        <v>1829.5831365612794</v>
      </c>
      <c r="L3" s="8">
        <v>1756.6741533408658</v>
      </c>
      <c r="M3" s="8">
        <v>2096.0557289643152</v>
      </c>
      <c r="N3" s="8">
        <v>4037.2024277243386</v>
      </c>
      <c r="O3" s="29"/>
    </row>
    <row r="4" spans="1:16">
      <c r="A4" s="2"/>
      <c r="B4" s="6" t="s">
        <v>17</v>
      </c>
      <c r="C4" s="8">
        <v>4157.1544505365782</v>
      </c>
      <c r="D4" s="8">
        <v>4146.8655261171134</v>
      </c>
      <c r="E4" s="8">
        <v>2555.9287793491703</v>
      </c>
      <c r="F4" s="8">
        <v>3156.7571346150294</v>
      </c>
      <c r="G4" s="8">
        <v>2000.04930981137</v>
      </c>
      <c r="H4" s="8">
        <v>1093.0086305403299</v>
      </c>
      <c r="I4" s="8">
        <v>2312.6876096468177</v>
      </c>
      <c r="J4" s="8">
        <v>532.45645120958841</v>
      </c>
      <c r="K4" s="8">
        <v>2121.8575802551695</v>
      </c>
      <c r="L4" s="8">
        <v>1049.8151240978873</v>
      </c>
      <c r="M4" s="8">
        <v>1148.6173214124001</v>
      </c>
      <c r="N4" s="8">
        <v>795.96166141455967</v>
      </c>
      <c r="O4" s="30">
        <v>25071.159579006009</v>
      </c>
    </row>
    <row r="5" spans="1:16">
      <c r="A5" s="2"/>
      <c r="B5" s="6" t="s">
        <v>18</v>
      </c>
      <c r="C5" s="8">
        <v>726.86297422917005</v>
      </c>
      <c r="D5" s="8">
        <v>1125.1013152383202</v>
      </c>
      <c r="E5" s="8">
        <v>594.92113396037325</v>
      </c>
      <c r="F5" s="8">
        <v>671.12610946853397</v>
      </c>
      <c r="G5" s="8">
        <v>1311.0527779821991</v>
      </c>
      <c r="H5" s="8">
        <v>820.49564711231778</v>
      </c>
      <c r="I5" s="8">
        <v>1055.9663432423752</v>
      </c>
      <c r="J5" s="8">
        <v>1783.8953515346402</v>
      </c>
      <c r="K5" s="8">
        <v>1593.03430248156</v>
      </c>
      <c r="L5" s="8">
        <v>1888.140785487255</v>
      </c>
      <c r="M5" s="8">
        <v>2294.6218555329901</v>
      </c>
      <c r="N5" s="8">
        <v>1547.6518415790426</v>
      </c>
      <c r="O5" s="30">
        <v>15412.870437848778</v>
      </c>
    </row>
    <row r="6" spans="1:16">
      <c r="A6" s="2"/>
      <c r="B6" s="6" t="s">
        <v>19</v>
      </c>
      <c r="C6" s="8">
        <v>261.93919688667677</v>
      </c>
      <c r="D6" s="8">
        <v>671.25189957019427</v>
      </c>
      <c r="E6" s="8">
        <v>1513.3421820296721</v>
      </c>
      <c r="F6" s="8">
        <v>2582.0917180793326</v>
      </c>
      <c r="G6" s="8">
        <v>100189.24870975426</v>
      </c>
      <c r="H6" s="8">
        <v>134155.43641885725</v>
      </c>
      <c r="I6" s="8">
        <v>124300.24708768202</v>
      </c>
      <c r="J6" s="8">
        <v>142446.22570325475</v>
      </c>
      <c r="K6" s="8">
        <v>104711.88799347977</v>
      </c>
      <c r="L6" s="8">
        <v>147780.58779251549</v>
      </c>
      <c r="M6" s="8">
        <v>146358.25441415099</v>
      </c>
      <c r="N6" s="8">
        <v>135557.51109261301</v>
      </c>
      <c r="O6" s="30">
        <v>1040528.0242088734</v>
      </c>
    </row>
    <row r="7" spans="1:16">
      <c r="A7" s="2"/>
      <c r="B7" s="6" t="s">
        <v>20</v>
      </c>
      <c r="C7" s="8">
        <v>153957.06970050154</v>
      </c>
      <c r="D7" s="8">
        <v>139423.23274197377</v>
      </c>
      <c r="E7" s="8">
        <v>194133.82659243076</v>
      </c>
      <c r="F7" s="8">
        <v>173102.44720680005</v>
      </c>
      <c r="G7" s="8">
        <v>153676.63020783605</v>
      </c>
      <c r="H7" s="8">
        <v>136262.66317929677</v>
      </c>
      <c r="I7" s="8">
        <v>135915.16451820979</v>
      </c>
      <c r="J7" s="8">
        <v>153345.01525773524</v>
      </c>
      <c r="K7" s="8">
        <v>122030.47874379151</v>
      </c>
      <c r="L7" s="8">
        <v>111325.83249377026</v>
      </c>
      <c r="M7" s="8">
        <v>91300.944110366254</v>
      </c>
      <c r="N7" s="8">
        <v>98804.662475591264</v>
      </c>
      <c r="O7" s="30">
        <v>1663277.9672283032</v>
      </c>
    </row>
    <row r="8" spans="1:16">
      <c r="A8" s="2"/>
      <c r="B8" s="6" t="s">
        <v>21</v>
      </c>
      <c r="C8" s="8">
        <v>138867.69370544102</v>
      </c>
      <c r="D8" s="8">
        <v>151370.53870871471</v>
      </c>
      <c r="E8" s="8">
        <v>145171.37348433901</v>
      </c>
      <c r="F8" s="8">
        <v>141959.528823186</v>
      </c>
      <c r="G8" s="8">
        <v>101814.26326369202</v>
      </c>
      <c r="H8" s="8">
        <v>86221.275071953511</v>
      </c>
      <c r="I8" s="8">
        <v>111186.98327432475</v>
      </c>
      <c r="J8" s="8">
        <v>86418.559923394496</v>
      </c>
      <c r="K8" s="8">
        <v>72243.002621216248</v>
      </c>
      <c r="L8" s="8">
        <v>86503.877771219995</v>
      </c>
      <c r="M8" s="8">
        <v>93042.170628212276</v>
      </c>
      <c r="N8" s="8">
        <v>113522.60422851075</v>
      </c>
      <c r="O8" s="30">
        <v>1328321.8715042048</v>
      </c>
    </row>
    <row r="9" spans="1:16">
      <c r="A9" s="2"/>
      <c r="B9" s="6" t="s">
        <v>22</v>
      </c>
      <c r="C9" s="8">
        <v>115520.55260060026</v>
      </c>
      <c r="D9" s="8">
        <v>139916.65273493627</v>
      </c>
      <c r="E9" s="8">
        <v>193866.58105380676</v>
      </c>
      <c r="F9" s="8">
        <v>207171.69686073673</v>
      </c>
      <c r="G9" s="8">
        <v>190433.02846311903</v>
      </c>
      <c r="H9" s="8">
        <v>192829.80803304823</v>
      </c>
      <c r="I9" s="8">
        <v>196274.07359066251</v>
      </c>
      <c r="J9" s="8">
        <v>165098.12583582225</v>
      </c>
      <c r="K9" s="8">
        <v>206789.456860704</v>
      </c>
      <c r="L9" s="8">
        <v>167713.91149228878</v>
      </c>
      <c r="M9" s="8">
        <v>192044.86488905177</v>
      </c>
      <c r="N9" s="8">
        <v>209822.78422381953</v>
      </c>
      <c r="O9" s="30">
        <v>2177481.5366385961</v>
      </c>
    </row>
    <row r="10" spans="1:16">
      <c r="A10" s="2"/>
      <c r="B10" s="6" t="s">
        <v>23</v>
      </c>
      <c r="C10" s="8">
        <v>250425.94410368553</v>
      </c>
      <c r="D10" s="8">
        <v>209230.80337615052</v>
      </c>
      <c r="E10" s="8">
        <v>200764.60090149153</v>
      </c>
      <c r="F10" s="8">
        <v>184680.46383176476</v>
      </c>
      <c r="G10" s="8">
        <v>214062.70081385251</v>
      </c>
      <c r="H10" s="8">
        <v>163438.07535032404</v>
      </c>
      <c r="I10" s="8">
        <v>214041.35908868627</v>
      </c>
      <c r="J10" s="8">
        <v>198443.24361543599</v>
      </c>
      <c r="K10" s="8">
        <v>197235.06875351327</v>
      </c>
      <c r="L10" s="8">
        <v>137330.89666778251</v>
      </c>
      <c r="M10" s="8">
        <v>148286.93860213651</v>
      </c>
      <c r="N10" s="8">
        <v>109883.98466756326</v>
      </c>
      <c r="O10" s="30">
        <v>2227824.0797723872</v>
      </c>
    </row>
    <row r="11" spans="1:16">
      <c r="A11" s="2"/>
      <c r="B11" s="6" t="s">
        <v>24</v>
      </c>
      <c r="C11" s="8">
        <v>100255.66696306576</v>
      </c>
      <c r="D11" s="8">
        <v>144716.45937986026</v>
      </c>
      <c r="E11" s="8">
        <v>241558.48633119304</v>
      </c>
      <c r="F11" s="8">
        <v>188288.77999722079</v>
      </c>
      <c r="G11" s="8">
        <v>183018.490837146</v>
      </c>
      <c r="H11" s="8">
        <v>153411.22100123327</v>
      </c>
      <c r="I11" s="8">
        <v>166542.70554300153</v>
      </c>
      <c r="J11" s="8">
        <v>143137.16541863777</v>
      </c>
      <c r="K11" s="8">
        <v>123177.72454623679</v>
      </c>
      <c r="L11" s="8">
        <v>113170.27898060551</v>
      </c>
      <c r="M11" s="8">
        <v>97418.322661468512</v>
      </c>
      <c r="N11" s="8">
        <v>142673.338184886</v>
      </c>
      <c r="O11" s="30">
        <v>1797368.6398445552</v>
      </c>
    </row>
    <row r="12" spans="1:16">
      <c r="A12" s="2"/>
      <c r="B12" s="6" t="s">
        <v>25</v>
      </c>
      <c r="C12" s="8">
        <v>141991.07704274252</v>
      </c>
      <c r="D12" s="8">
        <v>117548.46879321826</v>
      </c>
      <c r="E12" s="8">
        <v>120547.29563297327</v>
      </c>
      <c r="F12" s="8">
        <v>141046.08046743151</v>
      </c>
      <c r="G12" s="8">
        <v>118476.54859529476</v>
      </c>
      <c r="H12" s="8">
        <v>120378.84944191428</v>
      </c>
      <c r="I12" s="8">
        <v>131336.347804677</v>
      </c>
      <c r="J12" s="8">
        <v>105847.07691504825</v>
      </c>
      <c r="K12" s="8">
        <v>113138.5869094635</v>
      </c>
      <c r="L12" s="8">
        <v>128518.75211327324</v>
      </c>
      <c r="M12" s="8">
        <v>128382.10468131375</v>
      </c>
      <c r="N12" s="8">
        <v>137214.98146174272</v>
      </c>
      <c r="O12" s="30">
        <v>1504426.1698590929</v>
      </c>
    </row>
    <row r="13" spans="1:16">
      <c r="A13" s="2"/>
      <c r="B13" s="6" t="s">
        <v>26</v>
      </c>
      <c r="C13" s="8">
        <v>125229.80256924151</v>
      </c>
      <c r="D13" s="8">
        <v>157177.6665535215</v>
      </c>
      <c r="E13" s="8">
        <v>167811.78552850577</v>
      </c>
      <c r="F13" s="8">
        <v>188686.84331734426</v>
      </c>
      <c r="G13" s="8">
        <v>129788.67820120651</v>
      </c>
      <c r="H13" s="8">
        <v>146606.29627789801</v>
      </c>
      <c r="I13" s="8">
        <v>173263.21399080454</v>
      </c>
      <c r="J13" s="8">
        <v>173611.16857559473</v>
      </c>
      <c r="K13" s="8">
        <v>150478.31460326852</v>
      </c>
      <c r="L13" s="8">
        <v>199202.79494681099</v>
      </c>
      <c r="M13" s="8">
        <v>188634.21906894079</v>
      </c>
      <c r="N13" s="8">
        <v>183702.51095269952</v>
      </c>
      <c r="O13" s="30">
        <v>1984193.2945858364</v>
      </c>
    </row>
    <row r="14" spans="1:16">
      <c r="A14" s="2"/>
      <c r="B14" s="6" t="s">
        <v>27</v>
      </c>
      <c r="C14" s="8">
        <v>190715.10614740351</v>
      </c>
      <c r="D14" s="8">
        <v>181235.60570325155</v>
      </c>
      <c r="E14" s="8">
        <v>163066.34407473679</v>
      </c>
      <c r="F14" s="8">
        <v>164370.89843600176</v>
      </c>
      <c r="G14" s="8">
        <v>156648.45936468375</v>
      </c>
      <c r="H14" s="8">
        <v>144080.43998732552</v>
      </c>
      <c r="I14" s="8">
        <v>154046.70817439625</v>
      </c>
      <c r="J14" s="8">
        <v>153092.64453995475</v>
      </c>
      <c r="K14" s="8">
        <v>144008.70654784501</v>
      </c>
      <c r="L14" s="8">
        <v>143632.56598888952</v>
      </c>
      <c r="M14" s="8">
        <v>153539.23316502824</v>
      </c>
      <c r="N14" s="8">
        <v>188128.94332749076</v>
      </c>
      <c r="O14" s="30">
        <v>1936565.6554570075</v>
      </c>
    </row>
    <row r="15" spans="1:16">
      <c r="A15" s="2"/>
      <c r="B15" s="6" t="s">
        <v>28</v>
      </c>
      <c r="C15" s="8">
        <v>202614.383242827</v>
      </c>
      <c r="D15" s="8">
        <v>157351.78019785052</v>
      </c>
      <c r="E15" s="8">
        <v>146709.02174229902</v>
      </c>
      <c r="F15" s="8">
        <v>140378.3917979715</v>
      </c>
      <c r="G15" s="8">
        <v>130467.27053739602</v>
      </c>
      <c r="H15" s="8">
        <v>144441.27302900178</v>
      </c>
      <c r="I15" s="8">
        <v>175632.2733523343</v>
      </c>
      <c r="J15" s="8">
        <v>164881.76187064729</v>
      </c>
      <c r="K15" s="8">
        <v>114674.90294584351</v>
      </c>
      <c r="L15" s="8">
        <v>154600.18348789576</v>
      </c>
      <c r="M15" s="8">
        <v>183033.42352931702</v>
      </c>
      <c r="N15" s="8">
        <v>226563.25612033802</v>
      </c>
      <c r="O15" s="30">
        <v>1941347.9218537214</v>
      </c>
    </row>
    <row r="16" spans="1:16">
      <c r="A16" s="2"/>
      <c r="B16" s="6" t="s">
        <v>29</v>
      </c>
      <c r="C16" s="8">
        <v>163900.206796707</v>
      </c>
      <c r="D16" s="8">
        <v>144338.85514873799</v>
      </c>
      <c r="E16" s="8">
        <v>139642.0513569045</v>
      </c>
      <c r="F16" s="8">
        <v>142520.31403334552</v>
      </c>
      <c r="G16" s="8">
        <v>146425.78781251202</v>
      </c>
      <c r="H16" s="8">
        <v>159431.81967789074</v>
      </c>
      <c r="I16" s="8">
        <v>176789.42794646329</v>
      </c>
      <c r="J16" s="8">
        <v>157315.50353652303</v>
      </c>
      <c r="K16" s="8">
        <v>162780.641165151</v>
      </c>
      <c r="L16" s="8">
        <v>169917.92021369026</v>
      </c>
      <c r="M16" s="8">
        <v>173417.26722840001</v>
      </c>
      <c r="N16" s="8">
        <v>168287.70940506674</v>
      </c>
      <c r="O16" s="30">
        <v>1904767.5043213922</v>
      </c>
    </row>
    <row r="17" spans="1:15">
      <c r="A17" s="2"/>
      <c r="B17" s="6" t="s">
        <v>30</v>
      </c>
      <c r="C17" s="8">
        <v>120116.95117458302</v>
      </c>
      <c r="D17" s="8">
        <v>127811.33347833226</v>
      </c>
      <c r="E17" s="8">
        <v>145497.45628984502</v>
      </c>
      <c r="F17" s="8">
        <v>161093.46721518674</v>
      </c>
      <c r="G17" s="8">
        <v>123334.2466848945</v>
      </c>
      <c r="H17" s="8">
        <v>105761.48128485077</v>
      </c>
      <c r="I17" s="8">
        <v>134548.55158300654</v>
      </c>
      <c r="J17" s="8">
        <v>129021.48206746875</v>
      </c>
      <c r="K17" s="8">
        <v>129844.11716138024</v>
      </c>
      <c r="L17" s="8">
        <v>144671.35509709877</v>
      </c>
      <c r="M17" s="8">
        <v>138813.20450429851</v>
      </c>
      <c r="N17" s="8">
        <v>127373.85336715652</v>
      </c>
      <c r="O17" s="30">
        <v>1587887.4999081017</v>
      </c>
    </row>
    <row r="18" spans="1:15">
      <c r="A18" s="2"/>
      <c r="B18" s="6" t="s">
        <v>31</v>
      </c>
      <c r="C18" s="8">
        <v>143326.93357200152</v>
      </c>
      <c r="D18" s="8">
        <v>158272.37676486227</v>
      </c>
      <c r="E18" s="8">
        <v>167950.32677013153</v>
      </c>
      <c r="F18" s="8">
        <v>192577.58171800876</v>
      </c>
      <c r="G18" s="8">
        <v>162874.54963754554</v>
      </c>
      <c r="H18" s="8">
        <v>150439.66037521875</v>
      </c>
      <c r="I18" s="8">
        <v>170807.40842260278</v>
      </c>
      <c r="J18" s="8">
        <v>136035.86544682429</v>
      </c>
      <c r="K18" s="8">
        <v>158050.5526202535</v>
      </c>
      <c r="L18" s="8">
        <v>139246.52185608749</v>
      </c>
      <c r="M18" s="8">
        <v>167286.46512762224</v>
      </c>
      <c r="N18" s="8">
        <v>152949.14506408275</v>
      </c>
      <c r="O18" s="30">
        <v>1899817.3873752414</v>
      </c>
    </row>
    <row r="19" spans="1:15">
      <c r="A19" s="2"/>
      <c r="B19" s="6" t="s">
        <v>32</v>
      </c>
      <c r="C19" s="8">
        <v>165001.51717389672</v>
      </c>
      <c r="D19" s="8">
        <v>155878.09180346251</v>
      </c>
      <c r="E19" s="8">
        <v>178010.53897912652</v>
      </c>
      <c r="F19" s="8">
        <v>181472.39745966901</v>
      </c>
      <c r="G19" s="8">
        <v>145589.54012258851</v>
      </c>
      <c r="H19" s="8">
        <v>112145.64177406502</v>
      </c>
      <c r="I19" s="8">
        <v>142027.0007283405</v>
      </c>
      <c r="J19" s="8">
        <v>141780.32671443975</v>
      </c>
      <c r="K19" s="8">
        <v>144605.70924885225</v>
      </c>
      <c r="L19" s="8">
        <v>158345.06063263424</v>
      </c>
      <c r="M19" s="8">
        <v>148366.13149825874</v>
      </c>
      <c r="N19" s="8">
        <v>144833.96592930151</v>
      </c>
      <c r="O19" s="30">
        <v>1818055.9220646354</v>
      </c>
    </row>
    <row r="20" spans="1:15">
      <c r="A20" s="2"/>
      <c r="B20" s="6" t="s">
        <v>33</v>
      </c>
      <c r="C20" s="8">
        <v>132196.51048605976</v>
      </c>
      <c r="D20" s="8">
        <v>187728.28186034027</v>
      </c>
      <c r="E20" s="8">
        <v>157404.26520075378</v>
      </c>
      <c r="F20" s="8">
        <v>177620.49938077206</v>
      </c>
      <c r="G20" s="8">
        <v>160723.87658819329</v>
      </c>
      <c r="H20" s="8">
        <v>135898.50544953975</v>
      </c>
      <c r="I20" s="8">
        <v>181612.97226824853</v>
      </c>
      <c r="J20" s="8">
        <v>170101.40901307424</v>
      </c>
      <c r="K20" s="8">
        <v>210661.271652222</v>
      </c>
      <c r="L20" s="8">
        <v>197477.54717490677</v>
      </c>
      <c r="M20" s="8">
        <v>198379.08529651578</v>
      </c>
      <c r="N20" s="8">
        <v>224007.2453643638</v>
      </c>
      <c r="O20" s="30">
        <v>2133811.46973499</v>
      </c>
    </row>
    <row r="21" spans="1:15">
      <c r="A21" s="2"/>
      <c r="B21" s="6" t="s">
        <v>34</v>
      </c>
      <c r="C21" s="8">
        <v>206327.11987268776</v>
      </c>
      <c r="D21" s="8">
        <v>190896.09978710255</v>
      </c>
      <c r="E21" s="8">
        <v>198715.7850497865</v>
      </c>
      <c r="F21" s="8">
        <v>184715.61338009476</v>
      </c>
      <c r="G21" s="8">
        <v>158875.74153254251</v>
      </c>
      <c r="H21" s="8">
        <v>169402.2492858278</v>
      </c>
      <c r="I21" s="8">
        <v>169771.3460774933</v>
      </c>
      <c r="J21" s="8">
        <v>160122.42267663154</v>
      </c>
      <c r="K21" s="8">
        <v>165375.72672018979</v>
      </c>
      <c r="L21" s="8">
        <v>170294.03786032429</v>
      </c>
      <c r="M21" s="8">
        <v>165284.83421005952</v>
      </c>
      <c r="N21" s="8">
        <v>185588.45740153574</v>
      </c>
      <c r="O21" s="30">
        <v>2125369.4338542763</v>
      </c>
    </row>
    <row r="22" spans="1:15">
      <c r="A22" s="2"/>
      <c r="B22" s="6" t="s">
        <v>35</v>
      </c>
      <c r="C22" s="8">
        <v>215272.88699966777</v>
      </c>
      <c r="D22" s="8">
        <v>222097.7044209915</v>
      </c>
      <c r="E22" s="8">
        <v>255788.57586401101</v>
      </c>
      <c r="F22" s="8">
        <v>202189.98508302149</v>
      </c>
      <c r="G22" s="8">
        <v>226569.6009043493</v>
      </c>
      <c r="H22" s="8">
        <v>213346.17964898775</v>
      </c>
      <c r="I22" s="8">
        <v>215577.3756901568</v>
      </c>
      <c r="J22" s="8">
        <v>195240.82166618403</v>
      </c>
      <c r="K22" s="8">
        <v>172608.84856071902</v>
      </c>
      <c r="L22" s="8">
        <v>178682.62142086425</v>
      </c>
      <c r="M22" s="8">
        <v>163039.80778771953</v>
      </c>
      <c r="N22" s="8">
        <v>176987.60507929049</v>
      </c>
      <c r="O22" s="30">
        <v>2437402.0131259626</v>
      </c>
    </row>
    <row r="23" spans="1:15">
      <c r="A23" s="2"/>
      <c r="B23" s="6" t="s">
        <v>36</v>
      </c>
      <c r="C23" s="8">
        <v>166109.66632789874</v>
      </c>
      <c r="D23" s="8">
        <v>138984.82739818652</v>
      </c>
      <c r="E23" s="8">
        <v>143693.57720990476</v>
      </c>
      <c r="F23" s="8">
        <v>128484.04711122227</v>
      </c>
      <c r="G23" s="8">
        <v>123283.99051546502</v>
      </c>
      <c r="H23" s="8">
        <v>119167.04124483078</v>
      </c>
      <c r="I23" s="8">
        <v>168590.99397826122</v>
      </c>
      <c r="J23" s="8">
        <v>162519.22815086925</v>
      </c>
      <c r="K23" s="8">
        <v>161883.99698943604</v>
      </c>
      <c r="L23" s="8">
        <v>146794.7505552863</v>
      </c>
      <c r="M23" s="8">
        <v>200672.79918162752</v>
      </c>
      <c r="N23" s="8">
        <v>188762.34032215652</v>
      </c>
      <c r="O23" s="30">
        <v>1848947.2589851448</v>
      </c>
    </row>
    <row r="24" spans="1:15">
      <c r="A24" s="2"/>
      <c r="B24" s="6" t="s">
        <v>37</v>
      </c>
      <c r="C24" s="8">
        <v>197299.46028994652</v>
      </c>
      <c r="D24" s="8">
        <v>138305.21444011576</v>
      </c>
      <c r="E24" s="8">
        <v>131276.524126923</v>
      </c>
      <c r="F24" s="8">
        <v>134036.32608564751</v>
      </c>
      <c r="G24" s="8">
        <v>144773.22481384952</v>
      </c>
      <c r="H24" s="8">
        <v>142701.53522152951</v>
      </c>
      <c r="I24" s="8">
        <v>190214.90926451774</v>
      </c>
      <c r="J24" s="8">
        <v>163274.06485872905</v>
      </c>
      <c r="K24" s="8">
        <v>195164.29368564076</v>
      </c>
      <c r="L24" s="8">
        <v>171704.02700895528</v>
      </c>
      <c r="M24" s="8">
        <v>184580.17219131527</v>
      </c>
      <c r="N24" s="8">
        <v>185696.47624209529</v>
      </c>
      <c r="O24" s="30">
        <v>1979026.228229265</v>
      </c>
    </row>
    <row r="25" spans="1:15">
      <c r="A25" s="2"/>
      <c r="B25" s="6" t="s">
        <v>38</v>
      </c>
      <c r="C25" s="8">
        <v>174703.75561784478</v>
      </c>
      <c r="D25" s="8">
        <v>135770.26872924677</v>
      </c>
      <c r="E25" s="8">
        <v>141429.57312581097</v>
      </c>
      <c r="F25" s="8">
        <v>159734.06422065676</v>
      </c>
      <c r="G25" s="8">
        <v>112030.39830847504</v>
      </c>
      <c r="H25" s="8">
        <v>131116.8979198575</v>
      </c>
      <c r="I25" s="8">
        <v>171935.09529108304</v>
      </c>
      <c r="J25" s="8">
        <v>172302.13198159428</v>
      </c>
      <c r="K25" s="8">
        <v>165938.97921731326</v>
      </c>
      <c r="L25" s="8">
        <v>149879.82968764877</v>
      </c>
      <c r="M25" s="8">
        <v>164788.18810711426</v>
      </c>
      <c r="N25" s="8">
        <v>151295.70419281349</v>
      </c>
      <c r="O25" s="30">
        <v>1830924.8863994589</v>
      </c>
    </row>
    <row r="26" spans="1:15">
      <c r="A26" s="2"/>
      <c r="B26" s="6" t="s">
        <v>39</v>
      </c>
      <c r="C26" s="8">
        <v>121735.02333447452</v>
      </c>
      <c r="D26" s="8">
        <v>125454.93770178001</v>
      </c>
      <c r="E26" s="8">
        <v>159011.83776963377</v>
      </c>
      <c r="F26" s="8">
        <v>172870.8308005275</v>
      </c>
      <c r="G26" s="8">
        <v>139473.76421357552</v>
      </c>
      <c r="H26" s="8">
        <v>131790.20809983977</v>
      </c>
      <c r="I26" s="8">
        <v>133234.28881445026</v>
      </c>
      <c r="J26" s="8">
        <v>135788.33627579702</v>
      </c>
      <c r="K26" s="8">
        <v>128901.92372357401</v>
      </c>
      <c r="L26" s="8">
        <v>115424.090427933</v>
      </c>
      <c r="M26" s="8">
        <v>95015.676474292486</v>
      </c>
      <c r="N26" s="8">
        <v>80455.631914266763</v>
      </c>
      <c r="O26" s="30">
        <v>1539156.5495501447</v>
      </c>
    </row>
    <row r="27" spans="1:15">
      <c r="A27" s="2"/>
      <c r="B27" s="6" t="s">
        <v>40</v>
      </c>
      <c r="C27" s="8">
        <v>92054.222701627514</v>
      </c>
      <c r="D27" s="8">
        <v>68618.304342728996</v>
      </c>
      <c r="E27" s="8">
        <v>60199.939488428994</v>
      </c>
      <c r="F27" s="8">
        <v>54285.909247264506</v>
      </c>
      <c r="G27" s="8">
        <v>53633.826230841012</v>
      </c>
      <c r="H27" s="8">
        <v>53138.751865908758</v>
      </c>
      <c r="I27" s="8">
        <v>74115.480168153023</v>
      </c>
      <c r="J27" s="8">
        <v>56076.916877867254</v>
      </c>
      <c r="K27" s="8">
        <v>55656.701712729016</v>
      </c>
      <c r="L27" s="8">
        <v>45862.058506063498</v>
      </c>
      <c r="M27" s="8">
        <v>59654.693241490502</v>
      </c>
      <c r="N27" s="8">
        <v>56791.312826492249</v>
      </c>
      <c r="O27" s="30">
        <v>730088.11720959528</v>
      </c>
    </row>
    <row r="28" spans="1:15">
      <c r="A28" s="2"/>
      <c r="B28" s="6" t="s">
        <v>41</v>
      </c>
      <c r="C28" s="8">
        <v>80918.912519867255</v>
      </c>
      <c r="D28" s="8">
        <v>130456.19522509651</v>
      </c>
      <c r="E28" s="8">
        <v>138882.43959526578</v>
      </c>
      <c r="F28" s="8">
        <v>138192.67147900278</v>
      </c>
      <c r="G28" s="8">
        <v>116716.49039316601</v>
      </c>
      <c r="H28" s="8">
        <v>134897.16019253401</v>
      </c>
      <c r="I28" s="8">
        <v>202023.25826091299</v>
      </c>
      <c r="J28" s="8">
        <v>229902.11271615827</v>
      </c>
      <c r="K28" s="8">
        <v>204318.37133299801</v>
      </c>
      <c r="L28" s="8">
        <v>188817.40296122851</v>
      </c>
      <c r="M28" s="8">
        <v>181424.81096937673</v>
      </c>
      <c r="N28" s="8">
        <v>174233.24908806154</v>
      </c>
      <c r="O28" s="30">
        <v>1920783.0747336685</v>
      </c>
    </row>
    <row r="29" spans="1:15">
      <c r="A29" s="2"/>
      <c r="B29" s="6" t="s">
        <v>42</v>
      </c>
      <c r="C29" s="8">
        <v>155755.70095334851</v>
      </c>
      <c r="D29" s="8">
        <v>150085.5978851775</v>
      </c>
      <c r="E29" s="8">
        <v>95380.922460584232</v>
      </c>
      <c r="F29" s="8">
        <v>118175.34203580827</v>
      </c>
      <c r="G29" s="8">
        <v>127407.46034934677</v>
      </c>
      <c r="H29" s="8">
        <v>154495.98234401175</v>
      </c>
      <c r="I29" s="8">
        <v>157071.65415519153</v>
      </c>
      <c r="J29" s="8">
        <v>191944.23731932504</v>
      </c>
      <c r="K29" s="8">
        <v>190772.0780284958</v>
      </c>
      <c r="L29" s="8">
        <v>167209.04100760428</v>
      </c>
      <c r="M29" s="8">
        <v>200155.34896633803</v>
      </c>
      <c r="N29" s="8">
        <v>158429.66359240803</v>
      </c>
      <c r="O29" s="30">
        <v>1866883.0290976395</v>
      </c>
    </row>
    <row r="30" spans="1:15">
      <c r="A30" s="2"/>
      <c r="B30" s="6" t="s">
        <v>43</v>
      </c>
      <c r="C30" s="8">
        <v>132541.10353408728</v>
      </c>
      <c r="D30" s="8">
        <v>93252.253192258504</v>
      </c>
      <c r="E30" s="8">
        <v>75396.792420087761</v>
      </c>
      <c r="F30" s="8">
        <v>105247.50035722426</v>
      </c>
      <c r="G30" s="8">
        <v>104994.87465128851</v>
      </c>
      <c r="H30" s="8">
        <v>131026.79639660627</v>
      </c>
      <c r="I30" s="8">
        <v>175780.744998813</v>
      </c>
      <c r="J30" s="8">
        <v>197654.56072389902</v>
      </c>
      <c r="K30" s="8">
        <v>189300.71610084156</v>
      </c>
      <c r="L30" s="8">
        <v>239242.26636555305</v>
      </c>
      <c r="M30" s="8">
        <v>229076.22647405701</v>
      </c>
      <c r="N30" s="8">
        <v>227485.71267968926</v>
      </c>
      <c r="O30" s="30">
        <v>1900999.5478944054</v>
      </c>
    </row>
    <row r="31" spans="1:15">
      <c r="A31" s="2"/>
      <c r="B31" s="6" t="s">
        <v>44</v>
      </c>
      <c r="C31" s="8">
        <v>245470.23005532756</v>
      </c>
      <c r="D31" s="8">
        <v>142712.19657668026</v>
      </c>
      <c r="E31" s="8">
        <v>159821.37437751002</v>
      </c>
      <c r="F31" s="8">
        <v>155454.56927227351</v>
      </c>
      <c r="G31" s="8">
        <v>182526.82147152454</v>
      </c>
      <c r="H31" s="8">
        <v>199233.44757804825</v>
      </c>
      <c r="I31" s="8">
        <v>267088.94889005698</v>
      </c>
      <c r="J31" s="8">
        <v>211275.50205690225</v>
      </c>
      <c r="K31" s="8">
        <v>210861.79966009798</v>
      </c>
      <c r="L31" s="8">
        <v>194111.99311845377</v>
      </c>
      <c r="M31" s="8">
        <v>186527.12505824023</v>
      </c>
      <c r="N31" s="8">
        <v>137791.52664847879</v>
      </c>
      <c r="O31" s="30">
        <v>2292875.53476359</v>
      </c>
    </row>
    <row r="32" spans="1:15">
      <c r="A32" s="2"/>
      <c r="B32" s="6" t="s">
        <v>45</v>
      </c>
      <c r="C32" s="8">
        <v>138898.81525190404</v>
      </c>
      <c r="D32" s="8">
        <v>107702.89003923298</v>
      </c>
      <c r="E32" s="8">
        <v>102682.45372177351</v>
      </c>
      <c r="F32" s="8">
        <v>140781.510631287</v>
      </c>
      <c r="G32" s="7"/>
      <c r="H32" s="7"/>
      <c r="I32" s="7"/>
      <c r="J32" s="7"/>
      <c r="K32" s="7"/>
      <c r="L32" s="7"/>
      <c r="M32" s="7"/>
      <c r="N32" s="7"/>
      <c r="O32" s="30">
        <v>490065.66964419757</v>
      </c>
    </row>
    <row r="33" spans="1:15">
      <c r="A33" s="9"/>
      <c r="B33" s="10"/>
      <c r="C33" s="11"/>
      <c r="D33" s="11"/>
      <c r="E33" s="11"/>
      <c r="F33" s="11"/>
      <c r="G33" s="11"/>
      <c r="H33" s="11"/>
      <c r="I33" s="11"/>
      <c r="J33" s="11"/>
      <c r="K33" s="11"/>
      <c r="L33" s="11"/>
      <c r="M33" s="11"/>
      <c r="N33" s="11"/>
      <c r="O33" s="31"/>
    </row>
    <row r="34" spans="1:15" ht="156">
      <c r="A34" s="1" t="s">
        <v>48</v>
      </c>
      <c r="B34" s="2"/>
      <c r="C34" s="2"/>
      <c r="D34" s="2"/>
      <c r="E34" s="2"/>
      <c r="F34" s="2"/>
      <c r="G34" s="2"/>
      <c r="H34" s="2"/>
      <c r="I34" s="2"/>
      <c r="J34" s="2"/>
      <c r="K34" s="2"/>
      <c r="L34" s="2"/>
      <c r="M34" s="2"/>
      <c r="N34" s="2"/>
      <c r="O34" s="24"/>
    </row>
    <row r="35" spans="1:15" ht="168">
      <c r="A35" s="1" t="s">
        <v>49</v>
      </c>
      <c r="B35" s="2"/>
      <c r="C35" s="2"/>
      <c r="D35" s="2"/>
      <c r="E35" s="2"/>
      <c r="F35" s="2"/>
      <c r="G35" s="2"/>
      <c r="H35" s="2"/>
      <c r="I35" s="2"/>
      <c r="J35" s="2"/>
      <c r="K35" s="2"/>
      <c r="L35" s="2"/>
      <c r="M35" s="2"/>
      <c r="N35" s="2"/>
      <c r="O35" s="24"/>
    </row>
    <row r="36" spans="1:15">
      <c r="A36" s="12" t="s">
        <v>50</v>
      </c>
      <c r="B36" s="2"/>
      <c r="C36" s="2"/>
      <c r="D36" s="2"/>
      <c r="E36" s="2"/>
      <c r="F36" s="2"/>
      <c r="G36" s="2"/>
      <c r="H36" s="2"/>
      <c r="I36" s="2"/>
      <c r="J36" s="2"/>
      <c r="K36" s="2"/>
      <c r="L36" s="2"/>
      <c r="M36" s="2"/>
      <c r="N36" s="2"/>
      <c r="O36" s="24"/>
    </row>
    <row r="77" spans="16:16">
      <c r="P77" s="13"/>
    </row>
    <row r="78" spans="16:16">
      <c r="P78" s="13"/>
    </row>
  </sheetData>
  <pageMargins left="0.7" right="0.7" top="0.75" bottom="0.75" header="0.3" footer="0.3"/>
  <pageSetup orientation="portrait" horizontalDpi="0"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42A73D-7D0D-A747-BF62-E5A019521E1E}">
  <dimension ref="A1:G59"/>
  <sheetViews>
    <sheetView topLeftCell="A31" workbookViewId="0">
      <selection activeCell="J32" sqref="J32"/>
    </sheetView>
  </sheetViews>
  <sheetFormatPr baseColWidth="10" defaultRowHeight="16"/>
  <sheetData>
    <row r="1" spans="1:7">
      <c r="A1" s="62" t="s">
        <v>213</v>
      </c>
      <c r="E1" s="27"/>
    </row>
    <row r="2" spans="1:7">
      <c r="A2" s="63"/>
      <c r="B2" s="64" t="s">
        <v>214</v>
      </c>
      <c r="C2" s="63"/>
      <c r="D2" s="63"/>
      <c r="E2" s="65" t="s">
        <v>215</v>
      </c>
      <c r="F2" s="63"/>
      <c r="G2" s="63"/>
    </row>
    <row r="3" spans="1:7" ht="30">
      <c r="A3" s="66" t="s">
        <v>194</v>
      </c>
      <c r="B3" s="66" t="s">
        <v>216</v>
      </c>
      <c r="C3" s="66" t="s">
        <v>217</v>
      </c>
      <c r="D3" s="66" t="s">
        <v>197</v>
      </c>
      <c r="E3" s="67" t="s">
        <v>218</v>
      </c>
      <c r="F3" s="66" t="s">
        <v>199</v>
      </c>
      <c r="G3" s="66" t="s">
        <v>200</v>
      </c>
    </row>
    <row r="4" spans="1:7">
      <c r="A4" s="62"/>
      <c r="B4" s="84" t="s">
        <v>219</v>
      </c>
      <c r="C4" s="62"/>
      <c r="D4" s="62"/>
      <c r="E4" s="68"/>
      <c r="F4" s="62"/>
      <c r="G4" s="62" t="s">
        <v>204</v>
      </c>
    </row>
    <row r="5" spans="1:7">
      <c r="A5" s="69">
        <v>1970</v>
      </c>
      <c r="B5" s="60">
        <v>402.65</v>
      </c>
      <c r="C5" s="85">
        <v>0</v>
      </c>
      <c r="D5" s="60">
        <v>402.65</v>
      </c>
      <c r="E5" s="86">
        <v>0</v>
      </c>
      <c r="F5" s="60">
        <v>402.65</v>
      </c>
      <c r="G5" s="71">
        <v>1.9636482453231374</v>
      </c>
    </row>
    <row r="6" spans="1:7">
      <c r="A6" s="72">
        <v>1971</v>
      </c>
      <c r="B6" s="60">
        <v>440.35</v>
      </c>
      <c r="C6" s="85">
        <v>0</v>
      </c>
      <c r="D6" s="60">
        <v>440.35</v>
      </c>
      <c r="E6" s="86">
        <v>0</v>
      </c>
      <c r="F6" s="60">
        <v>440.35</v>
      </c>
      <c r="G6" s="71">
        <v>2.1205233529646876</v>
      </c>
    </row>
    <row r="7" spans="1:7">
      <c r="A7" s="72">
        <v>1972</v>
      </c>
      <c r="B7" s="60">
        <v>443.55</v>
      </c>
      <c r="C7" s="85">
        <v>0</v>
      </c>
      <c r="D7" s="60">
        <v>443.55</v>
      </c>
      <c r="E7" s="86">
        <v>0</v>
      </c>
      <c r="F7" s="60">
        <v>443.55</v>
      </c>
      <c r="G7" s="71">
        <v>2.1131893890307585</v>
      </c>
    </row>
    <row r="8" spans="1:7">
      <c r="A8" s="72">
        <v>1973</v>
      </c>
      <c r="B8" s="60">
        <v>475.45</v>
      </c>
      <c r="C8" s="85">
        <v>0</v>
      </c>
      <c r="D8" s="60">
        <v>475.45</v>
      </c>
      <c r="E8" s="86">
        <v>0</v>
      </c>
      <c r="F8" s="60">
        <v>475.45</v>
      </c>
      <c r="G8" s="71">
        <v>2.2436517561783598</v>
      </c>
    </row>
    <row r="9" spans="1:7">
      <c r="A9" s="72">
        <v>1974</v>
      </c>
      <c r="B9" s="60">
        <v>491.05</v>
      </c>
      <c r="C9" s="85">
        <v>0</v>
      </c>
      <c r="D9" s="60">
        <v>491.05</v>
      </c>
      <c r="E9" s="86">
        <v>0</v>
      </c>
      <c r="F9" s="60">
        <v>491.05</v>
      </c>
      <c r="G9" s="71">
        <v>2.296192729619273</v>
      </c>
    </row>
    <row r="10" spans="1:7">
      <c r="A10" s="72">
        <v>1975</v>
      </c>
      <c r="B10" s="60">
        <v>431.7</v>
      </c>
      <c r="C10" s="85">
        <v>0</v>
      </c>
      <c r="D10" s="60">
        <v>431.7</v>
      </c>
      <c r="E10" s="86">
        <v>0</v>
      </c>
      <c r="F10" s="60">
        <v>431.7</v>
      </c>
      <c r="G10" s="71">
        <v>1.9988609687322025</v>
      </c>
    </row>
    <row r="11" spans="1:7">
      <c r="A11" s="72">
        <v>1976</v>
      </c>
      <c r="B11" s="60">
        <v>424.6</v>
      </c>
      <c r="C11" s="85">
        <v>0</v>
      </c>
      <c r="D11" s="60">
        <v>424.6</v>
      </c>
      <c r="E11" s="86">
        <v>0</v>
      </c>
      <c r="F11" s="60">
        <v>424.6</v>
      </c>
      <c r="G11" s="71">
        <v>1.947393767055748</v>
      </c>
    </row>
    <row r="12" spans="1:7">
      <c r="A12" s="72">
        <v>1977</v>
      </c>
      <c r="B12" s="60">
        <v>487.25</v>
      </c>
      <c r="C12" s="85">
        <v>0</v>
      </c>
      <c r="D12" s="60">
        <v>487.25</v>
      </c>
      <c r="E12" s="86">
        <v>0</v>
      </c>
      <c r="F12" s="60">
        <v>487.25</v>
      </c>
      <c r="G12" s="71">
        <v>2.2123692897261611</v>
      </c>
    </row>
    <row r="13" spans="1:7">
      <c r="A13" s="72">
        <v>1978</v>
      </c>
      <c r="B13" s="60">
        <v>503.05</v>
      </c>
      <c r="C13" s="85">
        <v>0</v>
      </c>
      <c r="D13" s="60">
        <v>503.05</v>
      </c>
      <c r="E13" s="86">
        <v>0</v>
      </c>
      <c r="F13" s="60">
        <v>503.05</v>
      </c>
      <c r="G13" s="71">
        <v>2.2600354920592132</v>
      </c>
    </row>
    <row r="14" spans="1:7">
      <c r="A14" s="72">
        <v>1979</v>
      </c>
      <c r="B14" s="60">
        <v>475.85</v>
      </c>
      <c r="C14" s="85">
        <v>0</v>
      </c>
      <c r="D14" s="60">
        <v>475.85</v>
      </c>
      <c r="E14" s="86">
        <v>0</v>
      </c>
      <c r="F14" s="60">
        <v>475.85</v>
      </c>
      <c r="G14" s="71">
        <v>2.1143720423896379</v>
      </c>
    </row>
    <row r="15" spans="1:7">
      <c r="A15" s="72">
        <v>1980</v>
      </c>
      <c r="B15" s="60">
        <v>438.85</v>
      </c>
      <c r="C15" s="85">
        <v>0</v>
      </c>
      <c r="D15" s="60">
        <v>438.85</v>
      </c>
      <c r="E15" s="86">
        <v>0</v>
      </c>
      <c r="F15" s="60">
        <v>438.85</v>
      </c>
      <c r="G15" s="71">
        <v>1.9270965985438642</v>
      </c>
    </row>
    <row r="16" spans="1:7">
      <c r="A16" s="72">
        <v>1981</v>
      </c>
      <c r="B16" s="60">
        <v>410.8</v>
      </c>
      <c r="C16" s="85">
        <v>0</v>
      </c>
      <c r="D16" s="60">
        <v>410.8</v>
      </c>
      <c r="E16" s="86">
        <v>0</v>
      </c>
      <c r="F16" s="60">
        <v>410.8</v>
      </c>
      <c r="G16" s="71">
        <v>1.7863510258038144</v>
      </c>
    </row>
    <row r="17" spans="1:7">
      <c r="A17" s="72">
        <v>1982</v>
      </c>
      <c r="B17" s="60">
        <v>437.55</v>
      </c>
      <c r="C17" s="85">
        <v>0</v>
      </c>
      <c r="D17" s="60">
        <v>437.55</v>
      </c>
      <c r="E17" s="86">
        <v>0</v>
      </c>
      <c r="F17" s="60">
        <v>437.55</v>
      </c>
      <c r="G17" s="71">
        <v>1.8844643134012096</v>
      </c>
    </row>
    <row r="18" spans="1:7">
      <c r="A18" s="72">
        <v>1983</v>
      </c>
      <c r="B18" s="60">
        <v>435.5</v>
      </c>
      <c r="C18" s="85">
        <v>0</v>
      </c>
      <c r="D18" s="60">
        <v>435.5</v>
      </c>
      <c r="E18" s="86">
        <v>0</v>
      </c>
      <c r="F18" s="60">
        <v>435.5</v>
      </c>
      <c r="G18" s="71">
        <v>1.858672596209247</v>
      </c>
    </row>
    <row r="19" spans="1:7">
      <c r="A19" s="72">
        <v>1984</v>
      </c>
      <c r="B19" s="60">
        <v>427.6</v>
      </c>
      <c r="C19" s="85">
        <v>0</v>
      </c>
      <c r="D19" s="60">
        <v>427.6</v>
      </c>
      <c r="E19" s="86">
        <v>0</v>
      </c>
      <c r="F19" s="60">
        <v>427.6</v>
      </c>
      <c r="G19" s="71">
        <v>1.8091966083910167</v>
      </c>
    </row>
    <row r="20" spans="1:7">
      <c r="A20" s="72">
        <v>1985</v>
      </c>
      <c r="B20" s="60">
        <v>450.2</v>
      </c>
      <c r="C20" s="85">
        <v>0</v>
      </c>
      <c r="D20" s="60">
        <v>450.2</v>
      </c>
      <c r="E20" s="86">
        <v>0</v>
      </c>
      <c r="F20" s="60">
        <v>450.2</v>
      </c>
      <c r="G20" s="71">
        <v>1.8879001618679392</v>
      </c>
    </row>
    <row r="21" spans="1:7">
      <c r="A21" s="72">
        <v>1986</v>
      </c>
      <c r="B21" s="60">
        <v>434</v>
      </c>
      <c r="C21" s="85">
        <v>0</v>
      </c>
      <c r="D21" s="60">
        <v>434</v>
      </c>
      <c r="E21" s="86">
        <v>0</v>
      </c>
      <c r="F21" s="60">
        <v>434</v>
      </c>
      <c r="G21" s="71">
        <v>1.8034414982692779</v>
      </c>
    </row>
    <row r="22" spans="1:7">
      <c r="A22" s="72">
        <v>1987</v>
      </c>
      <c r="B22" s="60">
        <v>432.6</v>
      </c>
      <c r="C22" s="85">
        <v>0</v>
      </c>
      <c r="D22" s="60">
        <v>432.6</v>
      </c>
      <c r="E22" s="86">
        <v>0</v>
      </c>
      <c r="F22" s="60">
        <v>432.6</v>
      </c>
      <c r="G22" s="71">
        <v>1.7816839920264906</v>
      </c>
    </row>
    <row r="23" spans="1:7">
      <c r="A23" s="72">
        <v>1988</v>
      </c>
      <c r="B23" s="60">
        <v>476.4</v>
      </c>
      <c r="C23" s="85">
        <v>0</v>
      </c>
      <c r="D23" s="60">
        <v>476.4</v>
      </c>
      <c r="E23" s="86">
        <v>0</v>
      </c>
      <c r="F23" s="60">
        <v>476.4</v>
      </c>
      <c r="G23" s="71">
        <v>1.9443231396492546</v>
      </c>
    </row>
    <row r="24" spans="1:7">
      <c r="A24" s="72">
        <v>1989</v>
      </c>
      <c r="B24" s="60">
        <v>498.4</v>
      </c>
      <c r="C24" s="60">
        <v>0.92084144400000001</v>
      </c>
      <c r="D24" s="60">
        <v>499.320841444</v>
      </c>
      <c r="E24" s="70">
        <v>10.003016424</v>
      </c>
      <c r="F24" s="60">
        <v>489.31782501999999</v>
      </c>
      <c r="G24" s="71">
        <v>1.9783046349588826</v>
      </c>
    </row>
    <row r="25" spans="1:7">
      <c r="A25" s="72">
        <v>1990</v>
      </c>
      <c r="B25" s="60">
        <v>459.46660000000003</v>
      </c>
      <c r="C25" s="60">
        <v>2.4255960000000001</v>
      </c>
      <c r="D25" s="60">
        <v>461.89219600000001</v>
      </c>
      <c r="E25" s="70">
        <v>16.088417063999998</v>
      </c>
      <c r="F25" s="60">
        <v>445.80377893600001</v>
      </c>
      <c r="G25" s="71">
        <v>1.7822740750323829</v>
      </c>
    </row>
    <row r="26" spans="1:7">
      <c r="A26" s="72">
        <v>1991</v>
      </c>
      <c r="B26" s="60">
        <v>447.62549999999993</v>
      </c>
      <c r="C26" s="60">
        <v>0.67626339600000007</v>
      </c>
      <c r="D26" s="60">
        <v>448.30176339599996</v>
      </c>
      <c r="E26" s="70">
        <v>17.086888584</v>
      </c>
      <c r="F26" s="60">
        <v>431.21487481199995</v>
      </c>
      <c r="G26" s="71">
        <v>1.7010918440035818</v>
      </c>
    </row>
    <row r="27" spans="1:7">
      <c r="A27" s="72">
        <v>1992</v>
      </c>
      <c r="B27" s="60">
        <v>482.91520000000003</v>
      </c>
      <c r="C27" s="60">
        <v>1.3409180959999998</v>
      </c>
      <c r="D27" s="60">
        <v>484.25611809600002</v>
      </c>
      <c r="E27" s="70">
        <v>24.435421092000002</v>
      </c>
      <c r="F27" s="60">
        <v>459.82069700400001</v>
      </c>
      <c r="G27" s="71">
        <v>1.7899238479839934</v>
      </c>
    </row>
    <row r="28" spans="1:7">
      <c r="A28" s="72">
        <v>1993</v>
      </c>
      <c r="B28" s="60">
        <v>481.96070000000003</v>
      </c>
      <c r="C28" s="60">
        <v>1.4941404119999999</v>
      </c>
      <c r="D28" s="60">
        <v>483.45484041200001</v>
      </c>
      <c r="E28" s="70">
        <v>31.987425420000005</v>
      </c>
      <c r="F28" s="60">
        <v>451.46741499199999</v>
      </c>
      <c r="G28" s="71">
        <v>1.7347117826439453</v>
      </c>
    </row>
    <row r="29" spans="1:7">
      <c r="A29" s="72">
        <v>1994</v>
      </c>
      <c r="B29" s="60">
        <v>500.16370000000006</v>
      </c>
      <c r="C29" s="60">
        <v>1.6367553960000001</v>
      </c>
      <c r="D29" s="60">
        <v>501.80045539600007</v>
      </c>
      <c r="E29" s="70">
        <v>49.248785568000002</v>
      </c>
      <c r="F29" s="60">
        <v>452.55166982800006</v>
      </c>
      <c r="G29" s="71">
        <v>1.7178808888230921</v>
      </c>
    </row>
    <row r="30" spans="1:7">
      <c r="A30" s="72">
        <v>1995</v>
      </c>
      <c r="B30" s="60">
        <v>567.26360000000011</v>
      </c>
      <c r="C30" s="60">
        <v>2.0971360320000003</v>
      </c>
      <c r="D30" s="60">
        <v>569.36073603200009</v>
      </c>
      <c r="E30" s="70">
        <v>54.263830272000007</v>
      </c>
      <c r="F30" s="60">
        <v>515.09690576000003</v>
      </c>
      <c r="G30" s="71">
        <v>1.932408099430891</v>
      </c>
    </row>
    <row r="31" spans="1:7">
      <c r="A31" s="72">
        <v>1996</v>
      </c>
      <c r="B31" s="60">
        <v>534.20069999999998</v>
      </c>
      <c r="C31" s="60">
        <v>1.6447029564000002</v>
      </c>
      <c r="D31" s="60">
        <v>535.84540295639999</v>
      </c>
      <c r="E31" s="70">
        <v>49.854167484000008</v>
      </c>
      <c r="F31" s="60">
        <v>485.99123547239998</v>
      </c>
      <c r="G31" s="71">
        <v>1.802190240082769</v>
      </c>
    </row>
    <row r="32" spans="1:7">
      <c r="A32" s="72">
        <v>1997</v>
      </c>
      <c r="B32" s="60">
        <v>514.42529999999999</v>
      </c>
      <c r="C32" s="60">
        <v>3.1993894200000002</v>
      </c>
      <c r="D32" s="60">
        <v>517.62468941999998</v>
      </c>
      <c r="E32" s="70">
        <v>49.426857011999999</v>
      </c>
      <c r="F32" s="60">
        <v>468.19783240799995</v>
      </c>
      <c r="G32" s="71">
        <v>1.7155633772351526</v>
      </c>
    </row>
    <row r="33" spans="1:7">
      <c r="A33" s="72">
        <v>1998</v>
      </c>
      <c r="B33" s="60">
        <v>493.01530000000002</v>
      </c>
      <c r="C33" s="60">
        <v>4.0161173040000007</v>
      </c>
      <c r="D33" s="60">
        <v>497.031417304</v>
      </c>
      <c r="E33" s="70">
        <v>81.102150827999992</v>
      </c>
      <c r="F33" s="60">
        <v>415.92926647600001</v>
      </c>
      <c r="G33" s="71">
        <v>1.5063624449088242</v>
      </c>
    </row>
    <row r="34" spans="1:7">
      <c r="A34" s="72">
        <v>1999</v>
      </c>
      <c r="B34" s="60">
        <v>526.35540000000003</v>
      </c>
      <c r="C34" s="60">
        <v>2.9691475404000003</v>
      </c>
      <c r="D34" s="60">
        <v>529.32454754039998</v>
      </c>
      <c r="E34" s="70">
        <v>43.332877967999998</v>
      </c>
      <c r="F34" s="60">
        <v>485.99166957239999</v>
      </c>
      <c r="G34" s="71">
        <v>1.7400657712182457</v>
      </c>
    </row>
    <row r="35" spans="1:7">
      <c r="A35" s="72">
        <v>2000</v>
      </c>
      <c r="B35" s="60">
        <v>515.53700000000003</v>
      </c>
      <c r="C35" s="60">
        <v>4.4940147360000005</v>
      </c>
      <c r="D35" s="60">
        <v>520.03101473600009</v>
      </c>
      <c r="E35" s="70">
        <v>44.936020860000006</v>
      </c>
      <c r="F35" s="60">
        <v>475.0949938760001</v>
      </c>
      <c r="G35" s="71">
        <v>1.6824395849038207</v>
      </c>
    </row>
    <row r="36" spans="1:7">
      <c r="A36" s="72">
        <v>2001</v>
      </c>
      <c r="B36" s="60">
        <v>474.05420000000004</v>
      </c>
      <c r="C36" s="60">
        <v>6.7172786160000006</v>
      </c>
      <c r="D36" s="60">
        <v>480.77147861600002</v>
      </c>
      <c r="E36" s="70">
        <v>36.435862845599999</v>
      </c>
      <c r="F36" s="60">
        <v>444.33561577040001</v>
      </c>
      <c r="G36" s="71">
        <v>1.5573837004094149</v>
      </c>
    </row>
    <row r="37" spans="1:7">
      <c r="A37" s="72">
        <v>2002</v>
      </c>
      <c r="B37" s="60">
        <v>452.39710000000008</v>
      </c>
      <c r="C37" s="60">
        <v>12.984254059200003</v>
      </c>
      <c r="D37" s="60">
        <v>465.38135405920008</v>
      </c>
      <c r="E37" s="70">
        <v>60.774168449999998</v>
      </c>
      <c r="F37" s="60">
        <v>404.60718560920009</v>
      </c>
      <c r="G37" s="71">
        <v>1.4043749369342378</v>
      </c>
    </row>
    <row r="38" spans="1:7">
      <c r="A38" s="72">
        <v>2003</v>
      </c>
      <c r="B38" s="60">
        <v>454.68209999999999</v>
      </c>
      <c r="C38" s="60">
        <v>9.1201922280000023</v>
      </c>
      <c r="D38" s="60">
        <v>463.802292228</v>
      </c>
      <c r="E38" s="70">
        <v>61.579734347999995</v>
      </c>
      <c r="F38" s="60">
        <v>402.22255788000001</v>
      </c>
      <c r="G38" s="71">
        <v>1.3830653465439682</v>
      </c>
    </row>
    <row r="39" spans="1:7">
      <c r="A39" s="72">
        <v>2004</v>
      </c>
      <c r="B39" s="60">
        <v>402.89550000000003</v>
      </c>
      <c r="C39" s="60">
        <v>11.400799524000002</v>
      </c>
      <c r="D39" s="60">
        <v>414.29629952400001</v>
      </c>
      <c r="E39" s="70">
        <v>58.277012652000003</v>
      </c>
      <c r="F39" s="60">
        <v>356.01928687200001</v>
      </c>
      <c r="G39" s="71">
        <v>1.2131650751081435</v>
      </c>
    </row>
    <row r="40" spans="1:7">
      <c r="A40" s="72">
        <v>2005</v>
      </c>
      <c r="B40" s="60">
        <v>342.87290000000007</v>
      </c>
      <c r="C40" s="60">
        <v>17.316615947999999</v>
      </c>
      <c r="D40" s="60">
        <v>360.18951594800006</v>
      </c>
      <c r="E40" s="70">
        <v>84.825060264000001</v>
      </c>
      <c r="F40" s="60">
        <v>275.36445568400006</v>
      </c>
      <c r="G40" s="71">
        <v>0.92970044117110451</v>
      </c>
    </row>
    <row r="41" spans="1:7">
      <c r="A41" s="72">
        <v>2006</v>
      </c>
      <c r="B41" s="60">
        <v>299.66210000000001</v>
      </c>
      <c r="C41" s="60">
        <v>19.269725340000001</v>
      </c>
      <c r="D41" s="60">
        <v>318.93182533999999</v>
      </c>
      <c r="E41" s="70">
        <v>87.587507568000007</v>
      </c>
      <c r="F41" s="60">
        <v>231.34431777199998</v>
      </c>
      <c r="G41" s="71">
        <v>0.77373761915237438</v>
      </c>
    </row>
    <row r="42" spans="1:7">
      <c r="A42" s="72">
        <v>2007</v>
      </c>
      <c r="B42" s="60">
        <v>311.33670000000006</v>
      </c>
      <c r="C42" s="60">
        <v>20.410296228</v>
      </c>
      <c r="D42" s="60">
        <v>331.74699622800006</v>
      </c>
      <c r="E42" s="70">
        <v>66.399736296</v>
      </c>
      <c r="F42" s="60">
        <v>265.34725993200004</v>
      </c>
      <c r="G42" s="71">
        <v>0.8786219151323128</v>
      </c>
    </row>
    <row r="43" spans="1:7">
      <c r="A43" s="72">
        <v>2008</v>
      </c>
      <c r="B43" s="60">
        <v>306.62640000000005</v>
      </c>
      <c r="C43" s="60">
        <v>50.583659868959991</v>
      </c>
      <c r="D43" s="60">
        <v>357.21005986896006</v>
      </c>
      <c r="E43" s="70">
        <v>72.268460850480011</v>
      </c>
      <c r="F43" s="60">
        <v>284.94159901848002</v>
      </c>
      <c r="G43" s="71">
        <v>0.93485463306431582</v>
      </c>
    </row>
    <row r="44" spans="1:7">
      <c r="A44" s="72">
        <v>2009</v>
      </c>
      <c r="B44" s="60">
        <v>273.45370000000003</v>
      </c>
      <c r="C44" s="60">
        <v>74.185648030319996</v>
      </c>
      <c r="D44" s="60">
        <v>347.63934803032004</v>
      </c>
      <c r="E44" s="70">
        <v>89.016123624480002</v>
      </c>
      <c r="F44" s="60">
        <v>258.62322440584001</v>
      </c>
      <c r="G44" s="71">
        <v>0.84121690114714831</v>
      </c>
    </row>
    <row r="45" spans="1:7">
      <c r="A45" s="72">
        <v>2010</v>
      </c>
      <c r="B45" s="60">
        <v>257.77809999999999</v>
      </c>
      <c r="C45" s="60">
        <v>77.166430320000003</v>
      </c>
      <c r="D45" s="60">
        <v>334.94453032000001</v>
      </c>
      <c r="E45" s="70">
        <v>110.52038748000001</v>
      </c>
      <c r="F45" s="60">
        <v>224.42414284</v>
      </c>
      <c r="G45" s="71">
        <v>0.72449461199926612</v>
      </c>
    </row>
    <row r="46" spans="1:7">
      <c r="A46" s="72">
        <v>2011</v>
      </c>
      <c r="B46" s="60">
        <v>237.21180000000001</v>
      </c>
      <c r="C46" s="60">
        <v>88.784107680000005</v>
      </c>
      <c r="D46" s="60">
        <v>325.99590768000002</v>
      </c>
      <c r="E46" s="70">
        <v>109.54703652000001</v>
      </c>
      <c r="F46" s="60">
        <v>216.44887116000001</v>
      </c>
      <c r="G46" s="71">
        <v>0.69344434023876467</v>
      </c>
    </row>
    <row r="47" spans="1:7">
      <c r="A47" s="72">
        <v>2012</v>
      </c>
      <c r="B47" s="60">
        <v>241.59089999999998</v>
      </c>
      <c r="C47" s="60">
        <v>115.26534371999999</v>
      </c>
      <c r="D47" s="60">
        <v>356.85624371999995</v>
      </c>
      <c r="E47" s="70">
        <v>108.98976252</v>
      </c>
      <c r="F47" s="60">
        <v>247.86648119999995</v>
      </c>
      <c r="G47" s="71">
        <v>0.78828113629309726</v>
      </c>
    </row>
    <row r="48" spans="1:7">
      <c r="A48" s="72">
        <v>2013</v>
      </c>
      <c r="B48" s="60">
        <v>183.43990000000002</v>
      </c>
      <c r="C48" s="60">
        <v>104.26646844000001</v>
      </c>
      <c r="D48" s="60">
        <v>287.70636844000001</v>
      </c>
      <c r="E48" s="70">
        <v>112.6808028</v>
      </c>
      <c r="F48" s="60">
        <v>175.02556564000002</v>
      </c>
      <c r="G48" s="71">
        <v>0.55260450348056211</v>
      </c>
    </row>
    <row r="49" spans="1:7">
      <c r="A49" s="72">
        <v>2014</v>
      </c>
      <c r="B49" s="60">
        <v>128.49969999999999</v>
      </c>
      <c r="C49" s="60">
        <v>90.015116749800001</v>
      </c>
      <c r="D49" s="60">
        <v>218.51481674979999</v>
      </c>
      <c r="E49" s="70">
        <v>110.80813066728001</v>
      </c>
      <c r="F49" s="60">
        <v>107.70668608251998</v>
      </c>
      <c r="G49" s="71">
        <v>0.33744456519241717</v>
      </c>
    </row>
    <row r="50" spans="1:7">
      <c r="A50" s="72">
        <v>2015</v>
      </c>
      <c r="B50" s="60">
        <v>152.86840000000004</v>
      </c>
      <c r="C50" s="60">
        <v>98.509324948559993</v>
      </c>
      <c r="D50" s="60">
        <v>251.37772494856003</v>
      </c>
      <c r="E50" s="70">
        <v>124.83978312732</v>
      </c>
      <c r="F50" s="60">
        <v>126.53794182124003</v>
      </c>
      <c r="G50" s="71">
        <v>0.39403696786181103</v>
      </c>
    </row>
    <row r="51" spans="1:7">
      <c r="A51" s="72">
        <v>2016</v>
      </c>
      <c r="B51" s="60">
        <v>176.12630000000001</v>
      </c>
      <c r="C51" s="60">
        <v>88.701497712360009</v>
      </c>
      <c r="D51" s="60">
        <v>264.82779771236005</v>
      </c>
      <c r="E51" s="70">
        <v>125.54390244192001</v>
      </c>
      <c r="F51" s="60">
        <v>139.28389527044004</v>
      </c>
      <c r="G51" s="71">
        <v>0.43075436863557587</v>
      </c>
    </row>
    <row r="52" spans="1:7">
      <c r="A52" s="72">
        <v>2017</v>
      </c>
      <c r="B52" s="60">
        <v>177.32815366708542</v>
      </c>
      <c r="C52" s="60">
        <v>89.249772971280009</v>
      </c>
      <c r="D52" s="60">
        <v>266.5779266383654</v>
      </c>
      <c r="E52" s="70">
        <v>130.04209057068002</v>
      </c>
      <c r="F52" s="60">
        <v>136.53583606768538</v>
      </c>
      <c r="G52" s="71">
        <v>0.41938070756396467</v>
      </c>
    </row>
    <row r="53" spans="1:7">
      <c r="A53" s="73" t="s">
        <v>206</v>
      </c>
      <c r="B53" s="73"/>
      <c r="C53" s="74"/>
      <c r="D53" s="74"/>
      <c r="E53" s="75"/>
      <c r="F53" s="74"/>
      <c r="G53" s="74"/>
    </row>
    <row r="54" spans="1:7">
      <c r="A54" s="76" t="s">
        <v>220</v>
      </c>
      <c r="B54" s="77"/>
      <c r="C54" s="78"/>
      <c r="D54" s="78"/>
      <c r="E54" s="79"/>
      <c r="F54" s="78"/>
      <c r="G54" s="78"/>
    </row>
    <row r="55" spans="1:7">
      <c r="A55" s="76" t="s">
        <v>221</v>
      </c>
      <c r="B55" s="77"/>
      <c r="C55" s="78"/>
      <c r="D55" s="78"/>
      <c r="E55" s="79"/>
      <c r="F55" s="78"/>
      <c r="G55" s="78"/>
    </row>
    <row r="56" spans="1:7">
      <c r="A56" s="76" t="s">
        <v>222</v>
      </c>
      <c r="B56" s="77"/>
      <c r="C56" s="78"/>
      <c r="D56" s="78"/>
      <c r="E56" s="79"/>
      <c r="F56" s="78"/>
      <c r="G56" s="78"/>
    </row>
    <row r="57" spans="1:7">
      <c r="A57" s="80" t="s">
        <v>223</v>
      </c>
      <c r="B57" s="80"/>
      <c r="C57" s="76"/>
      <c r="D57" s="76"/>
      <c r="E57" s="81"/>
      <c r="F57" s="76"/>
      <c r="G57" s="76"/>
    </row>
    <row r="58" spans="1:7">
      <c r="A58" s="80" t="s">
        <v>224</v>
      </c>
      <c r="B58" s="80"/>
      <c r="C58" s="76"/>
      <c r="D58" s="76"/>
      <c r="E58" s="81"/>
      <c r="F58" s="76"/>
      <c r="G58" s="76"/>
    </row>
    <row r="59" spans="1:7">
      <c r="A59" s="82" t="s">
        <v>212</v>
      </c>
      <c r="B59" s="83"/>
      <c r="C59" s="76"/>
      <c r="D59" s="76"/>
      <c r="E59" s="81"/>
      <c r="F59" s="76"/>
      <c r="G59" s="76"/>
    </row>
  </sheetData>
  <conditionalFormatting sqref="A5:A51">
    <cfRule type="expression" dxfId="11" priority="3">
      <formula>MOD(ROW(),2)=1</formula>
    </cfRule>
  </conditionalFormatting>
  <conditionalFormatting sqref="A52">
    <cfRule type="expression" dxfId="10" priority="2">
      <formula>MOD(ROW(),2)=1</formula>
    </cfRule>
  </conditionalFormatting>
  <conditionalFormatting sqref="B5:G52">
    <cfRule type="expression" dxfId="9" priority="1">
      <formula>MOD(ROW(),2)=1</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D7D866-9F18-3242-80FD-D8858A00AD14}">
  <dimension ref="A1:G60"/>
  <sheetViews>
    <sheetView topLeftCell="A24" workbookViewId="0">
      <selection sqref="A1:G60"/>
    </sheetView>
  </sheetViews>
  <sheetFormatPr baseColWidth="10" defaultRowHeight="16"/>
  <sheetData>
    <row r="1" spans="1:7">
      <c r="A1" s="62" t="s">
        <v>225</v>
      </c>
      <c r="E1" s="27"/>
    </row>
    <row r="2" spans="1:7">
      <c r="A2" s="63"/>
      <c r="B2" s="64" t="s">
        <v>214</v>
      </c>
      <c r="C2" s="63"/>
      <c r="D2" s="63"/>
      <c r="E2" s="65" t="s">
        <v>215</v>
      </c>
      <c r="F2" s="63"/>
      <c r="G2" s="63"/>
    </row>
    <row r="3" spans="1:7" ht="30">
      <c r="A3" s="66" t="s">
        <v>194</v>
      </c>
      <c r="B3" s="66" t="s">
        <v>216</v>
      </c>
      <c r="C3" s="66" t="s">
        <v>217</v>
      </c>
      <c r="D3" s="66" t="s">
        <v>197</v>
      </c>
      <c r="E3" s="67" t="s">
        <v>218</v>
      </c>
      <c r="F3" s="66" t="s">
        <v>199</v>
      </c>
      <c r="G3" s="66" t="s">
        <v>200</v>
      </c>
    </row>
    <row r="4" spans="1:7">
      <c r="A4" s="62"/>
      <c r="B4" s="84" t="s">
        <v>219</v>
      </c>
      <c r="C4" s="62"/>
      <c r="D4" s="62"/>
      <c r="E4" s="68"/>
      <c r="F4" s="62"/>
      <c r="G4" s="62" t="s">
        <v>204</v>
      </c>
    </row>
    <row r="5" spans="1:7">
      <c r="A5" s="69">
        <v>1970</v>
      </c>
      <c r="B5" s="60">
        <v>3566</v>
      </c>
      <c r="C5" s="85">
        <v>0</v>
      </c>
      <c r="D5" s="60">
        <v>3566</v>
      </c>
      <c r="E5" s="86">
        <v>0</v>
      </c>
      <c r="F5" s="60">
        <v>3566</v>
      </c>
      <c r="G5" s="71">
        <v>17.399999999999999</v>
      </c>
    </row>
    <row r="6" spans="1:7">
      <c r="A6" s="72">
        <v>1971</v>
      </c>
      <c r="B6" s="60">
        <v>3561.85</v>
      </c>
      <c r="C6" s="85">
        <v>0</v>
      </c>
      <c r="D6" s="60">
        <v>3561.85</v>
      </c>
      <c r="E6" s="86">
        <v>0</v>
      </c>
      <c r="F6" s="60">
        <v>3561.85</v>
      </c>
      <c r="G6" s="71">
        <v>17.2</v>
      </c>
    </row>
    <row r="7" spans="1:7">
      <c r="A7" s="72">
        <v>1972</v>
      </c>
      <c r="B7" s="60">
        <v>3497.7</v>
      </c>
      <c r="C7" s="85">
        <v>0</v>
      </c>
      <c r="D7" s="60">
        <v>3497.7</v>
      </c>
      <c r="E7" s="86">
        <v>0</v>
      </c>
      <c r="F7" s="60">
        <v>3497.7</v>
      </c>
      <c r="G7" s="71">
        <v>16.7</v>
      </c>
    </row>
    <row r="8" spans="1:7">
      <c r="A8" s="72">
        <v>1973</v>
      </c>
      <c r="B8" s="60">
        <v>3453.15</v>
      </c>
      <c r="C8" s="85">
        <v>0</v>
      </c>
      <c r="D8" s="60">
        <v>3453.15</v>
      </c>
      <c r="E8" s="86">
        <v>0</v>
      </c>
      <c r="F8" s="60">
        <v>3453.15</v>
      </c>
      <c r="G8" s="71">
        <v>16.3</v>
      </c>
    </row>
    <row r="9" spans="1:7">
      <c r="A9" s="72">
        <v>1974</v>
      </c>
      <c r="B9" s="60">
        <v>3363.1</v>
      </c>
      <c r="C9" s="85">
        <v>0</v>
      </c>
      <c r="D9" s="60">
        <v>3363.1</v>
      </c>
      <c r="E9" s="86">
        <v>0</v>
      </c>
      <c r="F9" s="60">
        <v>3363.1</v>
      </c>
      <c r="G9" s="71">
        <v>15.7</v>
      </c>
    </row>
    <row r="10" spans="1:7">
      <c r="A10" s="72">
        <v>1975</v>
      </c>
      <c r="B10" s="60">
        <v>3344.2</v>
      </c>
      <c r="C10" s="85">
        <v>0</v>
      </c>
      <c r="D10" s="60">
        <v>3344.2</v>
      </c>
      <c r="E10" s="86">
        <v>0</v>
      </c>
      <c r="F10" s="60">
        <v>3344.2</v>
      </c>
      <c r="G10" s="71">
        <v>15.5</v>
      </c>
    </row>
    <row r="11" spans="1:7">
      <c r="A11" s="72">
        <v>1976</v>
      </c>
      <c r="B11" s="60">
        <v>3434.5</v>
      </c>
      <c r="C11" s="85">
        <v>0</v>
      </c>
      <c r="D11" s="60">
        <v>3434.5</v>
      </c>
      <c r="E11" s="86">
        <v>0</v>
      </c>
      <c r="F11" s="60">
        <v>3434.5</v>
      </c>
      <c r="G11" s="71">
        <v>15.8</v>
      </c>
    </row>
    <row r="12" spans="1:7">
      <c r="A12" s="72">
        <v>1977</v>
      </c>
      <c r="B12" s="60">
        <v>3576.5</v>
      </c>
      <c r="C12" s="85">
        <v>0</v>
      </c>
      <c r="D12" s="60">
        <v>3576.5</v>
      </c>
      <c r="E12" s="86">
        <v>0</v>
      </c>
      <c r="F12" s="60">
        <v>3576.5</v>
      </c>
      <c r="G12" s="71">
        <v>16.2</v>
      </c>
    </row>
    <row r="13" spans="1:7">
      <c r="A13" s="72">
        <v>1978</v>
      </c>
      <c r="B13" s="60">
        <v>3739.3</v>
      </c>
      <c r="C13" s="85">
        <v>0</v>
      </c>
      <c r="D13" s="60">
        <v>3739.3</v>
      </c>
      <c r="E13" s="70">
        <v>63.080880000000001</v>
      </c>
      <c r="F13" s="60">
        <v>3676.2191200000002</v>
      </c>
      <c r="G13" s="71">
        <v>16.5</v>
      </c>
    </row>
    <row r="14" spans="1:7">
      <c r="A14" s="72">
        <v>1979</v>
      </c>
      <c r="B14" s="60">
        <v>3805.75</v>
      </c>
      <c r="C14" s="85">
        <v>0</v>
      </c>
      <c r="D14" s="60">
        <v>3805.75</v>
      </c>
      <c r="E14" s="70">
        <v>57.022080000000003</v>
      </c>
      <c r="F14" s="60">
        <v>3748.7279199999998</v>
      </c>
      <c r="G14" s="71">
        <v>16.7</v>
      </c>
    </row>
    <row r="15" spans="1:7">
      <c r="A15" s="72">
        <v>1980</v>
      </c>
      <c r="B15" s="60">
        <v>3808.5</v>
      </c>
      <c r="C15" s="85">
        <v>0</v>
      </c>
      <c r="D15" s="60">
        <v>3808.5</v>
      </c>
      <c r="E15" s="70">
        <v>53.986559999999997</v>
      </c>
      <c r="F15" s="60">
        <v>3754.5134400000002</v>
      </c>
      <c r="G15" s="71">
        <v>16.5</v>
      </c>
    </row>
    <row r="16" spans="1:7">
      <c r="A16" s="72">
        <v>1981</v>
      </c>
      <c r="B16" s="60">
        <v>3861.9</v>
      </c>
      <c r="C16" s="85">
        <v>0</v>
      </c>
      <c r="D16" s="60">
        <v>3861.9</v>
      </c>
      <c r="E16" s="70">
        <v>46.813920000000003</v>
      </c>
      <c r="F16" s="60">
        <v>3815.08608</v>
      </c>
      <c r="G16" s="71">
        <v>16.600000000000001</v>
      </c>
    </row>
    <row r="17" spans="1:7">
      <c r="A17" s="72">
        <v>1982</v>
      </c>
      <c r="B17" s="60">
        <v>3999.7</v>
      </c>
      <c r="C17" s="85">
        <v>0</v>
      </c>
      <c r="D17" s="60">
        <v>3999.7</v>
      </c>
      <c r="E17" s="70">
        <v>54.435360000000003</v>
      </c>
      <c r="F17" s="60">
        <v>3945.2646399999999</v>
      </c>
      <c r="G17" s="71">
        <v>17</v>
      </c>
    </row>
    <row r="18" spans="1:7">
      <c r="A18" s="72">
        <v>1983</v>
      </c>
      <c r="B18" s="60">
        <v>4198.1000000000004</v>
      </c>
      <c r="C18" s="85">
        <v>0</v>
      </c>
      <c r="D18" s="60">
        <v>4198.1000000000004</v>
      </c>
      <c r="E18" s="70">
        <v>37.28304</v>
      </c>
      <c r="F18" s="60">
        <v>4160.8169600000001</v>
      </c>
      <c r="G18" s="71">
        <v>17.8</v>
      </c>
    </row>
    <row r="19" spans="1:7">
      <c r="A19" s="72">
        <v>1984</v>
      </c>
      <c r="B19" s="60">
        <v>4282.5</v>
      </c>
      <c r="C19" s="85">
        <v>0</v>
      </c>
      <c r="D19" s="60">
        <v>4282.5</v>
      </c>
      <c r="E19" s="70">
        <v>35.083919999999999</v>
      </c>
      <c r="F19" s="60">
        <v>4247.41608</v>
      </c>
      <c r="G19" s="71">
        <v>18</v>
      </c>
    </row>
    <row r="20" spans="1:7">
      <c r="A20" s="72">
        <v>1985</v>
      </c>
      <c r="B20" s="60">
        <v>4227.8</v>
      </c>
      <c r="C20" s="85">
        <v>0</v>
      </c>
      <c r="D20" s="60">
        <v>4227.8</v>
      </c>
      <c r="E20" s="70">
        <v>31.970880000000001</v>
      </c>
      <c r="F20" s="60">
        <v>4195.8291200000003</v>
      </c>
      <c r="G20" s="71">
        <v>17.600000000000001</v>
      </c>
    </row>
    <row r="21" spans="1:7">
      <c r="A21" s="72">
        <v>1986</v>
      </c>
      <c r="B21" s="60">
        <v>4402</v>
      </c>
      <c r="C21" s="85">
        <v>0</v>
      </c>
      <c r="D21" s="60">
        <v>4402</v>
      </c>
      <c r="E21" s="70">
        <v>35.91216</v>
      </c>
      <c r="F21" s="60">
        <v>4366.0878400000001</v>
      </c>
      <c r="G21" s="71">
        <v>18.14282026669326</v>
      </c>
    </row>
    <row r="22" spans="1:7">
      <c r="A22" s="72">
        <v>1987</v>
      </c>
      <c r="B22" s="60">
        <v>4320.3500000000004</v>
      </c>
      <c r="C22" s="85">
        <v>0</v>
      </c>
      <c r="D22" s="60">
        <v>4320.3500000000004</v>
      </c>
      <c r="E22" s="70">
        <v>50.624639999999999</v>
      </c>
      <c r="F22" s="60">
        <v>4269.7253600000004</v>
      </c>
      <c r="G22" s="71">
        <v>17.585070097691968</v>
      </c>
    </row>
    <row r="23" spans="1:7">
      <c r="A23" s="72">
        <v>1988</v>
      </c>
      <c r="B23" s="60">
        <v>4256.6000000000004</v>
      </c>
      <c r="C23" s="85">
        <v>0</v>
      </c>
      <c r="D23" s="60">
        <v>4256.6000000000004</v>
      </c>
      <c r="E23" s="70">
        <v>67.654560000000004</v>
      </c>
      <c r="F23" s="60">
        <v>4188.9454400000004</v>
      </c>
      <c r="G23" s="71">
        <v>17.096271095130625</v>
      </c>
    </row>
    <row r="24" spans="1:7">
      <c r="A24" s="72">
        <v>1989</v>
      </c>
      <c r="B24" s="60">
        <v>4380.5</v>
      </c>
      <c r="C24" s="60">
        <v>0.55572456000000003</v>
      </c>
      <c r="D24" s="60">
        <v>4381.0557245600003</v>
      </c>
      <c r="E24" s="70">
        <v>84.28464000000001</v>
      </c>
      <c r="F24" s="60">
        <v>4296.7710845600004</v>
      </c>
      <c r="G24" s="71">
        <v>17.371781115055267</v>
      </c>
    </row>
    <row r="25" spans="1:7">
      <c r="A25" s="72">
        <v>1990</v>
      </c>
      <c r="B25" s="60">
        <v>4243.7534000000005</v>
      </c>
      <c r="C25" s="60">
        <v>15.226904000000001</v>
      </c>
      <c r="D25" s="60">
        <v>4258.9803040000006</v>
      </c>
      <c r="E25" s="70">
        <v>176.88762</v>
      </c>
      <c r="F25" s="60">
        <v>4082.0926840000006</v>
      </c>
      <c r="G25" s="71">
        <v>16.319753905937667</v>
      </c>
    </row>
    <row r="26" spans="1:7">
      <c r="A26" s="72">
        <v>1991</v>
      </c>
      <c r="B26" s="60">
        <v>4551.5796</v>
      </c>
      <c r="C26" s="60">
        <v>14.527711999999999</v>
      </c>
      <c r="D26" s="60">
        <v>4566.1073120000001</v>
      </c>
      <c r="E26" s="70">
        <v>218.271636</v>
      </c>
      <c r="F26" s="60">
        <v>4347.8356759999997</v>
      </c>
      <c r="G26" s="71">
        <v>17.151699163290505</v>
      </c>
    </row>
    <row r="27" spans="1:7">
      <c r="A27" s="72">
        <v>1992</v>
      </c>
      <c r="B27" s="60">
        <v>4680.8095000000003</v>
      </c>
      <c r="C27" s="60">
        <v>16.586767199999997</v>
      </c>
      <c r="D27" s="60">
        <v>4697.3962672000007</v>
      </c>
      <c r="E27" s="70">
        <v>337.476</v>
      </c>
      <c r="F27" s="60">
        <v>4359.920267200001</v>
      </c>
      <c r="G27" s="71">
        <v>16.971670288912939</v>
      </c>
    </row>
    <row r="28" spans="1:7">
      <c r="A28" s="72">
        <v>1993</v>
      </c>
      <c r="B28" s="60">
        <v>4979.1755000000012</v>
      </c>
      <c r="C28" s="60">
        <v>10.0450424</v>
      </c>
      <c r="D28" s="60">
        <v>4989.2205424000012</v>
      </c>
      <c r="E28" s="70">
        <v>441.00890000000004</v>
      </c>
      <c r="F28" s="60">
        <v>4548.2116424000014</v>
      </c>
      <c r="G28" s="71">
        <v>17.475981796315157</v>
      </c>
    </row>
    <row r="29" spans="1:7">
      <c r="A29" s="72">
        <v>1994</v>
      </c>
      <c r="B29" s="60">
        <v>4882.9106999999995</v>
      </c>
      <c r="C29" s="60">
        <v>4.0231316000000001</v>
      </c>
      <c r="D29" s="60">
        <v>4886.9338315999994</v>
      </c>
      <c r="E29" s="70">
        <v>620.42621200000008</v>
      </c>
      <c r="F29" s="60">
        <v>4266.5076195999991</v>
      </c>
      <c r="G29" s="71">
        <v>16.195613430206954</v>
      </c>
    </row>
    <row r="30" spans="1:7">
      <c r="A30" s="72">
        <v>1995</v>
      </c>
      <c r="B30" s="60">
        <v>4838.7809000000007</v>
      </c>
      <c r="C30" s="60">
        <v>0</v>
      </c>
      <c r="D30" s="60">
        <v>4838.7809000000007</v>
      </c>
      <c r="E30" s="70">
        <v>543.03479600000003</v>
      </c>
      <c r="F30" s="60">
        <v>4295.7461040000007</v>
      </c>
      <c r="G30" s="71">
        <v>16.115675461533556</v>
      </c>
    </row>
    <row r="31" spans="1:7">
      <c r="A31" s="72">
        <v>1996</v>
      </c>
      <c r="B31" s="60">
        <v>4866.8459000000003</v>
      </c>
      <c r="C31" s="60">
        <v>7.8532795999999996</v>
      </c>
      <c r="D31" s="60">
        <v>4874.6991796000002</v>
      </c>
      <c r="E31" s="70">
        <v>515.03032799999994</v>
      </c>
      <c r="F31" s="60">
        <v>4359.6688516000004</v>
      </c>
      <c r="G31" s="71">
        <v>16.166860800913721</v>
      </c>
    </row>
    <row r="32" spans="1:7">
      <c r="A32" s="72">
        <v>1997</v>
      </c>
      <c r="B32" s="60">
        <v>4694.5994999999994</v>
      </c>
      <c r="C32" s="60">
        <v>4.2294399999999994</v>
      </c>
      <c r="D32" s="60">
        <v>4698.8289399999994</v>
      </c>
      <c r="E32" s="70">
        <v>545.09615599999995</v>
      </c>
      <c r="F32" s="60">
        <v>4153.7327839999998</v>
      </c>
      <c r="G32" s="71">
        <v>15.220044497860117</v>
      </c>
    </row>
    <row r="33" spans="1:7">
      <c r="A33" s="72">
        <v>1998</v>
      </c>
      <c r="B33" s="60">
        <v>4908.7205999999996</v>
      </c>
      <c r="C33" s="60">
        <v>20.580795999999999</v>
      </c>
      <c r="D33" s="60">
        <v>4929.3013959999998</v>
      </c>
      <c r="E33" s="70">
        <v>982.11573199999998</v>
      </c>
      <c r="F33" s="60">
        <v>3947.1856639999996</v>
      </c>
      <c r="G33" s="71">
        <v>14.295440899625154</v>
      </c>
    </row>
    <row r="34" spans="1:7">
      <c r="A34" s="72">
        <v>1999</v>
      </c>
      <c r="B34" s="60">
        <v>5226.8712000000005</v>
      </c>
      <c r="C34" s="60">
        <v>42.357548000000001</v>
      </c>
      <c r="D34" s="60">
        <v>5269.2287480000005</v>
      </c>
      <c r="E34" s="70">
        <v>949.52826399999992</v>
      </c>
      <c r="F34" s="60">
        <v>4319.7004840000009</v>
      </c>
      <c r="G34" s="71">
        <v>15.466444025134717</v>
      </c>
    </row>
    <row r="35" spans="1:7">
      <c r="A35" s="72">
        <v>2000</v>
      </c>
      <c r="B35" s="60">
        <v>5064.5162</v>
      </c>
      <c r="C35" s="60">
        <v>152.11567559999997</v>
      </c>
      <c r="D35" s="60">
        <v>5216.6318756000001</v>
      </c>
      <c r="E35" s="70">
        <v>806.21887199999992</v>
      </c>
      <c r="F35" s="60">
        <v>4410.4130036000006</v>
      </c>
      <c r="G35" s="71">
        <v>15.618462662580455</v>
      </c>
    </row>
    <row r="36" spans="1:7">
      <c r="A36" s="72">
        <v>2001</v>
      </c>
      <c r="B36" s="60">
        <v>5415.8029999999999</v>
      </c>
      <c r="C36" s="60">
        <v>165.03571119999998</v>
      </c>
      <c r="D36" s="60">
        <v>5580.8387112</v>
      </c>
      <c r="E36" s="70">
        <v>620.58680799999991</v>
      </c>
      <c r="F36" s="60">
        <v>4960.2519032</v>
      </c>
      <c r="G36" s="71">
        <v>17.385541896241282</v>
      </c>
    </row>
    <row r="37" spans="1:7">
      <c r="A37" s="72">
        <v>2002</v>
      </c>
      <c r="B37" s="60">
        <v>5197.3160000000007</v>
      </c>
      <c r="C37" s="60">
        <v>147.66960999999998</v>
      </c>
      <c r="D37" s="60">
        <v>5344.9856100000006</v>
      </c>
      <c r="E37" s="70">
        <v>654.95393999999999</v>
      </c>
      <c r="F37" s="60">
        <v>4690.0316700000003</v>
      </c>
      <c r="G37" s="71">
        <v>16.278907456521605</v>
      </c>
    </row>
    <row r="38" spans="1:7">
      <c r="A38" s="72">
        <v>2003</v>
      </c>
      <c r="B38" s="60">
        <v>5251.4599999999991</v>
      </c>
      <c r="C38" s="60">
        <v>245.95443599999999</v>
      </c>
      <c r="D38" s="60">
        <v>5497.4144359999991</v>
      </c>
      <c r="E38" s="70">
        <v>501.90178000000003</v>
      </c>
      <c r="F38" s="60">
        <v>4995.512655999999</v>
      </c>
      <c r="G38" s="71">
        <v>17.177356931822555</v>
      </c>
    </row>
    <row r="39" spans="1:7">
      <c r="A39" s="72">
        <v>2004</v>
      </c>
      <c r="B39" s="60">
        <v>5138.1076000000003</v>
      </c>
      <c r="C39" s="60">
        <v>304.68807839999999</v>
      </c>
      <c r="D39" s="60">
        <v>5442.7956783999998</v>
      </c>
      <c r="E39" s="70">
        <v>618.48545999999999</v>
      </c>
      <c r="F39" s="60">
        <v>4824.3102183999999</v>
      </c>
      <c r="G39" s="71">
        <v>16.439234851213108</v>
      </c>
    </row>
    <row r="40" spans="1:7">
      <c r="A40" s="72">
        <v>2005</v>
      </c>
      <c r="B40" s="60">
        <v>5084.5010000000002</v>
      </c>
      <c r="C40" s="60">
        <v>286.72295600000001</v>
      </c>
      <c r="D40" s="60">
        <v>5371.2239559999998</v>
      </c>
      <c r="E40" s="70">
        <v>617.69577200000003</v>
      </c>
      <c r="F40" s="60">
        <v>4753.5281839999998</v>
      </c>
      <c r="G40" s="71">
        <v>16.049120206188121</v>
      </c>
    </row>
    <row r="41" spans="1:7">
      <c r="A41" s="72">
        <v>2006</v>
      </c>
      <c r="B41" s="60">
        <v>5855.7152999999998</v>
      </c>
      <c r="C41" s="60">
        <v>247.30039199999999</v>
      </c>
      <c r="D41" s="60">
        <v>6103.0156919999999</v>
      </c>
      <c r="E41" s="70">
        <v>536.84448400000008</v>
      </c>
      <c r="F41" s="60">
        <v>5566.1712079999998</v>
      </c>
      <c r="G41" s="71">
        <v>18.61621715955398</v>
      </c>
    </row>
    <row r="42" spans="1:7">
      <c r="A42" s="72">
        <v>2007</v>
      </c>
      <c r="B42" s="60">
        <v>5919.7768000000005</v>
      </c>
      <c r="C42" s="60">
        <v>195.60585200000003</v>
      </c>
      <c r="D42" s="60">
        <v>6115.3826520000002</v>
      </c>
      <c r="E42" s="70">
        <v>503.67383599999999</v>
      </c>
      <c r="F42" s="60">
        <v>5611.7088160000003</v>
      </c>
      <c r="G42" s="71">
        <v>18.581576264787323</v>
      </c>
    </row>
    <row r="43" spans="1:7">
      <c r="A43" s="72">
        <v>2008</v>
      </c>
      <c r="B43" s="60">
        <v>5251.721700000001</v>
      </c>
      <c r="C43" s="60">
        <v>93.111539999999991</v>
      </c>
      <c r="D43" s="60">
        <v>5344.8332400000008</v>
      </c>
      <c r="E43" s="70">
        <v>564.29819599999996</v>
      </c>
      <c r="F43" s="60">
        <v>4780.5350440000011</v>
      </c>
      <c r="G43" s="71">
        <v>15.684285305494752</v>
      </c>
    </row>
    <row r="44" spans="1:7">
      <c r="A44" s="72">
        <v>2009</v>
      </c>
      <c r="B44" s="60">
        <v>4563.8172000000004</v>
      </c>
      <c r="C44" s="60">
        <v>124.34943940000001</v>
      </c>
      <c r="D44" s="60">
        <v>4688.1666394000003</v>
      </c>
      <c r="E44" s="70">
        <v>490.38184000000001</v>
      </c>
      <c r="F44" s="60">
        <v>4197.7847994000003</v>
      </c>
      <c r="G44" s="71">
        <v>13.654023256211991</v>
      </c>
    </row>
    <row r="45" spans="1:7">
      <c r="A45" s="72">
        <v>2010</v>
      </c>
      <c r="B45" s="60">
        <v>4942.9340000000002</v>
      </c>
      <c r="C45" s="60">
        <v>129.7998</v>
      </c>
      <c r="D45" s="60">
        <v>5072.7338</v>
      </c>
      <c r="E45" s="70">
        <v>427.11964</v>
      </c>
      <c r="F45" s="60">
        <v>4645.6141600000001</v>
      </c>
      <c r="G45" s="71">
        <v>14.997149530151223</v>
      </c>
    </row>
    <row r="46" spans="1:7">
      <c r="A46" s="72">
        <v>2011</v>
      </c>
      <c r="B46" s="60">
        <v>5693.2602000000006</v>
      </c>
      <c r="C46" s="60">
        <v>94.765199999999993</v>
      </c>
      <c r="D46" s="60">
        <v>5788.0254000000004</v>
      </c>
      <c r="E46" s="70">
        <v>556.33420000000001</v>
      </c>
      <c r="F46" s="60">
        <v>5231.6912000000002</v>
      </c>
      <c r="G46" s="71">
        <v>16.760940507909606</v>
      </c>
    </row>
    <row r="47" spans="1:7">
      <c r="A47" s="72">
        <v>2012</v>
      </c>
      <c r="B47" s="60">
        <v>5884.1214</v>
      </c>
      <c r="C47" s="60">
        <v>91.723559999999992</v>
      </c>
      <c r="D47" s="60">
        <v>5975.8449600000004</v>
      </c>
      <c r="E47" s="70">
        <v>449.29028000000005</v>
      </c>
      <c r="F47" s="60">
        <v>5526.5546800000002</v>
      </c>
      <c r="G47" s="71">
        <v>17.575909343793658</v>
      </c>
    </row>
    <row r="48" spans="1:7">
      <c r="A48" s="72">
        <v>2013</v>
      </c>
      <c r="B48" s="60">
        <v>5925.6328000000003</v>
      </c>
      <c r="C48" s="60">
        <v>94.059960000000004</v>
      </c>
      <c r="D48" s="60">
        <v>6019.6927599999999</v>
      </c>
      <c r="E48" s="70">
        <v>383.59780000000001</v>
      </c>
      <c r="F48" s="60">
        <v>5636.0949600000004</v>
      </c>
      <c r="G48" s="71">
        <v>17.794722991189747</v>
      </c>
    </row>
    <row r="49" spans="1:7">
      <c r="A49" s="72">
        <v>2014</v>
      </c>
      <c r="B49" s="60">
        <v>6657.0640000000003</v>
      </c>
      <c r="C49" s="60">
        <v>110.37062612</v>
      </c>
      <c r="D49" s="60">
        <v>6767.4346261200008</v>
      </c>
      <c r="E49" s="70">
        <v>409.22673287999999</v>
      </c>
      <c r="F49" s="60">
        <v>6358.2078932400009</v>
      </c>
      <c r="G49" s="71">
        <v>19.920236857845104</v>
      </c>
    </row>
    <row r="50" spans="1:7">
      <c r="A50" s="72">
        <v>2015</v>
      </c>
      <c r="B50" s="60">
        <v>6570.7188999999998</v>
      </c>
      <c r="C50" s="60">
        <v>139.91944816</v>
      </c>
      <c r="D50" s="60">
        <v>6710.6383481599996</v>
      </c>
      <c r="E50" s="70">
        <v>434.16147508</v>
      </c>
      <c r="F50" s="60">
        <v>6276.4768730799997</v>
      </c>
      <c r="G50" s="71">
        <v>19.544840704119078</v>
      </c>
    </row>
    <row r="51" spans="1:7">
      <c r="A51" s="72">
        <v>2016</v>
      </c>
      <c r="B51" s="60">
        <v>5657.1935000000003</v>
      </c>
      <c r="C51" s="60">
        <v>147.97402579999999</v>
      </c>
      <c r="D51" s="60">
        <v>5805.1675258000005</v>
      </c>
      <c r="E51" s="70">
        <v>447.34111108000002</v>
      </c>
      <c r="F51" s="60">
        <v>5357.8264147200007</v>
      </c>
      <c r="G51" s="71">
        <v>16.569806078804632</v>
      </c>
    </row>
    <row r="52" spans="1:7">
      <c r="A52" s="72">
        <v>2017</v>
      </c>
      <c r="B52" s="60">
        <v>6232.0543495612892</v>
      </c>
      <c r="C52" s="60">
        <v>161.97510391999998</v>
      </c>
      <c r="D52" s="60">
        <v>6394.0294534812892</v>
      </c>
      <c r="E52" s="70">
        <v>452.19403963999997</v>
      </c>
      <c r="F52" s="60">
        <v>5941.8354138412897</v>
      </c>
      <c r="G52" s="71">
        <v>18.250821263144932</v>
      </c>
    </row>
    <row r="53" spans="1:7">
      <c r="A53" s="73" t="s">
        <v>206</v>
      </c>
      <c r="B53" s="73"/>
      <c r="C53" s="74"/>
      <c r="D53" s="74"/>
      <c r="E53" s="75"/>
      <c r="F53" s="74"/>
      <c r="G53" s="74"/>
    </row>
    <row r="54" spans="1:7">
      <c r="A54" s="76" t="s">
        <v>220</v>
      </c>
      <c r="B54" s="77"/>
      <c r="C54" s="78"/>
      <c r="D54" s="78"/>
      <c r="E54" s="79"/>
      <c r="F54" s="78"/>
      <c r="G54" s="78"/>
    </row>
    <row r="55" spans="1:7">
      <c r="A55" s="76" t="s">
        <v>221</v>
      </c>
      <c r="B55" s="77"/>
      <c r="C55" s="78"/>
      <c r="D55" s="78"/>
      <c r="E55" s="79"/>
      <c r="F55" s="78"/>
      <c r="G55" s="78"/>
    </row>
    <row r="56" spans="1:7">
      <c r="A56" s="76" t="s">
        <v>222</v>
      </c>
      <c r="B56" s="77"/>
      <c r="C56" s="78"/>
      <c r="D56" s="78"/>
      <c r="E56" s="79"/>
      <c r="F56" s="78"/>
      <c r="G56" s="78"/>
    </row>
    <row r="57" spans="1:7">
      <c r="A57" s="80" t="s">
        <v>223</v>
      </c>
      <c r="B57" s="80"/>
      <c r="C57" s="76"/>
      <c r="D57" s="76"/>
      <c r="E57" s="81"/>
      <c r="F57" s="76"/>
      <c r="G57" s="76"/>
    </row>
    <row r="58" spans="1:7">
      <c r="A58" s="80" t="s">
        <v>226</v>
      </c>
      <c r="B58" s="80"/>
      <c r="C58" s="76"/>
      <c r="D58" s="76"/>
      <c r="E58" s="81"/>
      <c r="F58" s="76"/>
      <c r="G58" s="76"/>
    </row>
    <row r="59" spans="1:7">
      <c r="A59" s="80" t="s">
        <v>227</v>
      </c>
      <c r="B59" s="80"/>
      <c r="C59" s="76"/>
      <c r="D59" s="76"/>
      <c r="E59" s="81"/>
      <c r="F59" s="76"/>
      <c r="G59" s="76"/>
    </row>
    <row r="60" spans="1:7">
      <c r="A60" s="82" t="s">
        <v>212</v>
      </c>
      <c r="B60" s="83"/>
      <c r="C60" s="76"/>
      <c r="D60" s="76"/>
      <c r="E60" s="81"/>
      <c r="F60" s="76"/>
      <c r="G60" s="76"/>
    </row>
  </sheetData>
  <conditionalFormatting sqref="A5:A51">
    <cfRule type="expression" dxfId="8" priority="3">
      <formula>MOD(ROW(),2)=1</formula>
    </cfRule>
  </conditionalFormatting>
  <conditionalFormatting sqref="A52">
    <cfRule type="expression" dxfId="7" priority="2">
      <formula>MOD(ROW(),2)=1</formula>
    </cfRule>
  </conditionalFormatting>
  <conditionalFormatting sqref="B5:G52">
    <cfRule type="expression" dxfId="6" priority="1">
      <formula>MOD(ROW(),2)=1</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0D925B-8016-D442-AF13-31601EE48FD4}">
  <dimension ref="A1:G60"/>
  <sheetViews>
    <sheetView topLeftCell="A20" workbookViewId="0">
      <selection sqref="A1:G60"/>
    </sheetView>
  </sheetViews>
  <sheetFormatPr baseColWidth="10" defaultRowHeight="16"/>
  <sheetData>
    <row r="1" spans="1:7">
      <c r="A1" s="62" t="s">
        <v>228</v>
      </c>
      <c r="E1" s="27"/>
    </row>
    <row r="2" spans="1:7">
      <c r="A2" s="63"/>
      <c r="B2" s="64" t="s">
        <v>214</v>
      </c>
      <c r="C2" s="63"/>
      <c r="D2" s="63"/>
      <c r="E2" s="65" t="s">
        <v>215</v>
      </c>
      <c r="F2" s="63"/>
      <c r="G2" s="63"/>
    </row>
    <row r="3" spans="1:7" ht="30">
      <c r="A3" s="66" t="s">
        <v>194</v>
      </c>
      <c r="B3" s="66" t="s">
        <v>216</v>
      </c>
      <c r="C3" s="66" t="s">
        <v>217</v>
      </c>
      <c r="D3" s="66" t="s">
        <v>197</v>
      </c>
      <c r="E3" s="67" t="s">
        <v>218</v>
      </c>
      <c r="F3" s="66" t="s">
        <v>199</v>
      </c>
      <c r="G3" s="66" t="s">
        <v>200</v>
      </c>
    </row>
    <row r="4" spans="1:7">
      <c r="A4" s="62"/>
      <c r="B4" s="84" t="s">
        <v>219</v>
      </c>
      <c r="C4" s="62"/>
      <c r="D4" s="62"/>
      <c r="E4" s="68"/>
      <c r="F4" s="62"/>
      <c r="G4" s="62" t="s">
        <v>204</v>
      </c>
    </row>
    <row r="5" spans="1:7">
      <c r="A5" s="69">
        <v>1970</v>
      </c>
      <c r="B5" s="60">
        <v>2576.8000000000002</v>
      </c>
      <c r="C5" s="60">
        <v>3.82</v>
      </c>
      <c r="D5" s="60">
        <v>2580.6200000000003</v>
      </c>
      <c r="E5" s="70">
        <v>123.09350000000001</v>
      </c>
      <c r="F5" s="60">
        <v>2457.5265000000004</v>
      </c>
      <c r="G5" s="71">
        <v>12</v>
      </c>
    </row>
    <row r="6" spans="1:7">
      <c r="A6" s="72">
        <v>1971</v>
      </c>
      <c r="B6" s="60">
        <v>2653.7</v>
      </c>
      <c r="C6" s="60">
        <v>4.75</v>
      </c>
      <c r="D6" s="60">
        <v>2658.45</v>
      </c>
      <c r="E6" s="70">
        <v>100.2762</v>
      </c>
      <c r="F6" s="60">
        <v>2558.1738</v>
      </c>
      <c r="G6" s="71">
        <v>12.3</v>
      </c>
    </row>
    <row r="7" spans="1:7">
      <c r="A7" s="72">
        <v>1972</v>
      </c>
      <c r="B7" s="60">
        <v>2723.55</v>
      </c>
      <c r="C7" s="60">
        <v>6.97</v>
      </c>
      <c r="D7" s="60">
        <v>2730.52</v>
      </c>
      <c r="E7" s="70">
        <v>119.7503</v>
      </c>
      <c r="F7" s="60">
        <v>2610.7696999999998</v>
      </c>
      <c r="G7" s="71">
        <v>12.4</v>
      </c>
    </row>
    <row r="8" spans="1:7">
      <c r="A8" s="72">
        <v>1973</v>
      </c>
      <c r="B8" s="60">
        <v>2942.85</v>
      </c>
      <c r="C8" s="60">
        <v>8.0399999999999991</v>
      </c>
      <c r="D8" s="60">
        <v>2950.89</v>
      </c>
      <c r="E8" s="70">
        <v>176.3466</v>
      </c>
      <c r="F8" s="60">
        <v>2774.5434</v>
      </c>
      <c r="G8" s="71">
        <v>13.1</v>
      </c>
    </row>
    <row r="9" spans="1:7">
      <c r="A9" s="72">
        <v>1974</v>
      </c>
      <c r="B9" s="60">
        <v>3303.35</v>
      </c>
      <c r="C9" s="60">
        <v>8.06</v>
      </c>
      <c r="D9" s="60">
        <v>3311.41</v>
      </c>
      <c r="E9" s="70">
        <v>206.08519999999999</v>
      </c>
      <c r="F9" s="60">
        <v>3105.3247999999999</v>
      </c>
      <c r="G9" s="71">
        <v>14.5</v>
      </c>
    </row>
    <row r="10" spans="1:7">
      <c r="A10" s="72">
        <v>1975</v>
      </c>
      <c r="B10" s="60">
        <v>3424.05</v>
      </c>
      <c r="C10" s="60">
        <v>11.31</v>
      </c>
      <c r="D10" s="60">
        <v>3435.36</v>
      </c>
      <c r="E10" s="70">
        <v>259.40899999999999</v>
      </c>
      <c r="F10" s="60">
        <v>3175.951</v>
      </c>
      <c r="G10" s="71">
        <v>14.7</v>
      </c>
    </row>
    <row r="11" spans="1:7">
      <c r="A11" s="72">
        <v>1976</v>
      </c>
      <c r="B11" s="60">
        <v>3708.75</v>
      </c>
      <c r="C11" s="60">
        <v>1.1399999999999999</v>
      </c>
      <c r="D11" s="60">
        <v>3709.89</v>
      </c>
      <c r="E11" s="70">
        <v>146.81</v>
      </c>
      <c r="F11" s="60">
        <v>3563.08</v>
      </c>
      <c r="G11" s="71">
        <v>16.3</v>
      </c>
    </row>
    <row r="12" spans="1:7">
      <c r="A12" s="72">
        <v>1977</v>
      </c>
      <c r="B12" s="60">
        <v>3656.85</v>
      </c>
      <c r="C12" s="60">
        <v>1.57</v>
      </c>
      <c r="D12" s="60">
        <v>3658.42</v>
      </c>
      <c r="E12" s="70">
        <v>1150.576</v>
      </c>
      <c r="F12" s="60">
        <v>2507.8440000000001</v>
      </c>
      <c r="G12" s="71">
        <v>11.4</v>
      </c>
    </row>
    <row r="13" spans="1:7">
      <c r="A13" s="72">
        <v>1978</v>
      </c>
      <c r="B13" s="60">
        <v>3301.3</v>
      </c>
      <c r="C13" s="60">
        <v>21.2</v>
      </c>
      <c r="D13" s="60">
        <v>3322.5</v>
      </c>
      <c r="E13" s="70">
        <v>632.88599999999997</v>
      </c>
      <c r="F13" s="60">
        <v>2689.614</v>
      </c>
      <c r="G13" s="71">
        <v>12.1</v>
      </c>
    </row>
    <row r="14" spans="1:7">
      <c r="A14" s="72">
        <v>1979</v>
      </c>
      <c r="B14" s="60">
        <v>3201.35</v>
      </c>
      <c r="C14" s="60">
        <v>13.97</v>
      </c>
      <c r="D14" s="60">
        <v>3215.3199999999997</v>
      </c>
      <c r="E14" s="70">
        <v>697.32799999999997</v>
      </c>
      <c r="F14" s="60">
        <v>2517.9919999999997</v>
      </c>
      <c r="G14" s="71">
        <v>11.2</v>
      </c>
    </row>
    <row r="15" spans="1:7">
      <c r="A15" s="72">
        <v>1980</v>
      </c>
      <c r="B15" s="60">
        <v>2950.3</v>
      </c>
      <c r="C15" s="60">
        <v>6.19</v>
      </c>
      <c r="D15" s="60">
        <v>2956.4900000000002</v>
      </c>
      <c r="E15" s="70">
        <v>731.34699999999998</v>
      </c>
      <c r="F15" s="60">
        <v>2225.143</v>
      </c>
      <c r="G15" s="71">
        <v>9.8000000000000007</v>
      </c>
    </row>
    <row r="16" spans="1:7">
      <c r="A16" s="72">
        <v>1981</v>
      </c>
      <c r="B16" s="60">
        <v>2904.85</v>
      </c>
      <c r="C16" s="60">
        <v>20.23</v>
      </c>
      <c r="D16" s="60">
        <v>2925.08</v>
      </c>
      <c r="E16" s="70">
        <v>433.81299999999999</v>
      </c>
      <c r="F16" s="60">
        <v>2491.2669999999998</v>
      </c>
      <c r="G16" s="71">
        <v>10.8</v>
      </c>
    </row>
    <row r="17" spans="1:7">
      <c r="A17" s="72">
        <v>1982</v>
      </c>
      <c r="B17" s="60">
        <v>2879.75</v>
      </c>
      <c r="C17" s="60">
        <v>14.68</v>
      </c>
      <c r="D17" s="60">
        <v>2894.43</v>
      </c>
      <c r="E17" s="70">
        <v>484.14</v>
      </c>
      <c r="F17" s="60">
        <v>2410.29</v>
      </c>
      <c r="G17" s="71">
        <v>10.4</v>
      </c>
    </row>
    <row r="18" spans="1:7">
      <c r="A18" s="72">
        <v>1983</v>
      </c>
      <c r="B18" s="60">
        <v>2723.7</v>
      </c>
      <c r="C18" s="60">
        <v>8.6300000000000008</v>
      </c>
      <c r="D18" s="60">
        <v>2732.33</v>
      </c>
      <c r="E18" s="70">
        <v>394.20499999999998</v>
      </c>
      <c r="F18" s="60">
        <v>2338.125</v>
      </c>
      <c r="G18" s="71">
        <v>10</v>
      </c>
    </row>
    <row r="19" spans="1:7">
      <c r="A19" s="72">
        <v>1984</v>
      </c>
      <c r="B19" s="60">
        <v>2730</v>
      </c>
      <c r="C19" s="60">
        <v>29.53</v>
      </c>
      <c r="D19" s="60">
        <v>2759.53</v>
      </c>
      <c r="E19" s="70">
        <v>327.35500000000002</v>
      </c>
      <c r="F19" s="60">
        <v>2432.1750000000002</v>
      </c>
      <c r="G19" s="71">
        <v>10.3</v>
      </c>
    </row>
    <row r="20" spans="1:7">
      <c r="A20" s="72">
        <v>1985</v>
      </c>
      <c r="B20" s="60">
        <v>2890.2</v>
      </c>
      <c r="C20" s="60">
        <v>42.5</v>
      </c>
      <c r="D20" s="60">
        <v>2932.7</v>
      </c>
      <c r="E20" s="70">
        <v>259.803</v>
      </c>
      <c r="F20" s="60">
        <v>2672.8969999999999</v>
      </c>
      <c r="G20" s="71">
        <v>11.2</v>
      </c>
    </row>
    <row r="21" spans="1:7">
      <c r="A21" s="72">
        <v>1986</v>
      </c>
      <c r="B21" s="60">
        <v>2920.2</v>
      </c>
      <c r="C21" s="60">
        <v>43.71</v>
      </c>
      <c r="D21" s="60">
        <v>2963.91</v>
      </c>
      <c r="E21" s="70">
        <v>332.6</v>
      </c>
      <c r="F21" s="60">
        <v>2631.31</v>
      </c>
      <c r="G21" s="71">
        <v>10.9</v>
      </c>
    </row>
    <row r="22" spans="1:7">
      <c r="A22" s="72">
        <v>1987</v>
      </c>
      <c r="B22" s="60">
        <v>2963.5</v>
      </c>
      <c r="C22" s="60">
        <v>37.04</v>
      </c>
      <c r="D22" s="60">
        <v>3000.54</v>
      </c>
      <c r="E22" s="70">
        <v>388.94600000000003</v>
      </c>
      <c r="F22" s="60">
        <v>2611.5940000000001</v>
      </c>
      <c r="G22" s="71">
        <v>10.8</v>
      </c>
    </row>
    <row r="23" spans="1:7">
      <c r="A23" s="72">
        <v>1988</v>
      </c>
      <c r="B23" s="60">
        <v>2980.45</v>
      </c>
      <c r="C23" s="60">
        <v>37.659999999999997</v>
      </c>
      <c r="D23" s="60">
        <v>3018.1099999999997</v>
      </c>
      <c r="E23" s="70">
        <v>463.57600000000002</v>
      </c>
      <c r="F23" s="60">
        <v>2554.5339999999997</v>
      </c>
      <c r="G23" s="71">
        <v>10.425775749833686</v>
      </c>
    </row>
    <row r="24" spans="1:7">
      <c r="A24" s="72">
        <v>1989</v>
      </c>
      <c r="B24" s="60">
        <v>3048.6499999999996</v>
      </c>
      <c r="C24" s="60">
        <v>32.99</v>
      </c>
      <c r="D24" s="60">
        <v>3081.6399999999994</v>
      </c>
      <c r="E24" s="70">
        <v>413.077</v>
      </c>
      <c r="F24" s="60">
        <v>2668.5629999999992</v>
      </c>
      <c r="G24" s="71">
        <v>10.788960225113401</v>
      </c>
    </row>
    <row r="25" spans="1:7">
      <c r="A25" s="72">
        <v>1990</v>
      </c>
      <c r="B25" s="60">
        <v>3499.0128000000004</v>
      </c>
      <c r="C25" s="60">
        <v>18.009236700000002</v>
      </c>
      <c r="D25" s="60">
        <v>3517.0220367000006</v>
      </c>
      <c r="E25" s="70">
        <v>330.50974644999997</v>
      </c>
      <c r="F25" s="60">
        <v>3186.5122902500007</v>
      </c>
      <c r="G25" s="71">
        <v>12.739322798562361</v>
      </c>
    </row>
    <row r="26" spans="1:7">
      <c r="A26" s="72">
        <v>1991</v>
      </c>
      <c r="B26" s="60">
        <v>3995.2377000000001</v>
      </c>
      <c r="C26" s="60">
        <v>21.564158200000001</v>
      </c>
      <c r="D26" s="60">
        <v>4016.8018582</v>
      </c>
      <c r="E26" s="70">
        <v>511.28316089500004</v>
      </c>
      <c r="F26" s="60">
        <v>3505.5186973049999</v>
      </c>
      <c r="G26" s="71">
        <v>13.82885798544733</v>
      </c>
    </row>
    <row r="27" spans="1:7">
      <c r="A27" s="72">
        <v>1992</v>
      </c>
      <c r="B27" s="60">
        <v>3856.8717000000006</v>
      </c>
      <c r="C27" s="60">
        <v>13.00928785</v>
      </c>
      <c r="D27" s="60">
        <v>3869.8809878500006</v>
      </c>
      <c r="E27" s="70">
        <v>574.18962815499992</v>
      </c>
      <c r="F27" s="60">
        <v>3295.6913596950008</v>
      </c>
      <c r="G27" s="71">
        <v>12.828993124382043</v>
      </c>
    </row>
    <row r="28" spans="1:7">
      <c r="A28" s="72">
        <v>1993</v>
      </c>
      <c r="B28" s="60">
        <v>4050.7838000000006</v>
      </c>
      <c r="C28" s="60">
        <v>17.266983499999998</v>
      </c>
      <c r="D28" s="60">
        <v>4068.0507835000008</v>
      </c>
      <c r="E28" s="70">
        <v>511.20590774500005</v>
      </c>
      <c r="F28" s="60">
        <v>3556.8448757550009</v>
      </c>
      <c r="G28" s="71">
        <v>13.666768652878911</v>
      </c>
    </row>
    <row r="29" spans="1:7">
      <c r="A29" s="72">
        <v>1994</v>
      </c>
      <c r="B29" s="60">
        <v>4085.6932999999999</v>
      </c>
      <c r="C29" s="60">
        <v>17.192095049999999</v>
      </c>
      <c r="D29" s="60">
        <v>4102.8853950499997</v>
      </c>
      <c r="E29" s="70">
        <v>619.36649508500011</v>
      </c>
      <c r="F29" s="60">
        <v>3483.5188999649995</v>
      </c>
      <c r="G29" s="71">
        <v>13.223397333564888</v>
      </c>
    </row>
    <row r="30" spans="1:7">
      <c r="A30" s="72">
        <v>1995</v>
      </c>
      <c r="B30" s="60">
        <v>4383.6001999999999</v>
      </c>
      <c r="C30" s="60">
        <v>30.4555407</v>
      </c>
      <c r="D30" s="60">
        <v>4414.0557406999997</v>
      </c>
      <c r="E30" s="70">
        <v>892.98784236999995</v>
      </c>
      <c r="F30" s="60">
        <v>3521.0678983299995</v>
      </c>
      <c r="G30" s="71">
        <v>13.209436999703625</v>
      </c>
    </row>
    <row r="31" spans="1:7">
      <c r="A31" s="72">
        <v>1996</v>
      </c>
      <c r="B31" s="60">
        <v>5144.1580000000004</v>
      </c>
      <c r="C31" s="60">
        <v>24.938995250000001</v>
      </c>
      <c r="D31" s="60">
        <v>5169.09699525</v>
      </c>
      <c r="E31" s="70">
        <v>670.58480228999997</v>
      </c>
      <c r="F31" s="60">
        <v>4498.51219296</v>
      </c>
      <c r="G31" s="71">
        <v>16.681730404387636</v>
      </c>
    </row>
    <row r="32" spans="1:7">
      <c r="A32" s="72">
        <v>1997</v>
      </c>
      <c r="B32" s="60">
        <v>4939.1606000000002</v>
      </c>
      <c r="C32" s="60">
        <v>21.869244800000001</v>
      </c>
      <c r="D32" s="60">
        <v>4961.0298448000003</v>
      </c>
      <c r="E32" s="70">
        <v>731.89583564500003</v>
      </c>
      <c r="F32" s="60">
        <v>4229.1340091550001</v>
      </c>
      <c r="G32" s="71">
        <v>15.496328520383862</v>
      </c>
    </row>
    <row r="33" spans="1:7">
      <c r="A33" s="72">
        <v>1998</v>
      </c>
      <c r="B33" s="60">
        <v>5147.9327999999996</v>
      </c>
      <c r="C33" s="60">
        <v>43.845879350000004</v>
      </c>
      <c r="D33" s="60">
        <v>5191.7786793499999</v>
      </c>
      <c r="E33" s="70">
        <v>630.48350300000004</v>
      </c>
      <c r="F33" s="60">
        <v>4561.2951763499996</v>
      </c>
      <c r="G33" s="71">
        <v>16.519548653097438</v>
      </c>
    </row>
    <row r="34" spans="1:7">
      <c r="A34" s="72">
        <v>1999</v>
      </c>
      <c r="B34" s="60">
        <v>5280.0991000000004</v>
      </c>
      <c r="C34" s="60">
        <v>77.533487199999996</v>
      </c>
      <c r="D34" s="60">
        <v>5357.6325872000007</v>
      </c>
      <c r="E34" s="70">
        <v>1906.1653864500001</v>
      </c>
      <c r="F34" s="60">
        <v>3451.4672007500003</v>
      </c>
      <c r="G34" s="71">
        <v>12.357783708086432</v>
      </c>
    </row>
    <row r="35" spans="1:7">
      <c r="A35" s="72">
        <v>2000</v>
      </c>
      <c r="B35" s="60">
        <v>5075.4520000000011</v>
      </c>
      <c r="C35" s="60">
        <v>141.1689227</v>
      </c>
      <c r="D35" s="60">
        <v>5216.6209227000008</v>
      </c>
      <c r="E35" s="70">
        <v>775.73551250000003</v>
      </c>
      <c r="F35" s="60">
        <v>4440.8854102000005</v>
      </c>
      <c r="G35" s="71">
        <v>15.72637367779209</v>
      </c>
    </row>
    <row r="36" spans="1:7">
      <c r="A36" s="72">
        <v>2001</v>
      </c>
      <c r="B36" s="60">
        <v>4779.0454</v>
      </c>
      <c r="C36" s="60">
        <v>165.2959932</v>
      </c>
      <c r="D36" s="60">
        <v>4944.3413932000003</v>
      </c>
      <c r="E36" s="70">
        <v>728.57304649999992</v>
      </c>
      <c r="F36" s="60">
        <v>4215.7683467000006</v>
      </c>
      <c r="G36" s="71">
        <v>14.776148197053669</v>
      </c>
    </row>
    <row r="37" spans="1:7">
      <c r="A37" s="72">
        <v>2002</v>
      </c>
      <c r="B37" s="60">
        <v>4577.5153000000009</v>
      </c>
      <c r="C37" s="60">
        <v>195.42225884999999</v>
      </c>
      <c r="D37" s="60">
        <v>4772.9375588500006</v>
      </c>
      <c r="E37" s="70">
        <v>531.73129749999998</v>
      </c>
      <c r="F37" s="60">
        <v>4241.2062613500002</v>
      </c>
      <c r="G37" s="71">
        <v>14.721052882045173</v>
      </c>
    </row>
    <row r="38" spans="1:7">
      <c r="A38" s="72">
        <v>2003</v>
      </c>
      <c r="B38" s="60">
        <v>5003.8480999999992</v>
      </c>
      <c r="C38" s="60">
        <v>234.40244750000002</v>
      </c>
      <c r="D38" s="60">
        <v>5238.2505474999989</v>
      </c>
      <c r="E38" s="70">
        <v>743.20897949999994</v>
      </c>
      <c r="F38" s="60">
        <v>4495.0415679999987</v>
      </c>
      <c r="G38" s="71">
        <v>15.456458376534504</v>
      </c>
    </row>
    <row r="39" spans="1:7">
      <c r="A39" s="72">
        <v>2004</v>
      </c>
      <c r="B39" s="60">
        <v>4853.2469000000001</v>
      </c>
      <c r="C39" s="60">
        <v>145.47344903000001</v>
      </c>
      <c r="D39" s="60">
        <v>4998.7203490299999</v>
      </c>
      <c r="E39" s="70">
        <v>954.26904300000001</v>
      </c>
      <c r="F39" s="60">
        <v>4044.4513060299996</v>
      </c>
      <c r="G39" s="71">
        <v>13.781801305093856</v>
      </c>
    </row>
    <row r="40" spans="1:7">
      <c r="A40" s="72">
        <v>2005</v>
      </c>
      <c r="B40" s="60">
        <v>4542.6206000000011</v>
      </c>
      <c r="C40" s="60">
        <v>153.41359800000001</v>
      </c>
      <c r="D40" s="60">
        <v>4696.0341980000012</v>
      </c>
      <c r="E40" s="70">
        <v>909.80050849999998</v>
      </c>
      <c r="F40" s="60">
        <v>3786.2336895000012</v>
      </c>
      <c r="G40" s="71">
        <v>12.78328796198943</v>
      </c>
    </row>
    <row r="41" spans="1:7">
      <c r="A41" s="72">
        <v>2006</v>
      </c>
      <c r="B41" s="60">
        <v>4615.7619999999997</v>
      </c>
      <c r="C41" s="60">
        <v>106.820285</v>
      </c>
      <c r="D41" s="60">
        <v>4722.5822849999995</v>
      </c>
      <c r="E41" s="70">
        <v>1004.3869420000001</v>
      </c>
      <c r="F41" s="60">
        <v>3718.1953429999994</v>
      </c>
      <c r="G41" s="71">
        <v>12.435609570802532</v>
      </c>
    </row>
    <row r="42" spans="1:7">
      <c r="A42" s="72">
        <v>2007</v>
      </c>
      <c r="B42" s="60">
        <v>4901.8766000000005</v>
      </c>
      <c r="C42" s="60">
        <v>137.89515349999999</v>
      </c>
      <c r="D42" s="60">
        <v>5039.7717535000002</v>
      </c>
      <c r="E42" s="70">
        <v>1105.2145715000001</v>
      </c>
      <c r="F42" s="60">
        <v>3934.557182</v>
      </c>
      <c r="G42" s="71">
        <v>13.0281660618329</v>
      </c>
    </row>
    <row r="43" spans="1:7">
      <c r="A43" s="72">
        <v>2008</v>
      </c>
      <c r="B43" s="60">
        <v>4454.9979000000012</v>
      </c>
      <c r="C43" s="60">
        <v>253.85456199999999</v>
      </c>
      <c r="D43" s="60">
        <v>4708.8524620000007</v>
      </c>
      <c r="E43" s="70">
        <v>935.21226369999988</v>
      </c>
      <c r="F43" s="60">
        <v>3773.640198300001</v>
      </c>
      <c r="G43" s="71">
        <v>12.380800258896919</v>
      </c>
    </row>
    <row r="44" spans="1:7">
      <c r="A44" s="72">
        <v>2009</v>
      </c>
      <c r="B44" s="60">
        <v>4173.4751000000006</v>
      </c>
      <c r="C44" s="60">
        <v>337.77946800000001</v>
      </c>
      <c r="D44" s="60">
        <v>4511.2545680000003</v>
      </c>
      <c r="E44" s="70">
        <v>876.54135413000006</v>
      </c>
      <c r="F44" s="60">
        <v>3634.7132138700003</v>
      </c>
      <c r="G44" s="71">
        <v>11.822535247384652</v>
      </c>
    </row>
    <row r="45" spans="1:7">
      <c r="A45" s="72">
        <v>2010</v>
      </c>
      <c r="B45" s="60">
        <v>3976.0769</v>
      </c>
      <c r="C45" s="60">
        <v>472.30111500000004</v>
      </c>
      <c r="D45" s="60">
        <v>4448.3780150000002</v>
      </c>
      <c r="E45" s="70">
        <v>976.14776999999992</v>
      </c>
      <c r="F45" s="60">
        <v>3472.2302450000002</v>
      </c>
      <c r="G45" s="71">
        <v>11.209186642262734</v>
      </c>
    </row>
    <row r="46" spans="1:7">
      <c r="A46" s="72">
        <v>2011</v>
      </c>
      <c r="B46" s="60">
        <v>4026.9178000000002</v>
      </c>
      <c r="C46" s="60">
        <v>468.97877</v>
      </c>
      <c r="D46" s="60">
        <v>4495.8965699999999</v>
      </c>
      <c r="E46" s="70">
        <v>1200.5870500000001</v>
      </c>
      <c r="F46" s="60">
        <v>3295.3095199999998</v>
      </c>
      <c r="G46" s="71">
        <v>10.557291076328847</v>
      </c>
    </row>
    <row r="47" spans="1:7">
      <c r="A47" s="72">
        <v>2012</v>
      </c>
      <c r="B47" s="60">
        <v>4766.6776</v>
      </c>
      <c r="C47" s="60">
        <v>845.85949500000004</v>
      </c>
      <c r="D47" s="60">
        <v>5612.5370949999997</v>
      </c>
      <c r="E47" s="70">
        <v>1264.7294399999998</v>
      </c>
      <c r="F47" s="60">
        <v>4347.8076549999996</v>
      </c>
      <c r="G47" s="71">
        <v>13.827181239167995</v>
      </c>
    </row>
    <row r="48" spans="1:7">
      <c r="A48" s="72">
        <v>2013</v>
      </c>
      <c r="B48" s="60">
        <v>4807.3870000000006</v>
      </c>
      <c r="C48" s="60">
        <v>539.42174</v>
      </c>
      <c r="D48" s="60">
        <v>5346.8087400000004</v>
      </c>
      <c r="E48" s="70">
        <v>1255.7256399999999</v>
      </c>
      <c r="F48" s="60">
        <v>4091.0831000000007</v>
      </c>
      <c r="G48" s="71">
        <v>12.916689838461812</v>
      </c>
    </row>
    <row r="49" spans="1:7">
      <c r="A49" s="72">
        <v>2014</v>
      </c>
      <c r="B49" s="60">
        <v>4753.8774999999996</v>
      </c>
      <c r="C49" s="60">
        <v>519.91528315999994</v>
      </c>
      <c r="D49" s="60">
        <v>5273.7927831599991</v>
      </c>
      <c r="E49" s="70">
        <v>1426.0389533</v>
      </c>
      <c r="F49" s="60">
        <v>3847.7538298599993</v>
      </c>
      <c r="G49" s="71">
        <v>12.054995518939162</v>
      </c>
    </row>
    <row r="50" spans="1:7">
      <c r="A50" s="72">
        <v>2015</v>
      </c>
      <c r="B50" s="60">
        <v>4864.8905000000004</v>
      </c>
      <c r="C50" s="60">
        <v>480.06437933999996</v>
      </c>
      <c r="D50" s="60">
        <v>5344.9548793400008</v>
      </c>
      <c r="E50" s="70">
        <v>1636.329153095</v>
      </c>
      <c r="F50" s="60">
        <v>3708.6257262450008</v>
      </c>
      <c r="G50" s="71">
        <v>11.548596532163561</v>
      </c>
    </row>
    <row r="51" spans="1:7">
      <c r="A51" s="72">
        <v>2016</v>
      </c>
      <c r="B51" s="60">
        <v>4643.0998</v>
      </c>
      <c r="C51" s="60">
        <v>452.31829214000004</v>
      </c>
      <c r="D51" s="60">
        <v>5095.4180921400002</v>
      </c>
      <c r="E51" s="70">
        <v>1210.89701655</v>
      </c>
      <c r="F51" s="60">
        <v>3884.5210755900002</v>
      </c>
      <c r="G51" s="71">
        <v>12.013409160610076</v>
      </c>
    </row>
    <row r="52" spans="1:7">
      <c r="A52" s="72">
        <v>2017</v>
      </c>
      <c r="B52" s="60">
        <v>4927.0916021004396</v>
      </c>
      <c r="C52" s="60">
        <v>645.91804718999992</v>
      </c>
      <c r="D52" s="60">
        <v>5573.0096492904395</v>
      </c>
      <c r="E52" s="70">
        <v>1252.2970266950001</v>
      </c>
      <c r="F52" s="60">
        <v>4320.7126225954398</v>
      </c>
      <c r="G52" s="71">
        <v>13.271413344891727</v>
      </c>
    </row>
    <row r="53" spans="1:7">
      <c r="A53" s="73" t="s">
        <v>206</v>
      </c>
      <c r="B53" s="73"/>
      <c r="C53" s="74"/>
      <c r="D53" s="74"/>
      <c r="E53" s="75"/>
      <c r="F53" s="74"/>
      <c r="G53" s="74"/>
    </row>
    <row r="54" spans="1:7">
      <c r="A54" s="76" t="s">
        <v>220</v>
      </c>
      <c r="B54" s="77"/>
      <c r="C54" s="78"/>
      <c r="D54" s="78"/>
      <c r="E54" s="79"/>
      <c r="F54" s="78"/>
      <c r="G54" s="78"/>
    </row>
    <row r="55" spans="1:7">
      <c r="A55" s="76" t="s">
        <v>221</v>
      </c>
      <c r="B55" s="77"/>
      <c r="C55" s="78"/>
      <c r="D55" s="78"/>
      <c r="E55" s="79"/>
      <c r="F55" s="78"/>
      <c r="G55" s="78"/>
    </row>
    <row r="56" spans="1:7">
      <c r="A56" s="76" t="s">
        <v>222</v>
      </c>
      <c r="B56" s="77"/>
      <c r="C56" s="78"/>
      <c r="D56" s="78"/>
      <c r="E56" s="79"/>
      <c r="F56" s="78"/>
      <c r="G56" s="78"/>
    </row>
    <row r="57" spans="1:7">
      <c r="A57" s="80" t="s">
        <v>223</v>
      </c>
      <c r="B57" s="80"/>
      <c r="C57" s="76"/>
      <c r="D57" s="76"/>
      <c r="E57" s="81"/>
      <c r="F57" s="76"/>
      <c r="G57" s="76"/>
    </row>
    <row r="58" spans="1:7">
      <c r="A58" s="80" t="s">
        <v>229</v>
      </c>
      <c r="B58" s="80"/>
      <c r="C58" s="76"/>
      <c r="D58" s="76"/>
      <c r="E58" s="81"/>
      <c r="F58" s="76"/>
      <c r="G58" s="76"/>
    </row>
    <row r="59" spans="1:7">
      <c r="A59" s="80" t="s">
        <v>230</v>
      </c>
      <c r="B59" s="80"/>
      <c r="C59" s="76"/>
      <c r="D59" s="76"/>
      <c r="E59" s="81"/>
      <c r="F59" s="76"/>
      <c r="G59" s="76"/>
    </row>
    <row r="60" spans="1:7">
      <c r="A60" s="82" t="s">
        <v>212</v>
      </c>
      <c r="B60" s="83"/>
      <c r="C60" s="76"/>
      <c r="D60" s="76"/>
      <c r="E60" s="81"/>
      <c r="F60" s="76"/>
      <c r="G60" s="76"/>
    </row>
  </sheetData>
  <conditionalFormatting sqref="A5:A51">
    <cfRule type="expression" dxfId="5" priority="3">
      <formula>MOD(ROW(),2)=1</formula>
    </cfRule>
  </conditionalFormatting>
  <conditionalFormatting sqref="A52">
    <cfRule type="expression" dxfId="4" priority="2">
      <formula>MOD(ROW(),2)=1</formula>
    </cfRule>
  </conditionalFormatting>
  <conditionalFormatting sqref="B5:G52">
    <cfRule type="expression" dxfId="3" priority="1">
      <formula>MOD(ROW(),2)=1</formula>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41D6AA-E84A-7D43-963B-74AD6E9FAB21}">
  <dimension ref="A1:I57"/>
  <sheetViews>
    <sheetView topLeftCell="A15" workbookViewId="0">
      <selection activeCell="A18" sqref="A18:XFD18"/>
    </sheetView>
  </sheetViews>
  <sheetFormatPr baseColWidth="10" defaultRowHeight="16"/>
  <sheetData>
    <row r="1" spans="1:9">
      <c r="A1" s="62" t="s">
        <v>231</v>
      </c>
      <c r="F1" s="27"/>
    </row>
    <row r="2" spans="1:9">
      <c r="A2" s="63"/>
      <c r="B2" s="64" t="s">
        <v>232</v>
      </c>
      <c r="C2" s="63"/>
      <c r="D2" s="63"/>
      <c r="E2" s="63"/>
      <c r="F2" s="65" t="s">
        <v>233</v>
      </c>
      <c r="G2" s="63"/>
      <c r="H2" s="63"/>
      <c r="I2" s="63"/>
    </row>
    <row r="3" spans="1:9" ht="32">
      <c r="A3" s="66" t="s">
        <v>194</v>
      </c>
      <c r="B3" s="66" t="s">
        <v>216</v>
      </c>
      <c r="C3" s="66" t="s">
        <v>217</v>
      </c>
      <c r="D3" s="66" t="s">
        <v>234</v>
      </c>
      <c r="E3" s="66" t="s">
        <v>197</v>
      </c>
      <c r="F3" s="67" t="s">
        <v>218</v>
      </c>
      <c r="G3" s="66" t="s">
        <v>235</v>
      </c>
      <c r="H3" s="66" t="s">
        <v>199</v>
      </c>
      <c r="I3" s="66" t="s">
        <v>200</v>
      </c>
    </row>
    <row r="4" spans="1:9">
      <c r="A4" s="62"/>
      <c r="B4" s="84" t="s">
        <v>236</v>
      </c>
      <c r="C4" s="62"/>
      <c r="D4" s="62"/>
      <c r="E4" s="62"/>
      <c r="F4" s="68"/>
      <c r="G4" s="62"/>
      <c r="H4" s="62"/>
      <c r="I4" s="62" t="s">
        <v>204</v>
      </c>
    </row>
    <row r="5" spans="1:9">
      <c r="A5" s="69">
        <v>1970</v>
      </c>
      <c r="B5" s="60">
        <v>6185.9</v>
      </c>
      <c r="C5" s="85">
        <v>0</v>
      </c>
      <c r="D5" s="60">
        <v>880.9</v>
      </c>
      <c r="E5" s="60">
        <v>7066.7999999999993</v>
      </c>
      <c r="F5" s="86">
        <v>0</v>
      </c>
      <c r="G5" s="60">
        <v>1217.3</v>
      </c>
      <c r="H5" s="60">
        <v>5849.4999999999991</v>
      </c>
      <c r="I5" s="71">
        <v>28.5</v>
      </c>
    </row>
    <row r="6" spans="1:9">
      <c r="A6" s="72">
        <v>1971</v>
      </c>
      <c r="B6" s="60">
        <v>6355.1</v>
      </c>
      <c r="C6" s="85">
        <v>0</v>
      </c>
      <c r="D6" s="60">
        <v>1217.3</v>
      </c>
      <c r="E6" s="60">
        <v>7572.4000000000005</v>
      </c>
      <c r="F6" s="86">
        <v>0</v>
      </c>
      <c r="G6" s="60">
        <v>1317.3</v>
      </c>
      <c r="H6" s="60">
        <v>6255.1</v>
      </c>
      <c r="I6" s="71">
        <v>30.1</v>
      </c>
    </row>
    <row r="7" spans="1:9">
      <c r="A7" s="72">
        <v>1972</v>
      </c>
      <c r="B7" s="60">
        <v>6402.7</v>
      </c>
      <c r="C7" s="85">
        <v>0</v>
      </c>
      <c r="D7" s="60">
        <v>1317.3</v>
      </c>
      <c r="E7" s="60">
        <v>7720</v>
      </c>
      <c r="F7" s="86">
        <v>0</v>
      </c>
      <c r="G7" s="60">
        <v>1354.5</v>
      </c>
      <c r="H7" s="60">
        <v>6365.5</v>
      </c>
      <c r="I7" s="71">
        <v>30.3</v>
      </c>
    </row>
    <row r="8" spans="1:9">
      <c r="A8" s="72">
        <v>1973</v>
      </c>
      <c r="B8" s="60">
        <v>6991.3</v>
      </c>
      <c r="C8" s="85">
        <v>0</v>
      </c>
      <c r="D8" s="60">
        <v>1354.5</v>
      </c>
      <c r="E8" s="60">
        <v>8345.7999999999993</v>
      </c>
      <c r="F8" s="86">
        <v>0</v>
      </c>
      <c r="G8" s="60">
        <v>1098.5999999999999</v>
      </c>
      <c r="H8" s="60">
        <v>7247.1999999999989</v>
      </c>
      <c r="I8" s="71">
        <v>34.200000000000003</v>
      </c>
    </row>
    <row r="9" spans="1:9">
      <c r="A9" s="72">
        <v>1974</v>
      </c>
      <c r="B9" s="60">
        <v>7842.4</v>
      </c>
      <c r="C9" s="85">
        <v>0</v>
      </c>
      <c r="D9" s="60">
        <v>1098.5999999999999</v>
      </c>
      <c r="E9" s="60">
        <v>8941</v>
      </c>
      <c r="F9" s="86">
        <v>0</v>
      </c>
      <c r="G9" s="60">
        <v>1386.9</v>
      </c>
      <c r="H9" s="60">
        <v>7554.1</v>
      </c>
      <c r="I9" s="71">
        <v>35.299999999999997</v>
      </c>
    </row>
    <row r="10" spans="1:9">
      <c r="A10" s="72">
        <v>1975</v>
      </c>
      <c r="B10" s="60">
        <v>7997.5</v>
      </c>
      <c r="C10" s="85">
        <v>0</v>
      </c>
      <c r="D10" s="60">
        <v>1386.9</v>
      </c>
      <c r="E10" s="60">
        <v>9384.4</v>
      </c>
      <c r="F10" s="86">
        <v>0</v>
      </c>
      <c r="G10" s="60">
        <v>1364.4</v>
      </c>
      <c r="H10" s="60">
        <v>8020</v>
      </c>
      <c r="I10" s="71">
        <v>37.1</v>
      </c>
    </row>
    <row r="11" spans="1:9">
      <c r="A11" s="72">
        <v>1976</v>
      </c>
      <c r="B11" s="60">
        <v>9252.6</v>
      </c>
      <c r="C11" s="85">
        <v>0</v>
      </c>
      <c r="D11" s="60">
        <v>1364.4</v>
      </c>
      <c r="E11" s="60">
        <v>10617</v>
      </c>
      <c r="F11" s="86">
        <v>0</v>
      </c>
      <c r="G11" s="60">
        <v>1500.8</v>
      </c>
      <c r="H11" s="60">
        <v>9116.2000000000007</v>
      </c>
      <c r="I11" s="71">
        <v>41.8</v>
      </c>
    </row>
    <row r="12" spans="1:9">
      <c r="A12" s="72">
        <v>1977</v>
      </c>
      <c r="B12" s="60">
        <v>9454.6</v>
      </c>
      <c r="C12" s="85">
        <v>0</v>
      </c>
      <c r="D12" s="60">
        <v>1500.8</v>
      </c>
      <c r="E12" s="60">
        <v>10955.4</v>
      </c>
      <c r="F12" s="86">
        <v>0</v>
      </c>
      <c r="G12" s="60">
        <v>1659.5</v>
      </c>
      <c r="H12" s="60">
        <v>9295.9</v>
      </c>
      <c r="I12" s="71">
        <v>42.2</v>
      </c>
    </row>
    <row r="13" spans="1:9">
      <c r="A13" s="72">
        <v>1978</v>
      </c>
      <c r="B13" s="60">
        <v>9494.5</v>
      </c>
      <c r="C13" s="60">
        <v>12.63</v>
      </c>
      <c r="D13" s="60">
        <v>1659.5</v>
      </c>
      <c r="E13" s="60">
        <v>11166.63</v>
      </c>
      <c r="F13" s="70">
        <v>106.2</v>
      </c>
      <c r="G13" s="60">
        <v>1554.9459999999999</v>
      </c>
      <c r="H13" s="60">
        <v>9474.3839999999982</v>
      </c>
      <c r="I13" s="71">
        <v>42.6</v>
      </c>
    </row>
    <row r="14" spans="1:9">
      <c r="A14" s="72">
        <v>1979</v>
      </c>
      <c r="B14" s="60">
        <v>8874</v>
      </c>
      <c r="C14" s="60">
        <v>32.85</v>
      </c>
      <c r="D14" s="60">
        <v>1554.9459999999999</v>
      </c>
      <c r="E14" s="60">
        <v>10461.796</v>
      </c>
      <c r="F14" s="70">
        <v>133.49</v>
      </c>
      <c r="G14" s="60">
        <v>1624.4159999999999</v>
      </c>
      <c r="H14" s="60">
        <v>8665.4900000000016</v>
      </c>
      <c r="I14" s="71">
        <v>38.5</v>
      </c>
    </row>
    <row r="15" spans="1:9">
      <c r="A15" s="72">
        <v>1980</v>
      </c>
      <c r="B15" s="60">
        <v>8088.1</v>
      </c>
      <c r="C15" s="60">
        <v>21.83</v>
      </c>
      <c r="D15" s="60">
        <v>1624.4159999999999</v>
      </c>
      <c r="E15" s="60">
        <v>9734.3459999999995</v>
      </c>
      <c r="F15" s="70">
        <v>168.74</v>
      </c>
      <c r="G15" s="60">
        <v>1459.8240000000001</v>
      </c>
      <c r="H15" s="60">
        <v>8062.5819999999985</v>
      </c>
      <c r="I15" s="71">
        <v>35.404749567462645</v>
      </c>
    </row>
    <row r="16" spans="1:9">
      <c r="A16" s="72">
        <v>1981</v>
      </c>
      <c r="B16" s="60">
        <v>9664.1</v>
      </c>
      <c r="C16" s="60">
        <v>29.98</v>
      </c>
      <c r="D16" s="60">
        <v>1459.8240000000001</v>
      </c>
      <c r="E16" s="60">
        <v>11153.904</v>
      </c>
      <c r="F16" s="70">
        <v>192.77</v>
      </c>
      <c r="G16" s="60">
        <v>1377.376</v>
      </c>
      <c r="H16" s="60">
        <v>9540.2579999999998</v>
      </c>
      <c r="I16" s="71">
        <v>41.485515250080446</v>
      </c>
    </row>
    <row r="17" spans="1:9">
      <c r="A17" s="72">
        <v>1982</v>
      </c>
      <c r="B17" s="60">
        <v>9330.2999999999993</v>
      </c>
      <c r="C17" s="60">
        <v>44.33</v>
      </c>
      <c r="D17" s="60">
        <v>1377.376</v>
      </c>
      <c r="E17" s="60">
        <v>10752.005999999999</v>
      </c>
      <c r="F17" s="70">
        <v>219.44</v>
      </c>
      <c r="G17" s="60">
        <v>1534.6179999999999</v>
      </c>
      <c r="H17" s="60">
        <v>8968.8479999999981</v>
      </c>
      <c r="I17" s="71">
        <v>38.627525970334375</v>
      </c>
    </row>
    <row r="18" spans="1:9">
      <c r="A18" s="72">
        <v>1983</v>
      </c>
      <c r="B18" s="60">
        <v>9400.5</v>
      </c>
      <c r="C18" s="60">
        <v>53.11</v>
      </c>
      <c r="D18" s="60">
        <v>1534.6179999999999</v>
      </c>
      <c r="E18" s="60">
        <v>10988.228000000001</v>
      </c>
      <c r="F18" s="70">
        <v>242.71</v>
      </c>
      <c r="G18" s="60">
        <v>1545.924</v>
      </c>
      <c r="H18" s="60">
        <v>9181.9940000000024</v>
      </c>
      <c r="I18" s="71">
        <v>39.187877442842094</v>
      </c>
    </row>
    <row r="19" spans="1:9">
      <c r="A19" s="72">
        <v>1984</v>
      </c>
      <c r="B19" s="60">
        <v>10767.2</v>
      </c>
      <c r="C19" s="60">
        <v>99.47</v>
      </c>
      <c r="D19" s="60">
        <v>1545.924</v>
      </c>
      <c r="E19" s="60">
        <v>12412.594000000001</v>
      </c>
      <c r="F19" s="70">
        <v>280.87</v>
      </c>
      <c r="G19" s="60">
        <v>1784.5740000000001</v>
      </c>
      <c r="H19" s="60">
        <v>10325.85</v>
      </c>
      <c r="I19" s="71">
        <v>43.689178668742699</v>
      </c>
    </row>
    <row r="20" spans="1:9">
      <c r="A20" s="72">
        <v>1985</v>
      </c>
      <c r="B20" s="60">
        <v>11259.7</v>
      </c>
      <c r="C20" s="60">
        <v>138.16</v>
      </c>
      <c r="D20" s="60">
        <v>1784.5740000000001</v>
      </c>
      <c r="E20" s="60">
        <v>13182.434000000001</v>
      </c>
      <c r="F20" s="70">
        <v>291.66000000000003</v>
      </c>
      <c r="G20" s="60">
        <v>2024.6179999999999</v>
      </c>
      <c r="H20" s="60">
        <v>10829.056</v>
      </c>
      <c r="I20" s="71">
        <v>45.41132069141932</v>
      </c>
    </row>
    <row r="21" spans="1:9">
      <c r="A21" s="72">
        <v>1986</v>
      </c>
      <c r="B21" s="60">
        <v>11195.2</v>
      </c>
      <c r="C21" s="60">
        <v>147.05000000000001</v>
      </c>
      <c r="D21" s="60">
        <v>2024.6179999999999</v>
      </c>
      <c r="E21" s="60">
        <v>13366.868</v>
      </c>
      <c r="F21" s="70">
        <v>393.07</v>
      </c>
      <c r="G21" s="60">
        <v>1788.1</v>
      </c>
      <c r="H21" s="60">
        <v>11137.198</v>
      </c>
      <c r="I21" s="71">
        <v>46.279458635118907</v>
      </c>
    </row>
    <row r="22" spans="1:9">
      <c r="A22" s="72">
        <v>1987</v>
      </c>
      <c r="B22" s="60">
        <v>11968.2</v>
      </c>
      <c r="C22" s="60">
        <v>187.8</v>
      </c>
      <c r="D22" s="60">
        <v>1788.1</v>
      </c>
      <c r="E22" s="60">
        <v>13944.1</v>
      </c>
      <c r="F22" s="70">
        <v>492.01</v>
      </c>
      <c r="G22" s="60">
        <v>1765.1</v>
      </c>
      <c r="H22" s="60">
        <v>11620.09</v>
      </c>
      <c r="I22" s="71">
        <v>47.857901846757052</v>
      </c>
    </row>
    <row r="23" spans="1:9">
      <c r="A23" s="72">
        <v>1988</v>
      </c>
      <c r="B23" s="60">
        <v>11302.400000000001</v>
      </c>
      <c r="C23" s="60">
        <v>203.81</v>
      </c>
      <c r="D23" s="60">
        <v>1765.1</v>
      </c>
      <c r="E23" s="60">
        <v>13271.310000000001</v>
      </c>
      <c r="F23" s="70">
        <v>618.22</v>
      </c>
      <c r="G23" s="60">
        <v>1977.4</v>
      </c>
      <c r="H23" s="60">
        <v>10611.490000000002</v>
      </c>
      <c r="I23" s="71">
        <v>43.308491925181933</v>
      </c>
    </row>
    <row r="24" spans="1:9">
      <c r="A24" s="72">
        <v>1989</v>
      </c>
      <c r="B24" s="60">
        <v>11957.400000000001</v>
      </c>
      <c r="C24" s="60">
        <v>208.41</v>
      </c>
      <c r="D24" s="60">
        <v>1977.4</v>
      </c>
      <c r="E24" s="60">
        <v>14143.210000000001</v>
      </c>
      <c r="F24" s="70">
        <v>726.64</v>
      </c>
      <c r="G24" s="60">
        <v>1834.7</v>
      </c>
      <c r="H24" s="60">
        <v>11581.87</v>
      </c>
      <c r="I24" s="71">
        <v>46.825326875338604</v>
      </c>
    </row>
    <row r="25" spans="1:9">
      <c r="A25" s="72">
        <v>1990</v>
      </c>
      <c r="B25" s="60">
        <v>12300.694000000001</v>
      </c>
      <c r="C25" s="60">
        <v>269.83799229199997</v>
      </c>
      <c r="D25" s="60">
        <v>1834.7</v>
      </c>
      <c r="E25" s="60">
        <v>14405.231992292001</v>
      </c>
      <c r="F25" s="70">
        <v>843.19305000000008</v>
      </c>
      <c r="G25" s="60">
        <v>1951.508</v>
      </c>
      <c r="H25" s="60">
        <v>11610.530942292002</v>
      </c>
      <c r="I25" s="71">
        <v>46.417615268306342</v>
      </c>
    </row>
    <row r="26" spans="1:9">
      <c r="A26" s="72">
        <v>1991</v>
      </c>
      <c r="B26" s="60">
        <v>13412.815500000001</v>
      </c>
      <c r="C26" s="60">
        <v>340.81529226799995</v>
      </c>
      <c r="D26" s="60">
        <v>1951.508</v>
      </c>
      <c r="E26" s="60">
        <v>15705.138792268001</v>
      </c>
      <c r="F26" s="70">
        <v>819.55817200000001</v>
      </c>
      <c r="G26" s="60">
        <v>1940.0239999999999</v>
      </c>
      <c r="H26" s="60">
        <v>12945.556620268</v>
      </c>
      <c r="I26" s="71">
        <v>51.06869467901678</v>
      </c>
    </row>
    <row r="27" spans="1:9">
      <c r="A27" s="72">
        <v>1992</v>
      </c>
      <c r="B27" s="60">
        <v>13335.9473</v>
      </c>
      <c r="C27" s="60">
        <v>391.2181965559999</v>
      </c>
      <c r="D27" s="60">
        <v>1940.0239999999999</v>
      </c>
      <c r="E27" s="60">
        <v>15667.189496555999</v>
      </c>
      <c r="F27" s="70">
        <v>927.65</v>
      </c>
      <c r="G27" s="60">
        <v>1926.3340000000001</v>
      </c>
      <c r="H27" s="60">
        <v>12813.205496555998</v>
      </c>
      <c r="I27" s="71">
        <v>49.877402728580655</v>
      </c>
    </row>
    <row r="28" spans="1:9">
      <c r="A28" s="72">
        <v>1993</v>
      </c>
      <c r="B28" s="60">
        <v>14481.675199999998</v>
      </c>
      <c r="C28" s="60">
        <v>578.66380743599996</v>
      </c>
      <c r="D28" s="60">
        <v>1926.3340000000001</v>
      </c>
      <c r="E28" s="60">
        <v>16986.673007435998</v>
      </c>
      <c r="F28" s="70">
        <v>1055.4981659999999</v>
      </c>
      <c r="G28" s="60">
        <v>2012.8320000000001</v>
      </c>
      <c r="H28" s="60">
        <v>13918.342841435999</v>
      </c>
      <c r="I28" s="71">
        <v>53.479636669558701</v>
      </c>
    </row>
    <row r="29" spans="1:9">
      <c r="A29" s="72">
        <v>1994</v>
      </c>
      <c r="B29" s="60">
        <v>15510.634899999999</v>
      </c>
      <c r="C29" s="60">
        <v>617.97174111199979</v>
      </c>
      <c r="D29" s="60">
        <v>2012.8320000000001</v>
      </c>
      <c r="E29" s="60">
        <v>18141.438641111999</v>
      </c>
      <c r="F29" s="70">
        <v>1276.1233440000001</v>
      </c>
      <c r="G29" s="60">
        <v>2193.152</v>
      </c>
      <c r="H29" s="60">
        <v>14672.163297112</v>
      </c>
      <c r="I29" s="71">
        <v>55.695361670811891</v>
      </c>
    </row>
    <row r="30" spans="1:9">
      <c r="A30" s="72">
        <v>1995</v>
      </c>
      <c r="B30" s="60">
        <v>15980.2549</v>
      </c>
      <c r="C30" s="60">
        <v>708.1821459680001</v>
      </c>
      <c r="D30" s="60">
        <v>2193.152</v>
      </c>
      <c r="E30" s="60">
        <v>18881.589045968001</v>
      </c>
      <c r="F30" s="70">
        <v>1668.3577760000001</v>
      </c>
      <c r="G30" s="60">
        <v>2247.4879999999998</v>
      </c>
      <c r="H30" s="60">
        <v>14965.743269968001</v>
      </c>
      <c r="I30" s="71">
        <v>56.144626740126881</v>
      </c>
    </row>
    <row r="31" spans="1:9">
      <c r="A31" s="72">
        <v>1996</v>
      </c>
      <c r="B31" s="60">
        <v>16989.041700000002</v>
      </c>
      <c r="C31" s="60">
        <v>935.23463699599995</v>
      </c>
      <c r="D31" s="60">
        <v>2247.4879999999998</v>
      </c>
      <c r="E31" s="60">
        <v>20171.764336996002</v>
      </c>
      <c r="F31" s="70">
        <v>1715.1150239999999</v>
      </c>
      <c r="G31" s="60">
        <v>2196.8420000000001</v>
      </c>
      <c r="H31" s="60">
        <v>16259.807312996003</v>
      </c>
      <c r="I31" s="71">
        <v>60.295873477273837</v>
      </c>
    </row>
    <row r="32" spans="1:9">
      <c r="A32" s="72">
        <v>1997</v>
      </c>
      <c r="B32" s="60">
        <v>16436.721000000001</v>
      </c>
      <c r="C32" s="60">
        <v>1433.8059226040002</v>
      </c>
      <c r="D32" s="60">
        <v>2196.8420000000001</v>
      </c>
      <c r="E32" s="60">
        <v>20067.368922604001</v>
      </c>
      <c r="F32" s="70">
        <v>1918.868866</v>
      </c>
      <c r="G32" s="60">
        <v>2327.0940000000001</v>
      </c>
      <c r="H32" s="60">
        <v>15821.406056603999</v>
      </c>
      <c r="I32" s="71">
        <v>57.97255546331418</v>
      </c>
    </row>
    <row r="33" spans="1:9">
      <c r="A33" s="72">
        <v>1998</v>
      </c>
      <c r="B33" s="60">
        <v>16347.133</v>
      </c>
      <c r="C33" s="60">
        <v>1819.4455487119999</v>
      </c>
      <c r="D33" s="60">
        <v>2327.0940000000001</v>
      </c>
      <c r="E33" s="60">
        <v>20493.672548712002</v>
      </c>
      <c r="F33" s="70">
        <v>2075.550209</v>
      </c>
      <c r="G33" s="60">
        <v>2302.5880000000002</v>
      </c>
      <c r="H33" s="60">
        <v>16115.534339712001</v>
      </c>
      <c r="I33" s="71">
        <v>58.365298298578494</v>
      </c>
    </row>
    <row r="34" spans="1:9">
      <c r="A34" s="72">
        <v>1999</v>
      </c>
      <c r="B34" s="60">
        <v>16548.052900000002</v>
      </c>
      <c r="C34" s="60">
        <v>2076.4001826480003</v>
      </c>
      <c r="D34" s="60">
        <v>2302.5880000000002</v>
      </c>
      <c r="E34" s="60">
        <v>20927.041082648004</v>
      </c>
      <c r="F34" s="70">
        <v>2149.8769440000001</v>
      </c>
      <c r="G34" s="60">
        <v>2330.7779999999998</v>
      </c>
      <c r="H34" s="60">
        <v>16446.386138648006</v>
      </c>
      <c r="I34" s="71">
        <v>58.885358272249789</v>
      </c>
    </row>
    <row r="35" spans="1:9">
      <c r="A35" s="72">
        <v>2000</v>
      </c>
      <c r="B35" s="60">
        <v>16276.017600000001</v>
      </c>
      <c r="C35" s="60">
        <v>2398.3672966879999</v>
      </c>
      <c r="D35" s="60">
        <v>2330.7779999999998</v>
      </c>
      <c r="E35" s="60">
        <v>21005.162896687998</v>
      </c>
      <c r="F35" s="70">
        <v>2294.7500639999998</v>
      </c>
      <c r="G35" s="60">
        <v>2379.326</v>
      </c>
      <c r="H35" s="60">
        <v>16331.086832687997</v>
      </c>
      <c r="I35" s="71">
        <v>57.832785665990627</v>
      </c>
    </row>
    <row r="36" spans="1:9">
      <c r="A36" s="72">
        <v>2001</v>
      </c>
      <c r="B36" s="60">
        <v>16365.695400000001</v>
      </c>
      <c r="C36" s="60">
        <v>2674.3848388399997</v>
      </c>
      <c r="D36" s="60">
        <v>2379.326</v>
      </c>
      <c r="E36" s="60">
        <v>21419.406238840002</v>
      </c>
      <c r="F36" s="70">
        <v>2265.7951978000001</v>
      </c>
      <c r="G36" s="60">
        <v>2479.5140000000001</v>
      </c>
      <c r="H36" s="60">
        <v>16674.09704104</v>
      </c>
      <c r="I36" s="71">
        <v>58.442236069095323</v>
      </c>
    </row>
    <row r="37" spans="1:9">
      <c r="A37" s="72">
        <v>2002</v>
      </c>
      <c r="B37" s="60">
        <v>14992.189200000001</v>
      </c>
      <c r="C37" s="60">
        <v>2885.9939667680001</v>
      </c>
      <c r="D37" s="60">
        <v>2479.5140000000001</v>
      </c>
      <c r="E37" s="60">
        <v>20357.697166768001</v>
      </c>
      <c r="F37" s="70">
        <v>2201.8035140000002</v>
      </c>
      <c r="G37" s="60">
        <v>2262.424</v>
      </c>
      <c r="H37" s="60">
        <v>15893.469652768003</v>
      </c>
      <c r="I37" s="71">
        <v>55.165580926758402</v>
      </c>
    </row>
    <row r="38" spans="1:9">
      <c r="A38" s="72">
        <v>2003</v>
      </c>
      <c r="B38" s="60">
        <v>15275.0754</v>
      </c>
      <c r="C38" s="60">
        <v>3277.7831599040001</v>
      </c>
      <c r="D38" s="60">
        <v>2262.424</v>
      </c>
      <c r="E38" s="60">
        <v>20815.282559904001</v>
      </c>
      <c r="F38" s="70">
        <v>1981.5026366000002</v>
      </c>
      <c r="G38" s="60">
        <v>2240.8359999999998</v>
      </c>
      <c r="H38" s="60">
        <v>16592.943923303999</v>
      </c>
      <c r="I38" s="71">
        <v>57.055789855316299</v>
      </c>
    </row>
    <row r="39" spans="1:9">
      <c r="A39" s="72">
        <v>2004</v>
      </c>
      <c r="B39" s="60">
        <v>15279.6155</v>
      </c>
      <c r="C39" s="60">
        <v>3693.8478647840006</v>
      </c>
      <c r="D39" s="60">
        <v>2240.8359999999998</v>
      </c>
      <c r="E39" s="60">
        <v>21214.299364784001</v>
      </c>
      <c r="F39" s="70">
        <v>2237.8623539999999</v>
      </c>
      <c r="G39" s="60">
        <v>2149.6379999999999</v>
      </c>
      <c r="H39" s="60">
        <v>16826.799010784001</v>
      </c>
      <c r="I39" s="71">
        <v>57.338705060343429</v>
      </c>
    </row>
    <row r="40" spans="1:9">
      <c r="A40" s="72">
        <v>2005</v>
      </c>
      <c r="B40" s="60">
        <v>15188.233000000002</v>
      </c>
      <c r="C40" s="60">
        <v>3284.9071689719995</v>
      </c>
      <c r="D40" s="60">
        <v>2149.6379999999999</v>
      </c>
      <c r="E40" s="60">
        <v>20622.778168972</v>
      </c>
      <c r="F40" s="70">
        <v>2426.7232960000001</v>
      </c>
      <c r="G40" s="60">
        <v>2102.1979999999999</v>
      </c>
      <c r="H40" s="60">
        <v>16093.856872971999</v>
      </c>
      <c r="I40" s="71">
        <v>54.336954265866304</v>
      </c>
    </row>
    <row r="41" spans="1:9">
      <c r="A41" s="72">
        <v>2006</v>
      </c>
      <c r="B41" s="60">
        <v>15071.457899999998</v>
      </c>
      <c r="C41" s="60">
        <v>3433.2622217079997</v>
      </c>
      <c r="D41" s="60">
        <v>2102.1979999999999</v>
      </c>
      <c r="E41" s="60">
        <v>20606.918121707997</v>
      </c>
      <c r="F41" s="70">
        <v>2776.3690000000001</v>
      </c>
      <c r="G41" s="60">
        <v>1909.64</v>
      </c>
      <c r="H41" s="60">
        <v>15920.909121707999</v>
      </c>
      <c r="I41" s="71">
        <v>53.247931210103005</v>
      </c>
    </row>
    <row r="42" spans="1:9">
      <c r="A42" s="72">
        <v>2007</v>
      </c>
      <c r="B42" s="60">
        <v>15901.473100000001</v>
      </c>
      <c r="C42" s="60">
        <v>3399.1404361200002</v>
      </c>
      <c r="D42" s="60">
        <v>1909.64</v>
      </c>
      <c r="E42" s="60">
        <v>21210.253536119999</v>
      </c>
      <c r="F42" s="70">
        <v>3134.1300639999999</v>
      </c>
      <c r="G42" s="60">
        <v>2024.71</v>
      </c>
      <c r="H42" s="60">
        <v>16051.413472119999</v>
      </c>
      <c r="I42" s="71">
        <v>53.149686373504878</v>
      </c>
    </row>
    <row r="43" spans="1:9">
      <c r="A43" s="72">
        <v>2008</v>
      </c>
      <c r="B43" s="60">
        <v>15940.0821</v>
      </c>
      <c r="C43" s="60">
        <v>3427.6131034199993</v>
      </c>
      <c r="D43" s="60">
        <v>2024.71</v>
      </c>
      <c r="E43" s="60">
        <v>21392.405203419999</v>
      </c>
      <c r="F43" s="70">
        <v>3512.4604588399998</v>
      </c>
      <c r="G43" s="60">
        <v>2197.16</v>
      </c>
      <c r="H43" s="60">
        <v>15682.78474458</v>
      </c>
      <c r="I43" s="71">
        <v>51.45308381901139</v>
      </c>
    </row>
    <row r="44" spans="1:9">
      <c r="A44" s="72">
        <v>2009</v>
      </c>
      <c r="B44" s="60">
        <v>15343.2675</v>
      </c>
      <c r="C44" s="60">
        <v>3315.3106424679995</v>
      </c>
      <c r="D44" s="60">
        <v>2197.16</v>
      </c>
      <c r="E44" s="60">
        <v>20855.738142467999</v>
      </c>
      <c r="F44" s="70">
        <v>3284.7960599600001</v>
      </c>
      <c r="G44" s="60">
        <v>2087.69</v>
      </c>
      <c r="H44" s="60">
        <v>15483.252082507997</v>
      </c>
      <c r="I44" s="71">
        <v>50.361963301828645</v>
      </c>
    </row>
    <row r="45" spans="1:9">
      <c r="A45" s="72">
        <v>2010</v>
      </c>
      <c r="B45" s="60">
        <v>15649.754300000001</v>
      </c>
      <c r="C45" s="60">
        <v>3065.2011400000001</v>
      </c>
      <c r="D45" s="60">
        <v>2087.69</v>
      </c>
      <c r="E45" s="60">
        <v>20802.64544</v>
      </c>
      <c r="F45" s="70">
        <v>3252.8298200000004</v>
      </c>
      <c r="G45" s="60">
        <v>2037.81</v>
      </c>
      <c r="H45" s="60">
        <v>15512.005620000002</v>
      </c>
      <c r="I45" s="71">
        <v>50.07645055819404</v>
      </c>
    </row>
    <row r="46" spans="1:9">
      <c r="A46" s="72">
        <v>2011</v>
      </c>
      <c r="B46" s="60">
        <v>15532.097000000002</v>
      </c>
      <c r="C46" s="60">
        <v>3228.26442</v>
      </c>
      <c r="D46" s="60">
        <v>2037.81</v>
      </c>
      <c r="E46" s="60">
        <v>20798.171420000002</v>
      </c>
      <c r="F46" s="70">
        <v>3734.4725199999993</v>
      </c>
      <c r="G46" s="60">
        <v>1999.826</v>
      </c>
      <c r="H46" s="60">
        <v>15063.872900000002</v>
      </c>
      <c r="I46" s="71">
        <v>48.260623160558822</v>
      </c>
    </row>
    <row r="47" spans="1:9">
      <c r="A47" s="72">
        <v>2012</v>
      </c>
      <c r="B47" s="60">
        <v>16132.927999999998</v>
      </c>
      <c r="C47" s="60">
        <v>3308.1061800000002</v>
      </c>
      <c r="D47" s="60">
        <v>1999.826</v>
      </c>
      <c r="E47" s="60">
        <v>21440.86018</v>
      </c>
      <c r="F47" s="70">
        <v>4126.7164199999997</v>
      </c>
      <c r="G47" s="60">
        <v>2220.7759999999998</v>
      </c>
      <c r="H47" s="60">
        <v>15093.367759999999</v>
      </c>
      <c r="I47" s="71">
        <v>48.000911743860271</v>
      </c>
    </row>
    <row r="48" spans="1:9">
      <c r="A48" s="72">
        <v>2013</v>
      </c>
      <c r="B48" s="60">
        <v>15660.006000000001</v>
      </c>
      <c r="C48" s="60">
        <v>3511.1260600000001</v>
      </c>
      <c r="D48" s="60">
        <v>2220.7759999999998</v>
      </c>
      <c r="E48" s="60">
        <v>21391.908060000002</v>
      </c>
      <c r="F48" s="70">
        <v>4141.1390600000004</v>
      </c>
      <c r="G48" s="60">
        <v>2190.6</v>
      </c>
      <c r="H48" s="60">
        <v>15060.169</v>
      </c>
      <c r="I48" s="71">
        <v>47.549151931872892</v>
      </c>
    </row>
    <row r="49" spans="1:9">
      <c r="A49" s="72">
        <v>2014</v>
      </c>
      <c r="B49" s="60">
        <v>15604.953600000001</v>
      </c>
      <c r="C49" s="60">
        <v>3473.4093423999998</v>
      </c>
      <c r="D49" s="60">
        <v>2190.6</v>
      </c>
      <c r="E49" s="60">
        <v>21268.962942399998</v>
      </c>
      <c r="F49" s="70">
        <v>4218.2228601199995</v>
      </c>
      <c r="G49" s="60">
        <v>2060.8620000000001</v>
      </c>
      <c r="H49" s="60">
        <v>14989.878082279996</v>
      </c>
      <c r="I49" s="71">
        <v>46.963220908002995</v>
      </c>
    </row>
    <row r="50" spans="1:9">
      <c r="A50" s="72">
        <v>2015</v>
      </c>
      <c r="B50" s="60">
        <v>16497.027400000003</v>
      </c>
      <c r="C50" s="60">
        <v>3560.1345510000001</v>
      </c>
      <c r="D50" s="60">
        <v>2060.8620000000001</v>
      </c>
      <c r="E50" s="60">
        <v>22118.023951000003</v>
      </c>
      <c r="F50" s="70">
        <v>4155.9584132199998</v>
      </c>
      <c r="G50" s="60">
        <v>2013.7919999999999</v>
      </c>
      <c r="H50" s="60">
        <v>15948.273537780004</v>
      </c>
      <c r="I50" s="71">
        <v>49.662648664977375</v>
      </c>
    </row>
    <row r="51" spans="1:9">
      <c r="A51" s="72">
        <v>2016</v>
      </c>
      <c r="B51" s="60">
        <v>16221.8006</v>
      </c>
      <c r="C51" s="60">
        <v>3838.0211354800003</v>
      </c>
      <c r="D51" s="60">
        <v>2013.7919999999999</v>
      </c>
      <c r="E51" s="60">
        <v>22073.613735480001</v>
      </c>
      <c r="F51" s="70">
        <v>4500.887971600001</v>
      </c>
      <c r="G51" s="60">
        <v>2249.1419999999998</v>
      </c>
      <c r="H51" s="60">
        <v>15323.58376388</v>
      </c>
      <c r="I51" s="71">
        <v>47.390264586069094</v>
      </c>
    </row>
    <row r="52" spans="1:9">
      <c r="A52" s="72">
        <v>2017</v>
      </c>
      <c r="B52" s="60">
        <v>16863.967291536748</v>
      </c>
      <c r="C52" s="60">
        <v>4203.93072338</v>
      </c>
      <c r="D52" s="60">
        <v>2249.1419999999998</v>
      </c>
      <c r="E52" s="60">
        <v>23317.040014916747</v>
      </c>
      <c r="F52" s="70">
        <v>4548.8985848800003</v>
      </c>
      <c r="G52" s="60">
        <v>2341.7179999999998</v>
      </c>
      <c r="H52" s="60">
        <v>16426.423430036746</v>
      </c>
      <c r="I52" s="71">
        <v>50.455069374014215</v>
      </c>
    </row>
    <row r="53" spans="1:9">
      <c r="A53" s="73" t="s">
        <v>206</v>
      </c>
      <c r="B53" s="73"/>
      <c r="C53" s="74"/>
      <c r="D53" s="74"/>
      <c r="E53" s="74"/>
      <c r="F53" s="75"/>
      <c r="G53" s="74"/>
      <c r="H53" s="74"/>
      <c r="I53" s="74"/>
    </row>
    <row r="54" spans="1:9">
      <c r="A54" s="76" t="s">
        <v>220</v>
      </c>
      <c r="B54" s="77"/>
      <c r="C54" s="78"/>
      <c r="D54" s="78"/>
      <c r="E54" s="78"/>
      <c r="F54" s="79"/>
      <c r="G54" s="78"/>
      <c r="H54" s="78"/>
      <c r="I54" s="78"/>
    </row>
    <row r="55" spans="1:9">
      <c r="A55" s="76" t="s">
        <v>237</v>
      </c>
      <c r="B55" s="77"/>
      <c r="C55" s="78"/>
      <c r="D55" s="78"/>
      <c r="E55" s="78"/>
      <c r="F55" s="79"/>
      <c r="G55" s="78"/>
      <c r="H55" s="78"/>
      <c r="I55" s="78"/>
    </row>
    <row r="56" spans="1:9">
      <c r="A56" s="80" t="s">
        <v>238</v>
      </c>
      <c r="B56" s="80"/>
      <c r="C56" s="76"/>
      <c r="D56" s="76"/>
      <c r="E56" s="76"/>
      <c r="F56" s="81"/>
      <c r="G56" s="76"/>
      <c r="H56" s="76"/>
      <c r="I56" s="76"/>
    </row>
    <row r="57" spans="1:9">
      <c r="A57" s="82" t="s">
        <v>212</v>
      </c>
      <c r="B57" s="83"/>
      <c r="C57" s="76"/>
      <c r="D57" s="76"/>
      <c r="E57" s="76"/>
      <c r="F57" s="81"/>
      <c r="G57" s="76"/>
      <c r="H57" s="76"/>
      <c r="I57" s="76"/>
    </row>
  </sheetData>
  <conditionalFormatting sqref="A5:A51">
    <cfRule type="expression" dxfId="2" priority="3">
      <formula>MOD(ROW(),2)=1</formula>
    </cfRule>
  </conditionalFormatting>
  <conditionalFormatting sqref="A52">
    <cfRule type="expression" dxfId="1" priority="2">
      <formula>MOD(ROW(),2)=1</formula>
    </cfRule>
  </conditionalFormatting>
  <conditionalFormatting sqref="B5:I52">
    <cfRule type="expression" dxfId="0" priority="1">
      <formula>MOD(ROW(),2)=1</formula>
    </cfRule>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9EA243-A038-3542-989F-0FD35442CF73}">
  <dimension ref="A1:M43"/>
  <sheetViews>
    <sheetView topLeftCell="A6" workbookViewId="0">
      <selection activeCell="A9" sqref="A9"/>
    </sheetView>
  </sheetViews>
  <sheetFormatPr baseColWidth="10" defaultRowHeight="16"/>
  <cols>
    <col min="11" max="11" width="10.83203125" style="27"/>
  </cols>
  <sheetData>
    <row r="1" spans="1:13">
      <c r="A1" s="159" t="s">
        <v>143</v>
      </c>
      <c r="B1" s="150"/>
      <c r="C1" s="150"/>
      <c r="D1" s="150"/>
      <c r="E1" s="150"/>
      <c r="F1" s="150"/>
      <c r="G1" s="150"/>
      <c r="H1" s="150"/>
      <c r="I1" s="150"/>
      <c r="J1" s="150"/>
      <c r="K1" s="150"/>
      <c r="L1" s="150"/>
      <c r="M1" s="150"/>
    </row>
    <row r="2" spans="1:13">
      <c r="A2" s="2"/>
      <c r="B2" s="2"/>
      <c r="C2" s="2"/>
      <c r="D2" s="2"/>
      <c r="E2" s="2"/>
      <c r="F2" s="2"/>
      <c r="G2" s="2"/>
      <c r="H2" s="2"/>
      <c r="I2" s="2"/>
      <c r="J2" s="2"/>
      <c r="K2" s="24"/>
      <c r="L2" s="2"/>
      <c r="M2" s="2"/>
    </row>
    <row r="3" spans="1:13">
      <c r="A3" s="160" t="s">
        <v>144</v>
      </c>
      <c r="B3" s="162" t="s">
        <v>83</v>
      </c>
      <c r="C3" s="154"/>
      <c r="D3" s="154"/>
      <c r="E3" s="163"/>
      <c r="F3" s="162" t="s">
        <v>84</v>
      </c>
      <c r="G3" s="154"/>
      <c r="H3" s="154"/>
      <c r="I3" s="154"/>
      <c r="J3" s="154"/>
      <c r="K3" s="154"/>
      <c r="L3" s="163"/>
      <c r="M3" s="32"/>
    </row>
    <row r="4" spans="1:13">
      <c r="A4" s="150"/>
      <c r="B4" s="155"/>
      <c r="C4" s="150"/>
      <c r="D4" s="150"/>
      <c r="E4" s="156"/>
      <c r="F4" s="162" t="s">
        <v>85</v>
      </c>
      <c r="G4" s="154"/>
      <c r="H4" s="154"/>
      <c r="I4" s="154"/>
      <c r="J4" s="163"/>
      <c r="K4" s="155"/>
      <c r="L4" s="156"/>
      <c r="M4" s="33"/>
    </row>
    <row r="5" spans="1:13" ht="25">
      <c r="A5" s="161"/>
      <c r="B5" s="21" t="s">
        <v>86</v>
      </c>
      <c r="C5" s="21" t="s">
        <v>145</v>
      </c>
      <c r="D5" s="21" t="s">
        <v>146</v>
      </c>
      <c r="E5" s="21" t="s">
        <v>89</v>
      </c>
      <c r="F5" s="21" t="s">
        <v>90</v>
      </c>
      <c r="G5" s="21" t="s">
        <v>91</v>
      </c>
      <c r="H5" s="21" t="s">
        <v>147</v>
      </c>
      <c r="I5" s="21" t="s">
        <v>92</v>
      </c>
      <c r="J5" s="21" t="s">
        <v>93</v>
      </c>
      <c r="K5" s="25" t="s">
        <v>148</v>
      </c>
      <c r="L5" s="21" t="s">
        <v>95</v>
      </c>
      <c r="M5" s="34" t="s">
        <v>96</v>
      </c>
    </row>
    <row r="6" spans="1:13">
      <c r="A6" s="22" t="s">
        <v>137</v>
      </c>
      <c r="B6" s="35">
        <v>11.314</v>
      </c>
      <c r="C6" s="35">
        <v>32.406999999999996</v>
      </c>
      <c r="D6" s="35">
        <v>0.6</v>
      </c>
      <c r="E6" s="35">
        <v>44.320999999999998</v>
      </c>
      <c r="F6" s="35">
        <v>3.5</v>
      </c>
      <c r="G6" s="35">
        <v>4.0999999999999996</v>
      </c>
      <c r="H6" s="35">
        <v>2</v>
      </c>
      <c r="I6" s="35">
        <v>14.521000000000001</v>
      </c>
      <c r="J6" s="35">
        <v>24.120999999999999</v>
      </c>
      <c r="K6" s="96">
        <v>0.4</v>
      </c>
      <c r="L6" s="35">
        <v>24.521000000000001</v>
      </c>
      <c r="M6" s="35">
        <v>19.8</v>
      </c>
    </row>
    <row r="7" spans="1:13">
      <c r="A7" s="22" t="s">
        <v>138</v>
      </c>
      <c r="B7" s="35">
        <v>19.8</v>
      </c>
      <c r="C7" s="35">
        <v>20.373000000000001</v>
      </c>
      <c r="D7" s="35">
        <v>2.2000000000000002</v>
      </c>
      <c r="E7" s="35">
        <v>42.373000000000005</v>
      </c>
      <c r="F7" s="35">
        <v>3.5</v>
      </c>
      <c r="G7" s="35">
        <v>3.8</v>
      </c>
      <c r="H7" s="35">
        <v>2.1</v>
      </c>
      <c r="I7" s="35">
        <v>10.904</v>
      </c>
      <c r="J7" s="35">
        <v>20.303999999999998</v>
      </c>
      <c r="K7" s="96">
        <v>0.2</v>
      </c>
      <c r="L7" s="35">
        <v>20.504000000000001</v>
      </c>
      <c r="M7" s="35">
        <v>21.869</v>
      </c>
    </row>
    <row r="8" spans="1:13">
      <c r="A8" s="22" t="s">
        <v>139</v>
      </c>
      <c r="B8" s="35">
        <v>21.869</v>
      </c>
      <c r="C8" s="35">
        <v>19.067</v>
      </c>
      <c r="D8" s="35">
        <v>1</v>
      </c>
      <c r="E8" s="35">
        <v>41.936</v>
      </c>
      <c r="F8" s="35">
        <v>3.5</v>
      </c>
      <c r="G8" s="35">
        <v>3.7</v>
      </c>
      <c r="H8" s="35">
        <v>2</v>
      </c>
      <c r="I8" s="35">
        <v>13.653</v>
      </c>
      <c r="J8" s="35">
        <v>22.853000000000002</v>
      </c>
      <c r="K8" s="97">
        <v>0.5</v>
      </c>
      <c r="L8" s="35">
        <v>23.353000000000002</v>
      </c>
      <c r="M8" s="35">
        <v>18.582999999999998</v>
      </c>
    </row>
    <row r="9" spans="1:13">
      <c r="A9" s="22" t="s">
        <v>140</v>
      </c>
      <c r="B9" s="35">
        <v>18.582999999999998</v>
      </c>
      <c r="C9" s="35">
        <v>19.526</v>
      </c>
      <c r="D9" s="35">
        <v>1.204</v>
      </c>
      <c r="E9" s="35">
        <v>39.313000000000002</v>
      </c>
      <c r="F9" s="35">
        <v>3.5</v>
      </c>
      <c r="G9" s="35">
        <v>3.8</v>
      </c>
      <c r="H9" s="35">
        <v>2</v>
      </c>
      <c r="I9" s="35">
        <v>10.601000000000001</v>
      </c>
      <c r="J9" s="35">
        <v>19.901</v>
      </c>
      <c r="K9" s="97">
        <v>0.5</v>
      </c>
      <c r="L9" s="35">
        <v>20.401</v>
      </c>
      <c r="M9" s="35">
        <v>18.911999999999999</v>
      </c>
    </row>
    <row r="10" spans="1:13">
      <c r="A10" s="22" t="s">
        <v>16</v>
      </c>
      <c r="B10" s="35">
        <v>18.911999999999999</v>
      </c>
      <c r="C10" s="35">
        <v>14.689</v>
      </c>
      <c r="D10" s="36">
        <v>0.2</v>
      </c>
      <c r="E10" s="35">
        <v>33.801000000000002</v>
      </c>
      <c r="F10" s="35">
        <v>3.5</v>
      </c>
      <c r="G10" s="35">
        <v>3.2</v>
      </c>
      <c r="H10" s="35">
        <v>2</v>
      </c>
      <c r="I10" s="35">
        <v>11.379</v>
      </c>
      <c r="J10" s="35">
        <v>20.079000000000001</v>
      </c>
      <c r="K10" s="97">
        <v>3.4</v>
      </c>
      <c r="L10" s="35">
        <v>23.478999999999999</v>
      </c>
      <c r="M10" s="35">
        <v>10.321999999999999</v>
      </c>
    </row>
    <row r="11" spans="1:13">
      <c r="A11" s="22" t="s">
        <v>17</v>
      </c>
      <c r="B11" s="35">
        <v>10.321999999999999</v>
      </c>
      <c r="C11" s="35">
        <v>13.481999999999999</v>
      </c>
      <c r="D11" s="36">
        <v>0.03</v>
      </c>
      <c r="E11" s="35">
        <v>23.833999999999996</v>
      </c>
      <c r="F11" s="35">
        <v>3.5</v>
      </c>
      <c r="G11" s="35">
        <v>3</v>
      </c>
      <c r="H11" s="35">
        <v>2</v>
      </c>
      <c r="I11" s="35">
        <v>9.0730000000000004</v>
      </c>
      <c r="J11" s="35">
        <v>17.573</v>
      </c>
      <c r="K11" s="97">
        <v>0.63</v>
      </c>
      <c r="L11" s="35">
        <v>18.202999999999999</v>
      </c>
      <c r="M11" s="35">
        <v>5.6310000000000002</v>
      </c>
    </row>
    <row r="12" spans="1:13">
      <c r="A12" s="22" t="s">
        <v>18</v>
      </c>
      <c r="B12" s="35">
        <v>5.6310000000000002</v>
      </c>
      <c r="C12" s="35">
        <v>10.176</v>
      </c>
      <c r="D12" s="35">
        <v>3.895</v>
      </c>
      <c r="E12" s="35">
        <v>19.701999999999998</v>
      </c>
      <c r="F12" s="35">
        <v>3.5</v>
      </c>
      <c r="G12" s="35">
        <v>3</v>
      </c>
      <c r="H12" s="35">
        <v>2</v>
      </c>
      <c r="I12" s="35">
        <v>7.67</v>
      </c>
      <c r="J12" s="35">
        <v>16.170000000000002</v>
      </c>
      <c r="K12" s="96">
        <v>0.21299999999999999</v>
      </c>
      <c r="L12" s="35">
        <v>16.382999999999999</v>
      </c>
      <c r="M12" s="35">
        <v>3.319</v>
      </c>
    </row>
    <row r="13" spans="1:13">
      <c r="A13" s="22" t="s">
        <v>19</v>
      </c>
      <c r="B13" s="35">
        <v>3.319</v>
      </c>
      <c r="C13" s="35">
        <v>9.734</v>
      </c>
      <c r="D13" s="35">
        <v>4.5419999999999998</v>
      </c>
      <c r="E13" s="35">
        <v>17.594999999999999</v>
      </c>
      <c r="F13" s="35">
        <v>3.5</v>
      </c>
      <c r="G13" s="35">
        <v>3</v>
      </c>
      <c r="H13" s="35">
        <v>2</v>
      </c>
      <c r="I13" s="35">
        <v>7.5279999999999996</v>
      </c>
      <c r="J13" s="35">
        <v>16.027999999999999</v>
      </c>
      <c r="K13" s="96">
        <v>5.2999999999999999E-2</v>
      </c>
      <c r="L13" s="35">
        <v>16.081</v>
      </c>
      <c r="M13" s="35">
        <v>1.514</v>
      </c>
    </row>
    <row r="14" spans="1:13">
      <c r="A14" s="22" t="s">
        <v>20</v>
      </c>
      <c r="B14" s="35">
        <v>1.514</v>
      </c>
      <c r="C14" s="35">
        <v>11.44</v>
      </c>
      <c r="D14" s="35">
        <v>3.0990000000000002</v>
      </c>
      <c r="E14" s="35">
        <v>16.053000000000001</v>
      </c>
      <c r="F14" s="35">
        <v>3.419</v>
      </c>
      <c r="G14" s="35">
        <v>3</v>
      </c>
      <c r="H14" s="35">
        <v>2</v>
      </c>
      <c r="I14" s="35">
        <v>6.0650000000000004</v>
      </c>
      <c r="J14" s="35">
        <v>14.484</v>
      </c>
      <c r="K14" s="96">
        <v>1.4E-2</v>
      </c>
      <c r="L14" s="35">
        <v>14.497999999999999</v>
      </c>
      <c r="M14" s="35">
        <v>1.5549999999999999</v>
      </c>
    </row>
    <row r="15" spans="1:13">
      <c r="A15" s="22" t="s">
        <v>21</v>
      </c>
      <c r="B15" s="35">
        <v>1.5549999999999999</v>
      </c>
      <c r="C15" s="35">
        <v>10.34</v>
      </c>
      <c r="D15" s="35">
        <v>4.6070000000000002</v>
      </c>
      <c r="E15" s="35">
        <v>16.501999999999999</v>
      </c>
      <c r="F15" s="35">
        <v>3.5379999999999998</v>
      </c>
      <c r="G15" s="35">
        <v>3</v>
      </c>
      <c r="H15" s="35">
        <v>2</v>
      </c>
      <c r="I15" s="35">
        <v>6.9770000000000003</v>
      </c>
      <c r="J15" s="35">
        <v>15.515000000000001</v>
      </c>
      <c r="K15" s="96">
        <v>1.6E-2</v>
      </c>
      <c r="L15" s="35">
        <v>15.531000000000001</v>
      </c>
      <c r="M15" s="35">
        <v>0.97099999999999997</v>
      </c>
    </row>
    <row r="16" spans="1:13">
      <c r="A16" s="22" t="s">
        <v>22</v>
      </c>
      <c r="B16" s="35">
        <v>0.97099999999999997</v>
      </c>
      <c r="C16" s="35">
        <v>11.340999999999999</v>
      </c>
      <c r="D16" s="35">
        <v>4.3860000000000001</v>
      </c>
      <c r="E16" s="35">
        <v>16.698</v>
      </c>
      <c r="F16" s="35">
        <v>3.3119999999999998</v>
      </c>
      <c r="G16" s="35">
        <v>3</v>
      </c>
      <c r="H16" s="35">
        <v>2</v>
      </c>
      <c r="I16" s="35">
        <v>6.9</v>
      </c>
      <c r="J16" s="35">
        <v>15.212</v>
      </c>
      <c r="K16" s="96">
        <v>3.5000000000000003E-2</v>
      </c>
      <c r="L16" s="35">
        <v>15.247</v>
      </c>
      <c r="M16" s="35">
        <v>1.4510000000000001</v>
      </c>
    </row>
    <row r="17" spans="1:13">
      <c r="A17" s="22" t="s">
        <v>23</v>
      </c>
      <c r="B17" s="35">
        <v>1.4510000000000001</v>
      </c>
      <c r="C17" s="35">
        <v>10.064</v>
      </c>
      <c r="D17" s="35">
        <v>3.76</v>
      </c>
      <c r="E17" s="35">
        <v>15.275</v>
      </c>
      <c r="F17" s="35">
        <v>3.3180000000000001</v>
      </c>
      <c r="G17" s="35">
        <v>3</v>
      </c>
      <c r="H17" s="35">
        <v>2</v>
      </c>
      <c r="I17" s="35">
        <v>6.0179999999999998</v>
      </c>
      <c r="J17" s="35">
        <v>14.336</v>
      </c>
      <c r="K17" s="96">
        <v>4.1000000000000002E-2</v>
      </c>
      <c r="L17" s="35">
        <v>14.377000000000001</v>
      </c>
      <c r="M17" s="35">
        <v>0.89800000000000002</v>
      </c>
    </row>
    <row r="18" spans="1:13">
      <c r="A18" s="22" t="s">
        <v>24</v>
      </c>
      <c r="B18" s="35">
        <v>0.89800000000000002</v>
      </c>
      <c r="C18" s="35">
        <v>8.9359999999999999</v>
      </c>
      <c r="D18" s="35">
        <v>4.327</v>
      </c>
      <c r="E18" s="35">
        <v>14.161</v>
      </c>
      <c r="F18" s="35">
        <v>3.4590000000000001</v>
      </c>
      <c r="G18" s="35">
        <v>3</v>
      </c>
      <c r="H18" s="35">
        <v>2</v>
      </c>
      <c r="I18" s="35">
        <v>4.9160000000000004</v>
      </c>
      <c r="J18" s="35">
        <v>13.375</v>
      </c>
      <c r="K18" s="96">
        <v>3.2000000000000001E-2</v>
      </c>
      <c r="L18" s="35">
        <v>13.407</v>
      </c>
      <c r="M18" s="35">
        <v>0.754</v>
      </c>
    </row>
    <row r="19" spans="1:13">
      <c r="A19" s="22" t="s">
        <v>25</v>
      </c>
      <c r="B19" s="35">
        <v>0.754</v>
      </c>
      <c r="C19" s="35">
        <v>8.1319999999999997</v>
      </c>
      <c r="D19" s="35">
        <v>5.5620000000000003</v>
      </c>
      <c r="E19" s="35">
        <v>14.447999999999999</v>
      </c>
      <c r="F19" s="35">
        <v>3.298</v>
      </c>
      <c r="G19" s="35">
        <v>2</v>
      </c>
      <c r="H19" s="35">
        <v>3</v>
      </c>
      <c r="I19" s="35">
        <v>5.306</v>
      </c>
      <c r="J19" s="35">
        <v>13.603999999999999</v>
      </c>
      <c r="K19" s="96">
        <v>0.08</v>
      </c>
      <c r="L19" s="35">
        <v>13.683999999999999</v>
      </c>
      <c r="M19" s="35">
        <v>0.76400000000000001</v>
      </c>
    </row>
    <row r="20" spans="1:13">
      <c r="A20" s="22" t="s">
        <v>26</v>
      </c>
      <c r="B20" s="35">
        <v>0.76400000000000001</v>
      </c>
      <c r="C20" s="35">
        <v>12.161</v>
      </c>
      <c r="D20" s="35">
        <v>3.3220000000000001</v>
      </c>
      <c r="E20" s="35">
        <v>16.247</v>
      </c>
      <c r="F20" s="35">
        <v>3.6389999999999998</v>
      </c>
      <c r="G20" s="35">
        <v>3</v>
      </c>
      <c r="H20" s="35">
        <v>3</v>
      </c>
      <c r="I20" s="35">
        <v>4.1260000000000003</v>
      </c>
      <c r="J20" s="35">
        <v>13.765000000000001</v>
      </c>
      <c r="K20" s="96">
        <v>3.3000000000000002E-2</v>
      </c>
      <c r="L20" s="35">
        <v>13.798</v>
      </c>
      <c r="M20" s="35">
        <v>2.4489999999999998</v>
      </c>
    </row>
    <row r="21" spans="1:13">
      <c r="A21" s="22" t="s">
        <v>27</v>
      </c>
      <c r="B21" s="35">
        <v>2.4489999999999998</v>
      </c>
      <c r="C21" s="35">
        <v>11.038</v>
      </c>
      <c r="D21" s="35">
        <v>3.4239999999999999</v>
      </c>
      <c r="E21" s="35">
        <v>16.911000000000001</v>
      </c>
      <c r="F21" s="35">
        <v>3.3</v>
      </c>
      <c r="G21" s="35">
        <v>3</v>
      </c>
      <c r="H21" s="35">
        <v>3</v>
      </c>
      <c r="I21" s="35">
        <v>5.7359999999999998</v>
      </c>
      <c r="J21" s="35">
        <v>15.036</v>
      </c>
      <c r="K21" s="96">
        <v>0.28599999999999998</v>
      </c>
      <c r="L21" s="35">
        <v>15.321999999999999</v>
      </c>
      <c r="M21" s="35">
        <v>1.589</v>
      </c>
    </row>
    <row r="22" spans="1:13">
      <c r="A22" s="22" t="s">
        <v>28</v>
      </c>
      <c r="B22" s="35">
        <v>1.589</v>
      </c>
      <c r="C22" s="35">
        <v>8.3859999999999992</v>
      </c>
      <c r="D22" s="35">
        <v>3.23</v>
      </c>
      <c r="E22" s="35">
        <v>13.204999999999998</v>
      </c>
      <c r="F22" s="35">
        <v>3.3</v>
      </c>
      <c r="G22" s="35">
        <v>3</v>
      </c>
      <c r="H22" s="35">
        <v>3</v>
      </c>
      <c r="I22" s="35">
        <v>2.3250000000000002</v>
      </c>
      <c r="J22" s="35">
        <v>11.625</v>
      </c>
      <c r="K22" s="96">
        <v>0.39</v>
      </c>
      <c r="L22" s="35">
        <v>12.015000000000001</v>
      </c>
      <c r="M22" s="35">
        <v>1.19</v>
      </c>
    </row>
    <row r="23" spans="1:13">
      <c r="A23" s="22" t="s">
        <v>29</v>
      </c>
      <c r="B23" s="35">
        <v>1.19</v>
      </c>
      <c r="C23" s="35">
        <v>6.8959999999999999</v>
      </c>
      <c r="D23" s="35">
        <v>4.9450000000000003</v>
      </c>
      <c r="E23" s="35">
        <v>13.031000000000001</v>
      </c>
      <c r="F23" s="35">
        <v>3.3</v>
      </c>
      <c r="G23" s="35">
        <v>3</v>
      </c>
      <c r="H23" s="35">
        <v>3</v>
      </c>
      <c r="I23" s="35">
        <v>2.97</v>
      </c>
      <c r="J23" s="35">
        <v>12.27</v>
      </c>
      <c r="K23" s="96">
        <v>0.193</v>
      </c>
      <c r="L23" s="35">
        <v>12.462999999999999</v>
      </c>
      <c r="M23" s="35">
        <v>0.56799999999999995</v>
      </c>
    </row>
    <row r="24" spans="1:13">
      <c r="A24" s="22" t="s">
        <v>30</v>
      </c>
      <c r="B24" s="35">
        <v>0.56799999999999995</v>
      </c>
      <c r="C24" s="35">
        <v>6.4880000000000004</v>
      </c>
      <c r="D24" s="35">
        <v>6.14</v>
      </c>
      <c r="E24" s="35">
        <v>13.196</v>
      </c>
      <c r="F24" s="35">
        <v>3.3</v>
      </c>
      <c r="G24" s="35">
        <v>3</v>
      </c>
      <c r="H24" s="35">
        <v>3</v>
      </c>
      <c r="I24" s="35">
        <v>3.3290000000000002</v>
      </c>
      <c r="J24" s="35">
        <v>12.629</v>
      </c>
      <c r="K24" s="96">
        <v>0.122</v>
      </c>
      <c r="L24" s="35">
        <v>12.750999999999999</v>
      </c>
      <c r="M24" s="36">
        <v>0.44500000000000001</v>
      </c>
    </row>
    <row r="25" spans="1:13">
      <c r="A25" s="22" t="s">
        <v>31</v>
      </c>
      <c r="B25" s="36">
        <v>0.44500000000000001</v>
      </c>
      <c r="C25" s="35">
        <v>8.6340000000000003</v>
      </c>
      <c r="D25" s="35">
        <v>3.286</v>
      </c>
      <c r="E25" s="35">
        <v>12.365</v>
      </c>
      <c r="F25" s="35">
        <v>3.16</v>
      </c>
      <c r="G25" s="35">
        <v>2.81</v>
      </c>
      <c r="H25" s="35">
        <v>1.891</v>
      </c>
      <c r="I25" s="35">
        <v>3.8540000000000001</v>
      </c>
      <c r="J25" s="35">
        <v>11.715</v>
      </c>
      <c r="K25" s="96">
        <v>5.6000000000000001E-2</v>
      </c>
      <c r="L25" s="35">
        <v>11.771000000000001</v>
      </c>
      <c r="M25" s="35">
        <v>0.59399999999999997</v>
      </c>
    </row>
    <row r="26" spans="1:13">
      <c r="A26" s="22" t="s">
        <v>32</v>
      </c>
      <c r="B26" s="35">
        <v>0.59399999999999997</v>
      </c>
      <c r="C26" s="35">
        <v>8.2550000000000008</v>
      </c>
      <c r="D26" s="35">
        <v>5.6260000000000003</v>
      </c>
      <c r="E26" s="35">
        <v>14.475000000000001</v>
      </c>
      <c r="F26" s="35">
        <v>3.19</v>
      </c>
      <c r="G26" s="35">
        <v>2.95</v>
      </c>
      <c r="H26" s="35">
        <v>2.097</v>
      </c>
      <c r="I26" s="35">
        <v>5.3</v>
      </c>
      <c r="J26" s="35">
        <v>13.537000000000001</v>
      </c>
      <c r="K26" s="96">
        <v>0.14499999999999999</v>
      </c>
      <c r="L26" s="35">
        <v>13.682</v>
      </c>
      <c r="M26" s="35">
        <v>0.79300000000000004</v>
      </c>
    </row>
    <row r="27" spans="1:13">
      <c r="A27" s="22" t="s">
        <v>33</v>
      </c>
      <c r="B27" s="35">
        <v>0.79300000000000004</v>
      </c>
      <c r="C27" s="35">
        <v>7.5369999999999999</v>
      </c>
      <c r="D27" s="35">
        <v>5.4809999999999999</v>
      </c>
      <c r="E27" s="35">
        <v>13.811</v>
      </c>
      <c r="F27" s="35">
        <v>3.22</v>
      </c>
      <c r="G27" s="35">
        <v>2.87</v>
      </c>
      <c r="H27" s="35">
        <v>2.246</v>
      </c>
      <c r="I27" s="35">
        <v>4.7549999999999999</v>
      </c>
      <c r="J27" s="35">
        <v>13.090999999999999</v>
      </c>
      <c r="K27" s="96">
        <v>1.4E-2</v>
      </c>
      <c r="L27" s="35">
        <v>13.105</v>
      </c>
      <c r="M27" s="35">
        <v>0.70599999999999996</v>
      </c>
    </row>
    <row r="28" spans="1:13">
      <c r="A28" s="22" t="s">
        <v>34</v>
      </c>
      <c r="B28" s="35">
        <v>0.70599999999999996</v>
      </c>
      <c r="C28" s="35">
        <v>7.1929999999999996</v>
      </c>
      <c r="D28" s="35">
        <v>5.899</v>
      </c>
      <c r="E28" s="35">
        <v>13.798</v>
      </c>
      <c r="F28" s="35">
        <v>3.25</v>
      </c>
      <c r="G28" s="35">
        <v>2.75</v>
      </c>
      <c r="H28" s="35">
        <v>2.484</v>
      </c>
      <c r="I28" s="35">
        <v>4.7629999999999999</v>
      </c>
      <c r="J28" s="35">
        <v>13.247</v>
      </c>
      <c r="K28" s="96">
        <v>7.0000000000000007E-2</v>
      </c>
      <c r="L28" s="35">
        <v>13.317</v>
      </c>
      <c r="M28" s="36">
        <v>0.48099999999999998</v>
      </c>
    </row>
    <row r="29" spans="1:13">
      <c r="A29" s="22" t="s">
        <v>35</v>
      </c>
      <c r="B29" s="36">
        <v>0.48099999999999998</v>
      </c>
      <c r="C29" s="35">
        <v>6.3109999999999999</v>
      </c>
      <c r="D29" s="35">
        <v>7.0640000000000001</v>
      </c>
      <c r="E29" s="35">
        <v>13.856</v>
      </c>
      <c r="F29" s="35">
        <v>3.28</v>
      </c>
      <c r="G29" s="35">
        <v>2.74</v>
      </c>
      <c r="H29" s="35">
        <v>2.2789999999999999</v>
      </c>
      <c r="I29" s="35">
        <v>4.91</v>
      </c>
      <c r="J29" s="35">
        <v>13.209</v>
      </c>
      <c r="K29" s="96">
        <v>0.251</v>
      </c>
      <c r="L29" s="35">
        <v>13.46</v>
      </c>
      <c r="M29" s="36">
        <v>0.39600000000000002</v>
      </c>
    </row>
    <row r="30" spans="1:13">
      <c r="A30" s="22" t="s">
        <v>36</v>
      </c>
      <c r="B30" s="36">
        <v>0.39600000000000002</v>
      </c>
      <c r="C30" s="35">
        <v>8.3149999999999995</v>
      </c>
      <c r="D30" s="35">
        <v>3.9529999999999998</v>
      </c>
      <c r="E30" s="35">
        <v>12.664</v>
      </c>
      <c r="F30" s="35">
        <v>3.31</v>
      </c>
      <c r="G30" s="35">
        <v>2.58</v>
      </c>
      <c r="H30" s="35">
        <v>1.9750000000000001</v>
      </c>
      <c r="I30" s="35">
        <v>3.9740000000000002</v>
      </c>
      <c r="J30" s="35">
        <v>11.839</v>
      </c>
      <c r="K30" s="96">
        <v>0.316</v>
      </c>
      <c r="L30" s="35">
        <v>12.154999999999999</v>
      </c>
      <c r="M30" s="35">
        <v>0.50900000000000001</v>
      </c>
    </row>
    <row r="31" spans="1:13">
      <c r="A31" s="22" t="s">
        <v>37</v>
      </c>
      <c r="B31" s="35">
        <v>0.50900000000000001</v>
      </c>
      <c r="C31" s="35">
        <v>6.7910000000000004</v>
      </c>
      <c r="D31" s="35">
        <v>4.2510000000000003</v>
      </c>
      <c r="E31" s="35">
        <v>11.551000000000002</v>
      </c>
      <c r="F31" s="35">
        <v>3.33</v>
      </c>
      <c r="G31" s="35">
        <v>2.56</v>
      </c>
      <c r="H31" s="35">
        <v>2.161</v>
      </c>
      <c r="I31" s="35">
        <v>2.4950000000000001</v>
      </c>
      <c r="J31" s="35">
        <v>10.545999999999999</v>
      </c>
      <c r="K31" s="96">
        <v>7.2999999999999995E-2</v>
      </c>
      <c r="L31" s="35">
        <v>10.619</v>
      </c>
      <c r="M31" s="35">
        <v>0.93200000000000005</v>
      </c>
    </row>
    <row r="32" spans="1:13">
      <c r="A32" s="22" t="s">
        <v>38</v>
      </c>
      <c r="B32" s="35">
        <v>0.93200000000000005</v>
      </c>
      <c r="C32" s="35">
        <v>7.48</v>
      </c>
      <c r="D32" s="35">
        <v>5.5519999999999996</v>
      </c>
      <c r="E32" s="35">
        <v>13.964</v>
      </c>
      <c r="F32" s="35">
        <v>3.35</v>
      </c>
      <c r="G32" s="35">
        <v>2.52</v>
      </c>
      <c r="H32" s="35">
        <v>2.1760000000000002</v>
      </c>
      <c r="I32" s="35">
        <v>4.968</v>
      </c>
      <c r="J32" s="35">
        <v>13.013999999999999</v>
      </c>
      <c r="K32" s="96">
        <v>0.14899999999999999</v>
      </c>
      <c r="L32" s="35">
        <v>13.163</v>
      </c>
      <c r="M32" s="35">
        <v>0.80100000000000005</v>
      </c>
    </row>
    <row r="33" spans="1:13">
      <c r="A33" s="22" t="s">
        <v>39</v>
      </c>
      <c r="B33" s="35">
        <v>0.80100000000000005</v>
      </c>
      <c r="C33" s="35">
        <v>6.0510000000000002</v>
      </c>
      <c r="D33" s="35">
        <v>5.9939999999999998</v>
      </c>
      <c r="E33" s="35">
        <v>12.846</v>
      </c>
      <c r="F33" s="35">
        <v>3.38</v>
      </c>
      <c r="G33" s="35">
        <v>2.61</v>
      </c>
      <c r="H33" s="35">
        <v>2.5310000000000001</v>
      </c>
      <c r="I33" s="35">
        <v>3.7160000000000002</v>
      </c>
      <c r="J33" s="35">
        <v>12.237</v>
      </c>
      <c r="K33" s="96">
        <v>0.157</v>
      </c>
      <c r="L33" s="35">
        <v>12.394</v>
      </c>
      <c r="M33" s="36">
        <v>0.45200000000000001</v>
      </c>
    </row>
    <row r="34" spans="1:13">
      <c r="A34" s="22" t="s">
        <v>40</v>
      </c>
      <c r="B34" s="36">
        <v>0.45200000000000001</v>
      </c>
      <c r="C34" s="35">
        <v>6.5419999999999998</v>
      </c>
      <c r="D34" s="35">
        <v>8.9659999999999993</v>
      </c>
      <c r="E34" s="35">
        <v>15.96</v>
      </c>
      <c r="F34" s="35">
        <v>3.4</v>
      </c>
      <c r="G34" s="35">
        <v>2.99</v>
      </c>
      <c r="H34" s="35">
        <v>2.786</v>
      </c>
      <c r="I34" s="35">
        <v>6.0730000000000004</v>
      </c>
      <c r="J34" s="35">
        <v>15.249000000000001</v>
      </c>
      <c r="K34" s="96">
        <v>0.31</v>
      </c>
      <c r="L34" s="35">
        <v>15.558999999999999</v>
      </c>
      <c r="M34" s="36">
        <v>0.40100000000000002</v>
      </c>
    </row>
    <row r="35" spans="1:13">
      <c r="A35" s="22" t="s">
        <v>41</v>
      </c>
      <c r="B35" s="36">
        <v>0.40100000000000002</v>
      </c>
      <c r="C35" s="35">
        <v>7.6260000000000003</v>
      </c>
      <c r="D35" s="35">
        <v>9.2129999999999992</v>
      </c>
      <c r="E35" s="35">
        <v>17.239999999999998</v>
      </c>
      <c r="F35" s="35">
        <v>3.43</v>
      </c>
      <c r="G35" s="35">
        <v>2.97</v>
      </c>
      <c r="H35" s="35">
        <v>3.399</v>
      </c>
      <c r="I35" s="35">
        <v>6.8879999999999999</v>
      </c>
      <c r="J35" s="35">
        <v>16.687000000000001</v>
      </c>
      <c r="K35" s="96">
        <v>0.26800000000000002</v>
      </c>
      <c r="L35" s="35">
        <v>16.954999999999998</v>
      </c>
      <c r="M35" s="36">
        <v>0.28499999999999998</v>
      </c>
    </row>
    <row r="36" spans="1:13">
      <c r="A36" s="22" t="s">
        <v>42</v>
      </c>
      <c r="B36" s="36">
        <v>0.28499999999999998</v>
      </c>
      <c r="C36" s="35">
        <v>7.1890000000000001</v>
      </c>
      <c r="D36" s="35">
        <v>9.3190000000000008</v>
      </c>
      <c r="E36" s="35">
        <v>16.792999999999999</v>
      </c>
      <c r="F36" s="35">
        <v>3.45</v>
      </c>
      <c r="G36" s="35">
        <v>3.2</v>
      </c>
      <c r="H36" s="35">
        <v>3.173</v>
      </c>
      <c r="I36" s="35">
        <v>6.141</v>
      </c>
      <c r="J36" s="35">
        <v>15.964</v>
      </c>
      <c r="K36" s="96">
        <v>0.24</v>
      </c>
      <c r="L36" s="35">
        <v>16.204000000000001</v>
      </c>
      <c r="M36" s="35">
        <v>0.58899999999999997</v>
      </c>
    </row>
    <row r="37" spans="1:13">
      <c r="A37" s="22" t="s">
        <v>43</v>
      </c>
      <c r="B37" s="35">
        <v>0.58899999999999997</v>
      </c>
      <c r="C37" s="35">
        <v>11.616</v>
      </c>
      <c r="D37" s="35">
        <v>8.7569999999999997</v>
      </c>
      <c r="E37" s="35">
        <v>20.961999999999996</v>
      </c>
      <c r="F37" s="35">
        <v>3.48</v>
      </c>
      <c r="G37" s="35">
        <v>3.84</v>
      </c>
      <c r="H37" s="35">
        <v>5.3209999999999997</v>
      </c>
      <c r="I37" s="35">
        <v>7.6849999999999996</v>
      </c>
      <c r="J37" s="35">
        <v>20.326000000000001</v>
      </c>
      <c r="K37" s="96">
        <v>0.18099999999999999</v>
      </c>
      <c r="L37" s="35">
        <v>20.507000000000001</v>
      </c>
      <c r="M37" s="36">
        <v>0.45500000000000002</v>
      </c>
    </row>
    <row r="38" spans="1:13">
      <c r="A38" s="22" t="s">
        <v>44</v>
      </c>
      <c r="B38" s="36">
        <v>0.45500000000000002</v>
      </c>
      <c r="C38" s="35">
        <v>13.451000000000001</v>
      </c>
      <c r="D38" s="35">
        <v>6.5880000000000001</v>
      </c>
      <c r="E38" s="35">
        <v>20.494</v>
      </c>
      <c r="F38" s="35">
        <v>3.5</v>
      </c>
      <c r="G38" s="35">
        <v>4.13</v>
      </c>
      <c r="H38" s="35">
        <v>5.7270000000000003</v>
      </c>
      <c r="I38" s="35">
        <v>6.2629999999999999</v>
      </c>
      <c r="J38" s="35">
        <v>19.62</v>
      </c>
      <c r="K38" s="96">
        <v>0.17599999999999999</v>
      </c>
      <c r="L38" s="35">
        <v>19.795999999999999</v>
      </c>
      <c r="M38" s="35">
        <v>0.69799999999999995</v>
      </c>
    </row>
    <row r="39" spans="1:13">
      <c r="A39" s="22" t="s">
        <v>45</v>
      </c>
      <c r="B39" s="35">
        <v>0.69799999999999995</v>
      </c>
      <c r="C39" s="35">
        <v>9.6959999999999997</v>
      </c>
      <c r="D39" s="35">
        <v>8.0500000000000007</v>
      </c>
      <c r="E39" s="35">
        <v>18.444000000000003</v>
      </c>
      <c r="F39" s="35">
        <v>3.53</v>
      </c>
      <c r="G39" s="35">
        <v>4.0999999999999996</v>
      </c>
      <c r="H39" s="35">
        <v>6.1</v>
      </c>
      <c r="I39" s="35">
        <v>3.9140000000000001</v>
      </c>
      <c r="J39" s="35">
        <v>17.643999999999998</v>
      </c>
      <c r="K39" s="96">
        <v>0.2</v>
      </c>
      <c r="L39" s="35">
        <v>17.844000000000001</v>
      </c>
      <c r="M39" s="35">
        <v>0.6</v>
      </c>
    </row>
    <row r="40" spans="1:13">
      <c r="A40" s="2"/>
      <c r="B40" s="2"/>
      <c r="C40" s="2"/>
      <c r="D40" s="2"/>
      <c r="E40" s="2"/>
      <c r="F40" s="2"/>
      <c r="G40" s="2"/>
      <c r="H40" s="2"/>
      <c r="I40" s="2"/>
      <c r="J40" s="2"/>
      <c r="K40" s="24"/>
      <c r="L40" s="2"/>
      <c r="M40" s="2"/>
    </row>
    <row r="41" spans="1:13">
      <c r="A41" s="2"/>
      <c r="B41" s="2"/>
      <c r="C41" s="2"/>
      <c r="D41" s="2"/>
      <c r="E41" s="2"/>
      <c r="F41" s="2"/>
      <c r="G41" s="2"/>
      <c r="H41" s="2"/>
      <c r="I41" s="2"/>
      <c r="J41" s="2"/>
      <c r="K41" s="24"/>
      <c r="L41" s="2"/>
      <c r="M41" s="2"/>
    </row>
    <row r="42" spans="1:13">
      <c r="A42" s="164" t="s">
        <v>149</v>
      </c>
      <c r="B42" s="154"/>
      <c r="C42" s="154"/>
      <c r="D42" s="154"/>
      <c r="E42" s="154"/>
      <c r="F42" s="154"/>
      <c r="G42" s="154"/>
      <c r="H42" s="154"/>
      <c r="I42" s="154"/>
      <c r="J42" s="154"/>
      <c r="K42" s="154"/>
      <c r="L42" s="154"/>
      <c r="M42" s="154"/>
    </row>
    <row r="43" spans="1:13">
      <c r="A43" s="165" t="s">
        <v>142</v>
      </c>
      <c r="B43" s="150"/>
      <c r="C43" s="150"/>
      <c r="D43" s="150"/>
      <c r="E43" s="150"/>
      <c r="F43" s="150"/>
      <c r="G43" s="150"/>
      <c r="H43" s="150"/>
      <c r="I43" s="150"/>
      <c r="J43" s="150"/>
      <c r="K43" s="150"/>
      <c r="L43" s="150"/>
      <c r="M43" s="150"/>
    </row>
  </sheetData>
  <mergeCells count="9">
    <mergeCell ref="A42:M42"/>
    <mergeCell ref="A43:M43"/>
    <mergeCell ref="A1:M1"/>
    <mergeCell ref="A3:A5"/>
    <mergeCell ref="B3:E3"/>
    <mergeCell ref="F3:L3"/>
    <mergeCell ref="B4:E4"/>
    <mergeCell ref="F4:J4"/>
    <mergeCell ref="K4:L4"/>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975788-C24F-6441-AD62-0C26029EBCEB}">
  <dimension ref="A1:BC67"/>
  <sheetViews>
    <sheetView zoomScale="125" workbookViewId="0">
      <selection activeCell="H1" sqref="H1:H1048576"/>
    </sheetView>
  </sheetViews>
  <sheetFormatPr baseColWidth="10" defaultRowHeight="16"/>
  <cols>
    <col min="1" max="1" width="13" style="182" customWidth="1"/>
    <col min="2" max="7" width="11.5" style="182" customWidth="1"/>
    <col min="8" max="8" width="13.5" style="245" customWidth="1"/>
    <col min="9" max="9" width="8.6640625" style="56" customWidth="1"/>
    <col min="10" max="11" width="8.6640625" style="176" customWidth="1"/>
    <col min="12" max="55" width="8.6640625" customWidth="1"/>
    <col min="56" max="256" width="8.83203125" customWidth="1"/>
    <col min="257" max="257" width="13" customWidth="1"/>
    <col min="258" max="263" width="11.5" customWidth="1"/>
    <col min="264" max="264" width="13.5" customWidth="1"/>
    <col min="265" max="311" width="8.6640625" customWidth="1"/>
    <col min="312" max="512" width="8.83203125" customWidth="1"/>
    <col min="513" max="513" width="13" customWidth="1"/>
    <col min="514" max="519" width="11.5" customWidth="1"/>
    <col min="520" max="520" width="13.5" customWidth="1"/>
    <col min="521" max="567" width="8.6640625" customWidth="1"/>
    <col min="568" max="768" width="8.83203125" customWidth="1"/>
    <col min="769" max="769" width="13" customWidth="1"/>
    <col min="770" max="775" width="11.5" customWidth="1"/>
    <col min="776" max="776" width="13.5" customWidth="1"/>
    <col min="777" max="823" width="8.6640625" customWidth="1"/>
    <col min="824" max="1024" width="8.83203125" customWidth="1"/>
    <col min="1025" max="1025" width="13" customWidth="1"/>
    <col min="1026" max="1031" width="11.5" customWidth="1"/>
    <col min="1032" max="1032" width="13.5" customWidth="1"/>
    <col min="1033" max="1079" width="8.6640625" customWidth="1"/>
    <col min="1080" max="1280" width="8.83203125" customWidth="1"/>
    <col min="1281" max="1281" width="13" customWidth="1"/>
    <col min="1282" max="1287" width="11.5" customWidth="1"/>
    <col min="1288" max="1288" width="13.5" customWidth="1"/>
    <col min="1289" max="1335" width="8.6640625" customWidth="1"/>
    <col min="1336" max="1536" width="8.83203125" customWidth="1"/>
    <col min="1537" max="1537" width="13" customWidth="1"/>
    <col min="1538" max="1543" width="11.5" customWidth="1"/>
    <col min="1544" max="1544" width="13.5" customWidth="1"/>
    <col min="1545" max="1591" width="8.6640625" customWidth="1"/>
    <col min="1592" max="1792" width="8.83203125" customWidth="1"/>
    <col min="1793" max="1793" width="13" customWidth="1"/>
    <col min="1794" max="1799" width="11.5" customWidth="1"/>
    <col min="1800" max="1800" width="13.5" customWidth="1"/>
    <col min="1801" max="1847" width="8.6640625" customWidth="1"/>
    <col min="1848" max="2048" width="8.83203125" customWidth="1"/>
    <col min="2049" max="2049" width="13" customWidth="1"/>
    <col min="2050" max="2055" width="11.5" customWidth="1"/>
    <col min="2056" max="2056" width="13.5" customWidth="1"/>
    <col min="2057" max="2103" width="8.6640625" customWidth="1"/>
    <col min="2104" max="2304" width="8.83203125" customWidth="1"/>
    <col min="2305" max="2305" width="13" customWidth="1"/>
    <col min="2306" max="2311" width="11.5" customWidth="1"/>
    <col min="2312" max="2312" width="13.5" customWidth="1"/>
    <col min="2313" max="2359" width="8.6640625" customWidth="1"/>
    <col min="2360" max="2560" width="8.83203125" customWidth="1"/>
    <col min="2561" max="2561" width="13" customWidth="1"/>
    <col min="2562" max="2567" width="11.5" customWidth="1"/>
    <col min="2568" max="2568" width="13.5" customWidth="1"/>
    <col min="2569" max="2615" width="8.6640625" customWidth="1"/>
    <col min="2616" max="2816" width="8.83203125" customWidth="1"/>
    <col min="2817" max="2817" width="13" customWidth="1"/>
    <col min="2818" max="2823" width="11.5" customWidth="1"/>
    <col min="2824" max="2824" width="13.5" customWidth="1"/>
    <col min="2825" max="2871" width="8.6640625" customWidth="1"/>
    <col min="2872" max="3072" width="8.83203125" customWidth="1"/>
    <col min="3073" max="3073" width="13" customWidth="1"/>
    <col min="3074" max="3079" width="11.5" customWidth="1"/>
    <col min="3080" max="3080" width="13.5" customWidth="1"/>
    <col min="3081" max="3127" width="8.6640625" customWidth="1"/>
    <col min="3128" max="3328" width="8.83203125" customWidth="1"/>
    <col min="3329" max="3329" width="13" customWidth="1"/>
    <col min="3330" max="3335" width="11.5" customWidth="1"/>
    <col min="3336" max="3336" width="13.5" customWidth="1"/>
    <col min="3337" max="3383" width="8.6640625" customWidth="1"/>
    <col min="3384" max="3584" width="8.83203125" customWidth="1"/>
    <col min="3585" max="3585" width="13" customWidth="1"/>
    <col min="3586" max="3591" width="11.5" customWidth="1"/>
    <col min="3592" max="3592" width="13.5" customWidth="1"/>
    <col min="3593" max="3639" width="8.6640625" customWidth="1"/>
    <col min="3640" max="3840" width="8.83203125" customWidth="1"/>
    <col min="3841" max="3841" width="13" customWidth="1"/>
    <col min="3842" max="3847" width="11.5" customWidth="1"/>
    <col min="3848" max="3848" width="13.5" customWidth="1"/>
    <col min="3849" max="3895" width="8.6640625" customWidth="1"/>
    <col min="3896" max="4096" width="8.83203125" customWidth="1"/>
    <col min="4097" max="4097" width="13" customWidth="1"/>
    <col min="4098" max="4103" width="11.5" customWidth="1"/>
    <col min="4104" max="4104" width="13.5" customWidth="1"/>
    <col min="4105" max="4151" width="8.6640625" customWidth="1"/>
    <col min="4152" max="4352" width="8.83203125" customWidth="1"/>
    <col min="4353" max="4353" width="13" customWidth="1"/>
    <col min="4354" max="4359" width="11.5" customWidth="1"/>
    <col min="4360" max="4360" width="13.5" customWidth="1"/>
    <col min="4361" max="4407" width="8.6640625" customWidth="1"/>
    <col min="4408" max="4608" width="8.83203125" customWidth="1"/>
    <col min="4609" max="4609" width="13" customWidth="1"/>
    <col min="4610" max="4615" width="11.5" customWidth="1"/>
    <col min="4616" max="4616" width="13.5" customWidth="1"/>
    <col min="4617" max="4663" width="8.6640625" customWidth="1"/>
    <col min="4664" max="4864" width="8.83203125" customWidth="1"/>
    <col min="4865" max="4865" width="13" customWidth="1"/>
    <col min="4866" max="4871" width="11.5" customWidth="1"/>
    <col min="4872" max="4872" width="13.5" customWidth="1"/>
    <col min="4873" max="4919" width="8.6640625" customWidth="1"/>
    <col min="4920" max="5120" width="8.83203125" customWidth="1"/>
    <col min="5121" max="5121" width="13" customWidth="1"/>
    <col min="5122" max="5127" width="11.5" customWidth="1"/>
    <col min="5128" max="5128" width="13.5" customWidth="1"/>
    <col min="5129" max="5175" width="8.6640625" customWidth="1"/>
    <col min="5176" max="5376" width="8.83203125" customWidth="1"/>
    <col min="5377" max="5377" width="13" customWidth="1"/>
    <col min="5378" max="5383" width="11.5" customWidth="1"/>
    <col min="5384" max="5384" width="13.5" customWidth="1"/>
    <col min="5385" max="5431" width="8.6640625" customWidth="1"/>
    <col min="5432" max="5632" width="8.83203125" customWidth="1"/>
    <col min="5633" max="5633" width="13" customWidth="1"/>
    <col min="5634" max="5639" width="11.5" customWidth="1"/>
    <col min="5640" max="5640" width="13.5" customWidth="1"/>
    <col min="5641" max="5687" width="8.6640625" customWidth="1"/>
    <col min="5688" max="5888" width="8.83203125" customWidth="1"/>
    <col min="5889" max="5889" width="13" customWidth="1"/>
    <col min="5890" max="5895" width="11.5" customWidth="1"/>
    <col min="5896" max="5896" width="13.5" customWidth="1"/>
    <col min="5897" max="5943" width="8.6640625" customWidth="1"/>
    <col min="5944" max="6144" width="8.83203125" customWidth="1"/>
    <col min="6145" max="6145" width="13" customWidth="1"/>
    <col min="6146" max="6151" width="11.5" customWidth="1"/>
    <col min="6152" max="6152" width="13.5" customWidth="1"/>
    <col min="6153" max="6199" width="8.6640625" customWidth="1"/>
    <col min="6200" max="6400" width="8.83203125" customWidth="1"/>
    <col min="6401" max="6401" width="13" customWidth="1"/>
    <col min="6402" max="6407" width="11.5" customWidth="1"/>
    <col min="6408" max="6408" width="13.5" customWidth="1"/>
    <col min="6409" max="6455" width="8.6640625" customWidth="1"/>
    <col min="6456" max="6656" width="8.83203125" customWidth="1"/>
    <col min="6657" max="6657" width="13" customWidth="1"/>
    <col min="6658" max="6663" width="11.5" customWidth="1"/>
    <col min="6664" max="6664" width="13.5" customWidth="1"/>
    <col min="6665" max="6711" width="8.6640625" customWidth="1"/>
    <col min="6712" max="6912" width="8.83203125" customWidth="1"/>
    <col min="6913" max="6913" width="13" customWidth="1"/>
    <col min="6914" max="6919" width="11.5" customWidth="1"/>
    <col min="6920" max="6920" width="13.5" customWidth="1"/>
    <col min="6921" max="6967" width="8.6640625" customWidth="1"/>
    <col min="6968" max="7168" width="8.83203125" customWidth="1"/>
    <col min="7169" max="7169" width="13" customWidth="1"/>
    <col min="7170" max="7175" width="11.5" customWidth="1"/>
    <col min="7176" max="7176" width="13.5" customWidth="1"/>
    <col min="7177" max="7223" width="8.6640625" customWidth="1"/>
    <col min="7224" max="7424" width="8.83203125" customWidth="1"/>
    <col min="7425" max="7425" width="13" customWidth="1"/>
    <col min="7426" max="7431" width="11.5" customWidth="1"/>
    <col min="7432" max="7432" width="13.5" customWidth="1"/>
    <col min="7433" max="7479" width="8.6640625" customWidth="1"/>
    <col min="7480" max="7680" width="8.83203125" customWidth="1"/>
    <col min="7681" max="7681" width="13" customWidth="1"/>
    <col min="7682" max="7687" width="11.5" customWidth="1"/>
    <col min="7688" max="7688" width="13.5" customWidth="1"/>
    <col min="7689" max="7735" width="8.6640625" customWidth="1"/>
    <col min="7736" max="7936" width="8.83203125" customWidth="1"/>
    <col min="7937" max="7937" width="13" customWidth="1"/>
    <col min="7938" max="7943" width="11.5" customWidth="1"/>
    <col min="7944" max="7944" width="13.5" customWidth="1"/>
    <col min="7945" max="7991" width="8.6640625" customWidth="1"/>
    <col min="7992" max="8192" width="8.83203125" customWidth="1"/>
    <col min="8193" max="8193" width="13" customWidth="1"/>
    <col min="8194" max="8199" width="11.5" customWidth="1"/>
    <col min="8200" max="8200" width="13.5" customWidth="1"/>
    <col min="8201" max="8247" width="8.6640625" customWidth="1"/>
    <col min="8248" max="8448" width="8.83203125" customWidth="1"/>
    <col min="8449" max="8449" width="13" customWidth="1"/>
    <col min="8450" max="8455" width="11.5" customWidth="1"/>
    <col min="8456" max="8456" width="13.5" customWidth="1"/>
    <col min="8457" max="8503" width="8.6640625" customWidth="1"/>
    <col min="8504" max="8704" width="8.83203125" customWidth="1"/>
    <col min="8705" max="8705" width="13" customWidth="1"/>
    <col min="8706" max="8711" width="11.5" customWidth="1"/>
    <col min="8712" max="8712" width="13.5" customWidth="1"/>
    <col min="8713" max="8759" width="8.6640625" customWidth="1"/>
    <col min="8760" max="8960" width="8.83203125" customWidth="1"/>
    <col min="8961" max="8961" width="13" customWidth="1"/>
    <col min="8962" max="8967" width="11.5" customWidth="1"/>
    <col min="8968" max="8968" width="13.5" customWidth="1"/>
    <col min="8969" max="9015" width="8.6640625" customWidth="1"/>
    <col min="9016" max="9216" width="8.83203125" customWidth="1"/>
    <col min="9217" max="9217" width="13" customWidth="1"/>
    <col min="9218" max="9223" width="11.5" customWidth="1"/>
    <col min="9224" max="9224" width="13.5" customWidth="1"/>
    <col min="9225" max="9271" width="8.6640625" customWidth="1"/>
    <col min="9272" max="9472" width="8.83203125" customWidth="1"/>
    <col min="9473" max="9473" width="13" customWidth="1"/>
    <col min="9474" max="9479" width="11.5" customWidth="1"/>
    <col min="9480" max="9480" width="13.5" customWidth="1"/>
    <col min="9481" max="9527" width="8.6640625" customWidth="1"/>
    <col min="9528" max="9728" width="8.83203125" customWidth="1"/>
    <col min="9729" max="9729" width="13" customWidth="1"/>
    <col min="9730" max="9735" width="11.5" customWidth="1"/>
    <col min="9736" max="9736" width="13.5" customWidth="1"/>
    <col min="9737" max="9783" width="8.6640625" customWidth="1"/>
    <col min="9784" max="9984" width="8.83203125" customWidth="1"/>
    <col min="9985" max="9985" width="13" customWidth="1"/>
    <col min="9986" max="9991" width="11.5" customWidth="1"/>
    <col min="9992" max="9992" width="13.5" customWidth="1"/>
    <col min="9993" max="10039" width="8.6640625" customWidth="1"/>
    <col min="10040" max="10240" width="8.83203125" customWidth="1"/>
    <col min="10241" max="10241" width="13" customWidth="1"/>
    <col min="10242" max="10247" width="11.5" customWidth="1"/>
    <col min="10248" max="10248" width="13.5" customWidth="1"/>
    <col min="10249" max="10295" width="8.6640625" customWidth="1"/>
    <col min="10296" max="10496" width="8.83203125" customWidth="1"/>
    <col min="10497" max="10497" width="13" customWidth="1"/>
    <col min="10498" max="10503" width="11.5" customWidth="1"/>
    <col min="10504" max="10504" width="13.5" customWidth="1"/>
    <col min="10505" max="10551" width="8.6640625" customWidth="1"/>
    <col min="10552" max="10752" width="8.83203125" customWidth="1"/>
    <col min="10753" max="10753" width="13" customWidth="1"/>
    <col min="10754" max="10759" width="11.5" customWidth="1"/>
    <col min="10760" max="10760" width="13.5" customWidth="1"/>
    <col min="10761" max="10807" width="8.6640625" customWidth="1"/>
    <col min="10808" max="11008" width="8.83203125" customWidth="1"/>
    <col min="11009" max="11009" width="13" customWidth="1"/>
    <col min="11010" max="11015" width="11.5" customWidth="1"/>
    <col min="11016" max="11016" width="13.5" customWidth="1"/>
    <col min="11017" max="11063" width="8.6640625" customWidth="1"/>
    <col min="11064" max="11264" width="8.83203125" customWidth="1"/>
    <col min="11265" max="11265" width="13" customWidth="1"/>
    <col min="11266" max="11271" width="11.5" customWidth="1"/>
    <col min="11272" max="11272" width="13.5" customWidth="1"/>
    <col min="11273" max="11319" width="8.6640625" customWidth="1"/>
    <col min="11320" max="11520" width="8.83203125" customWidth="1"/>
    <col min="11521" max="11521" width="13" customWidth="1"/>
    <col min="11522" max="11527" width="11.5" customWidth="1"/>
    <col min="11528" max="11528" width="13.5" customWidth="1"/>
    <col min="11529" max="11575" width="8.6640625" customWidth="1"/>
    <col min="11576" max="11776" width="8.83203125" customWidth="1"/>
    <col min="11777" max="11777" width="13" customWidth="1"/>
    <col min="11778" max="11783" width="11.5" customWidth="1"/>
    <col min="11784" max="11784" width="13.5" customWidth="1"/>
    <col min="11785" max="11831" width="8.6640625" customWidth="1"/>
    <col min="11832" max="12032" width="8.83203125" customWidth="1"/>
    <col min="12033" max="12033" width="13" customWidth="1"/>
    <col min="12034" max="12039" width="11.5" customWidth="1"/>
    <col min="12040" max="12040" width="13.5" customWidth="1"/>
    <col min="12041" max="12087" width="8.6640625" customWidth="1"/>
    <col min="12088" max="12288" width="8.83203125" customWidth="1"/>
    <col min="12289" max="12289" width="13" customWidth="1"/>
    <col min="12290" max="12295" width="11.5" customWidth="1"/>
    <col min="12296" max="12296" width="13.5" customWidth="1"/>
    <col min="12297" max="12343" width="8.6640625" customWidth="1"/>
    <col min="12344" max="12544" width="8.83203125" customWidth="1"/>
    <col min="12545" max="12545" width="13" customWidth="1"/>
    <col min="12546" max="12551" width="11.5" customWidth="1"/>
    <col min="12552" max="12552" width="13.5" customWidth="1"/>
    <col min="12553" max="12599" width="8.6640625" customWidth="1"/>
    <col min="12600" max="12800" width="8.83203125" customWidth="1"/>
    <col min="12801" max="12801" width="13" customWidth="1"/>
    <col min="12802" max="12807" width="11.5" customWidth="1"/>
    <col min="12808" max="12808" width="13.5" customWidth="1"/>
    <col min="12809" max="12855" width="8.6640625" customWidth="1"/>
    <col min="12856" max="13056" width="8.83203125" customWidth="1"/>
    <col min="13057" max="13057" width="13" customWidth="1"/>
    <col min="13058" max="13063" width="11.5" customWidth="1"/>
    <col min="13064" max="13064" width="13.5" customWidth="1"/>
    <col min="13065" max="13111" width="8.6640625" customWidth="1"/>
    <col min="13112" max="13312" width="8.83203125" customWidth="1"/>
    <col min="13313" max="13313" width="13" customWidth="1"/>
    <col min="13314" max="13319" width="11.5" customWidth="1"/>
    <col min="13320" max="13320" width="13.5" customWidth="1"/>
    <col min="13321" max="13367" width="8.6640625" customWidth="1"/>
    <col min="13368" max="13568" width="8.83203125" customWidth="1"/>
    <col min="13569" max="13569" width="13" customWidth="1"/>
    <col min="13570" max="13575" width="11.5" customWidth="1"/>
    <col min="13576" max="13576" width="13.5" customWidth="1"/>
    <col min="13577" max="13623" width="8.6640625" customWidth="1"/>
    <col min="13624" max="13824" width="8.83203125" customWidth="1"/>
    <col min="13825" max="13825" width="13" customWidth="1"/>
    <col min="13826" max="13831" width="11.5" customWidth="1"/>
    <col min="13832" max="13832" width="13.5" customWidth="1"/>
    <col min="13833" max="13879" width="8.6640625" customWidth="1"/>
    <col min="13880" max="14080" width="8.83203125" customWidth="1"/>
    <col min="14081" max="14081" width="13" customWidth="1"/>
    <col min="14082" max="14087" width="11.5" customWidth="1"/>
    <col min="14088" max="14088" width="13.5" customWidth="1"/>
    <col min="14089" max="14135" width="8.6640625" customWidth="1"/>
    <col min="14136" max="14336" width="8.83203125" customWidth="1"/>
    <col min="14337" max="14337" width="13" customWidth="1"/>
    <col min="14338" max="14343" width="11.5" customWidth="1"/>
    <col min="14344" max="14344" width="13.5" customWidth="1"/>
    <col min="14345" max="14391" width="8.6640625" customWidth="1"/>
    <col min="14392" max="14592" width="8.83203125" customWidth="1"/>
    <col min="14593" max="14593" width="13" customWidth="1"/>
    <col min="14594" max="14599" width="11.5" customWidth="1"/>
    <col min="14600" max="14600" width="13.5" customWidth="1"/>
    <col min="14601" max="14647" width="8.6640625" customWidth="1"/>
    <col min="14648" max="14848" width="8.83203125" customWidth="1"/>
    <col min="14849" max="14849" width="13" customWidth="1"/>
    <col min="14850" max="14855" width="11.5" customWidth="1"/>
    <col min="14856" max="14856" width="13.5" customWidth="1"/>
    <col min="14857" max="14903" width="8.6640625" customWidth="1"/>
    <col min="14904" max="15104" width="8.83203125" customWidth="1"/>
    <col min="15105" max="15105" width="13" customWidth="1"/>
    <col min="15106" max="15111" width="11.5" customWidth="1"/>
    <col min="15112" max="15112" width="13.5" customWidth="1"/>
    <col min="15113" max="15159" width="8.6640625" customWidth="1"/>
    <col min="15160" max="15360" width="8.83203125" customWidth="1"/>
    <col min="15361" max="15361" width="13" customWidth="1"/>
    <col min="15362" max="15367" width="11.5" customWidth="1"/>
    <col min="15368" max="15368" width="13.5" customWidth="1"/>
    <col min="15369" max="15415" width="8.6640625" customWidth="1"/>
    <col min="15416" max="15616" width="8.83203125" customWidth="1"/>
    <col min="15617" max="15617" width="13" customWidth="1"/>
    <col min="15618" max="15623" width="11.5" customWidth="1"/>
    <col min="15624" max="15624" width="13.5" customWidth="1"/>
    <col min="15625" max="15671" width="8.6640625" customWidth="1"/>
    <col min="15672" max="15872" width="8.83203125" customWidth="1"/>
    <col min="15873" max="15873" width="13" customWidth="1"/>
    <col min="15874" max="15879" width="11.5" customWidth="1"/>
    <col min="15880" max="15880" width="13.5" customWidth="1"/>
    <col min="15881" max="15927" width="8.6640625" customWidth="1"/>
    <col min="15928" max="16128" width="8.83203125" customWidth="1"/>
    <col min="16129" max="16129" width="13" customWidth="1"/>
    <col min="16130" max="16135" width="11.5" customWidth="1"/>
    <col min="16136" max="16136" width="13.5" customWidth="1"/>
    <col min="16137" max="16183" width="8.6640625" customWidth="1"/>
    <col min="16184" max="16384" width="8.83203125" customWidth="1"/>
  </cols>
  <sheetData>
    <row r="1" spans="1:11">
      <c r="A1" s="174" t="s">
        <v>250</v>
      </c>
      <c r="B1" s="175"/>
      <c r="C1" s="175"/>
      <c r="D1" s="175"/>
      <c r="E1" s="175"/>
      <c r="F1" s="175"/>
      <c r="G1" s="175"/>
      <c r="H1" s="242"/>
    </row>
    <row r="2" spans="1:11" s="42" customFormat="1">
      <c r="A2" s="177" t="s">
        <v>251</v>
      </c>
      <c r="B2" s="177" t="s">
        <v>252</v>
      </c>
      <c r="C2" s="178" t="s">
        <v>253</v>
      </c>
      <c r="D2" s="177"/>
      <c r="E2" s="178"/>
      <c r="F2" s="178" t="s">
        <v>254</v>
      </c>
      <c r="G2" s="177" t="s">
        <v>255</v>
      </c>
      <c r="H2" s="243"/>
      <c r="I2" s="179"/>
      <c r="J2" s="180"/>
      <c r="K2" s="180"/>
    </row>
    <row r="3" spans="1:11" s="42" customFormat="1">
      <c r="A3" s="181" t="s">
        <v>256</v>
      </c>
      <c r="B3" s="181" t="s">
        <v>257</v>
      </c>
      <c r="C3" s="181" t="s">
        <v>258</v>
      </c>
      <c r="D3" s="181" t="s">
        <v>259</v>
      </c>
      <c r="E3" s="181" t="s">
        <v>260</v>
      </c>
      <c r="F3" s="181" t="s">
        <v>258</v>
      </c>
      <c r="G3" s="181" t="s">
        <v>261</v>
      </c>
      <c r="H3" s="244" t="s">
        <v>262</v>
      </c>
      <c r="I3" s="179"/>
      <c r="J3" s="180"/>
      <c r="K3" s="180"/>
    </row>
    <row r="4" spans="1:11">
      <c r="B4" s="183"/>
      <c r="E4" s="184" t="s">
        <v>263</v>
      </c>
    </row>
    <row r="5" spans="1:11" ht="3" customHeight="1">
      <c r="B5" s="183" t="s">
        <v>187</v>
      </c>
    </row>
    <row r="6" spans="1:11" ht="12" customHeight="1">
      <c r="A6" s="183" t="s">
        <v>130</v>
      </c>
      <c r="B6" s="183">
        <v>1315.2260000000001</v>
      </c>
      <c r="C6" s="183">
        <v>264.464</v>
      </c>
      <c r="D6" s="183">
        <v>502.536</v>
      </c>
      <c r="E6" s="183">
        <v>87.105999999999995</v>
      </c>
      <c r="F6" s="183">
        <v>184.096</v>
      </c>
      <c r="G6" s="185" t="s">
        <v>264</v>
      </c>
      <c r="H6" s="246">
        <v>2353.4280000000003</v>
      </c>
      <c r="I6" s="186"/>
    </row>
    <row r="7" spans="1:11" ht="12" customHeight="1">
      <c r="A7" s="183" t="s">
        <v>131</v>
      </c>
      <c r="B7" s="183">
        <v>1416.623</v>
      </c>
      <c r="C7" s="183">
        <v>313.74099999999999</v>
      </c>
      <c r="D7" s="183">
        <v>627.07299999999998</v>
      </c>
      <c r="E7" s="183">
        <v>20.786999999999999</v>
      </c>
      <c r="F7" s="183">
        <v>125.78400000000001</v>
      </c>
      <c r="G7" s="185" t="s">
        <v>264</v>
      </c>
      <c r="H7" s="246">
        <v>2504.0079999999998</v>
      </c>
      <c r="I7" s="186"/>
    </row>
    <row r="8" spans="1:11" ht="12" customHeight="1">
      <c r="A8" s="183" t="s">
        <v>132</v>
      </c>
      <c r="B8" s="183">
        <v>1537.395</v>
      </c>
      <c r="C8" s="183">
        <v>540.25599999999997</v>
      </c>
      <c r="D8" s="183">
        <v>598.43499999999995</v>
      </c>
      <c r="E8" s="183">
        <v>40.127000000000002</v>
      </c>
      <c r="F8" s="183">
        <v>75.75</v>
      </c>
      <c r="G8" s="185" t="s">
        <v>264</v>
      </c>
      <c r="H8" s="246">
        <v>2791.9629999999997</v>
      </c>
      <c r="I8" s="186"/>
    </row>
    <row r="9" spans="1:11" ht="3" customHeight="1">
      <c r="B9" s="183"/>
      <c r="C9" s="183"/>
      <c r="D9" s="183"/>
      <c r="E9" s="183"/>
      <c r="F9" s="183"/>
      <c r="G9" s="185"/>
      <c r="H9" s="246">
        <v>0</v>
      </c>
      <c r="I9" s="186"/>
    </row>
    <row r="10" spans="1:11" ht="12" customHeight="1">
      <c r="A10" s="183" t="s">
        <v>133</v>
      </c>
      <c r="B10" s="183">
        <v>1011.716</v>
      </c>
      <c r="C10" s="183">
        <v>1366.7170000000001</v>
      </c>
      <c r="D10" s="183">
        <v>781.66300000000001</v>
      </c>
      <c r="E10" s="183">
        <v>18.033999999999999</v>
      </c>
      <c r="F10" s="183">
        <v>18.786000000000001</v>
      </c>
      <c r="G10" s="185" t="s">
        <v>264</v>
      </c>
      <c r="H10" s="246">
        <v>3196.9160000000002</v>
      </c>
      <c r="I10" s="186"/>
    </row>
    <row r="11" spans="1:11" ht="12" customHeight="1">
      <c r="A11" s="183" t="s">
        <v>134</v>
      </c>
      <c r="B11" s="183">
        <v>976.90599999999995</v>
      </c>
      <c r="C11" s="183">
        <v>571.077</v>
      </c>
      <c r="D11" s="183">
        <v>1000.8819999999999</v>
      </c>
      <c r="E11" s="183">
        <v>12.654</v>
      </c>
      <c r="F11" s="183">
        <v>262.42</v>
      </c>
      <c r="G11" s="185" t="s">
        <v>264</v>
      </c>
      <c r="H11" s="246">
        <v>2823.9389999999999</v>
      </c>
      <c r="I11" s="186"/>
    </row>
    <row r="12" spans="1:11" ht="12" customHeight="1">
      <c r="A12" s="183" t="s">
        <v>135</v>
      </c>
      <c r="B12" s="183">
        <v>993.20699999999999</v>
      </c>
      <c r="C12" s="183">
        <v>402.661</v>
      </c>
      <c r="D12" s="183">
        <v>846.47699999999998</v>
      </c>
      <c r="E12" s="183">
        <v>5.8979999999999997</v>
      </c>
      <c r="F12" s="183">
        <v>26.033000000000001</v>
      </c>
      <c r="G12" s="185" t="s">
        <v>264</v>
      </c>
      <c r="H12" s="246">
        <v>2274.2759999999998</v>
      </c>
      <c r="I12" s="186"/>
    </row>
    <row r="13" spans="1:11" ht="3" customHeight="1">
      <c r="B13" s="183"/>
      <c r="C13" s="183"/>
      <c r="D13" s="183"/>
      <c r="E13" s="183"/>
      <c r="F13" s="183"/>
      <c r="G13" s="185"/>
      <c r="H13" s="246">
        <v>0</v>
      </c>
      <c r="I13" s="186"/>
    </row>
    <row r="14" spans="1:11" ht="12" customHeight="1">
      <c r="A14" s="183" t="s">
        <v>136</v>
      </c>
      <c r="B14" s="183">
        <v>972.73400000000004</v>
      </c>
      <c r="C14" s="183">
        <v>379.43799999999999</v>
      </c>
      <c r="D14" s="183">
        <v>821.81200000000001</v>
      </c>
      <c r="E14" s="183">
        <v>37.613</v>
      </c>
      <c r="F14" s="183">
        <v>146.78299999999999</v>
      </c>
      <c r="G14" s="185" t="s">
        <v>264</v>
      </c>
      <c r="H14" s="246">
        <v>2358.3799999999997</v>
      </c>
      <c r="I14" s="186"/>
    </row>
    <row r="15" spans="1:11" ht="12" customHeight="1">
      <c r="A15" s="183" t="s">
        <v>137</v>
      </c>
      <c r="B15" s="183">
        <v>1009.954</v>
      </c>
      <c r="C15" s="183">
        <v>192.001</v>
      </c>
      <c r="D15" s="183">
        <v>630.83100000000002</v>
      </c>
      <c r="E15" s="183">
        <v>46.825000000000003</v>
      </c>
      <c r="F15" s="183">
        <v>145.29300000000001</v>
      </c>
      <c r="G15" s="185" t="s">
        <v>264</v>
      </c>
      <c r="H15" s="246">
        <v>2024.904</v>
      </c>
      <c r="I15" s="186"/>
    </row>
    <row r="16" spans="1:11" ht="12" customHeight="1">
      <c r="A16" s="183" t="s">
        <v>138</v>
      </c>
      <c r="B16" s="183">
        <v>950.73199999999997</v>
      </c>
      <c r="C16" s="183">
        <v>308.83800000000002</v>
      </c>
      <c r="D16" s="183">
        <v>523.76199999999994</v>
      </c>
      <c r="E16" s="183">
        <v>80.085999999999999</v>
      </c>
      <c r="F16" s="183">
        <v>75.188000000000002</v>
      </c>
      <c r="G16" s="185" t="s">
        <v>264</v>
      </c>
      <c r="H16" s="246">
        <v>1938.606</v>
      </c>
      <c r="I16" s="186"/>
    </row>
    <row r="17" spans="1:11" ht="3" customHeight="1">
      <c r="B17" s="183"/>
      <c r="C17" s="183"/>
      <c r="D17" s="183"/>
      <c r="E17" s="183"/>
      <c r="F17" s="183"/>
      <c r="G17" s="185"/>
      <c r="H17" s="246">
        <v>0</v>
      </c>
      <c r="I17" s="186"/>
    </row>
    <row r="18" spans="1:11" ht="12" customHeight="1">
      <c r="A18" s="183" t="s">
        <v>139</v>
      </c>
      <c r="B18" s="183">
        <v>1541.8789999999999</v>
      </c>
      <c r="C18" s="183">
        <v>277.86599999999999</v>
      </c>
      <c r="D18" s="183">
        <v>659.72500000000002</v>
      </c>
      <c r="E18" s="183">
        <v>5.7309999999999999</v>
      </c>
      <c r="F18" s="183">
        <v>371.88400000000001</v>
      </c>
      <c r="G18" s="185" t="s">
        <v>264</v>
      </c>
      <c r="H18" s="246">
        <v>2857.085</v>
      </c>
      <c r="I18" s="186"/>
    </row>
    <row r="19" spans="1:11" ht="12" customHeight="1">
      <c r="A19" s="183" t="s">
        <v>140</v>
      </c>
      <c r="B19" s="183">
        <v>1280.3720000000001</v>
      </c>
      <c r="C19" s="183">
        <v>201.583</v>
      </c>
      <c r="D19" s="183">
        <v>642.89200000000005</v>
      </c>
      <c r="E19" s="183">
        <v>152.899</v>
      </c>
      <c r="F19" s="183">
        <v>52.615000000000002</v>
      </c>
      <c r="G19" s="185" t="s">
        <v>264</v>
      </c>
      <c r="H19" s="246">
        <v>2330.3609999999999</v>
      </c>
      <c r="I19" s="186"/>
    </row>
    <row r="20" spans="1:11" s="189" customFormat="1" ht="12" customHeight="1">
      <c r="A20" s="183" t="s">
        <v>16</v>
      </c>
      <c r="B20" s="183">
        <v>1424.1</v>
      </c>
      <c r="C20" s="183">
        <v>356.2</v>
      </c>
      <c r="D20" s="183">
        <v>834.4</v>
      </c>
      <c r="E20" s="183">
        <v>81.400000000000006</v>
      </c>
      <c r="F20" s="183">
        <v>179.3</v>
      </c>
      <c r="G20" s="183">
        <v>1.4219999999999999</v>
      </c>
      <c r="H20" s="246">
        <v>2876.8220000000001</v>
      </c>
      <c r="I20" s="186"/>
      <c r="J20" s="187"/>
      <c r="K20" s="188"/>
    </row>
    <row r="21" spans="1:11" ht="3" customHeight="1">
      <c r="B21" s="183"/>
      <c r="C21" s="183"/>
      <c r="D21" s="183"/>
      <c r="E21" s="183"/>
      <c r="F21" s="183"/>
      <c r="G21" s="183"/>
      <c r="H21" s="246">
        <v>0</v>
      </c>
      <c r="I21" s="186"/>
    </row>
    <row r="22" spans="1:11" ht="12" customHeight="1">
      <c r="A22" s="183" t="s">
        <v>17</v>
      </c>
      <c r="B22" s="102">
        <v>1164.8248430000001</v>
      </c>
      <c r="C22" s="102">
        <v>353.85189100000008</v>
      </c>
      <c r="D22" s="102">
        <v>948.58827299999996</v>
      </c>
      <c r="E22" s="102">
        <v>65.304636000000002</v>
      </c>
      <c r="F22" s="102">
        <v>72.295282</v>
      </c>
      <c r="G22" s="102">
        <v>0.816384</v>
      </c>
      <c r="H22" s="106">
        <v>2605.6813090000005</v>
      </c>
      <c r="I22" s="186"/>
    </row>
    <row r="23" spans="1:11" ht="12" customHeight="1">
      <c r="A23" s="190" t="s">
        <v>18</v>
      </c>
      <c r="B23" s="102">
        <v>872.47110899999996</v>
      </c>
      <c r="C23" s="102">
        <v>480.94460500000002</v>
      </c>
      <c r="D23" s="102">
        <v>823.28649099999996</v>
      </c>
      <c r="E23" s="102">
        <v>42.665700999999999</v>
      </c>
      <c r="F23" s="102">
        <v>218.45276999999999</v>
      </c>
      <c r="G23" s="102">
        <v>1.496102</v>
      </c>
      <c r="H23" s="106">
        <v>2439.3167779999999</v>
      </c>
      <c r="I23" s="186"/>
    </row>
    <row r="24" spans="1:11" ht="12" customHeight="1">
      <c r="A24" s="183" t="s">
        <v>19</v>
      </c>
      <c r="B24" s="102">
        <v>751.94537799999989</v>
      </c>
      <c r="C24" s="102">
        <v>357.24878500000005</v>
      </c>
      <c r="D24" s="102">
        <v>776.50027699999998</v>
      </c>
      <c r="E24" s="102">
        <v>74.356615999999988</v>
      </c>
      <c r="F24" s="102">
        <v>287.17864500000002</v>
      </c>
      <c r="G24" s="102">
        <v>2.4303289999999995</v>
      </c>
      <c r="H24" s="106">
        <v>2249.66003</v>
      </c>
      <c r="I24" s="186"/>
    </row>
    <row r="25" spans="1:11" ht="3" customHeight="1">
      <c r="B25" s="102"/>
      <c r="C25" s="102"/>
      <c r="D25" s="102"/>
      <c r="E25" s="102"/>
      <c r="F25" s="102"/>
      <c r="G25" s="102"/>
      <c r="H25" s="106"/>
      <c r="I25" s="186"/>
    </row>
    <row r="26" spans="1:11" ht="12" customHeight="1">
      <c r="A26" s="190" t="s">
        <v>20</v>
      </c>
      <c r="B26" s="102">
        <v>915.83836200000007</v>
      </c>
      <c r="C26" s="102">
        <v>375.81487499999997</v>
      </c>
      <c r="D26" s="102">
        <v>882.84819600000003</v>
      </c>
      <c r="E26" s="102">
        <v>147.29582600000001</v>
      </c>
      <c r="F26" s="102">
        <v>233.44022799999999</v>
      </c>
      <c r="G26" s="102">
        <v>3.0059650000000002</v>
      </c>
      <c r="H26" s="106">
        <v>2558.2434520000002</v>
      </c>
      <c r="I26" s="186"/>
    </row>
    <row r="27" spans="1:11" ht="12" customHeight="1">
      <c r="A27" s="183" t="s">
        <v>21</v>
      </c>
      <c r="B27" s="102">
        <v>1060.4487480000003</v>
      </c>
      <c r="C27" s="102">
        <v>464.36616900000007</v>
      </c>
      <c r="D27" s="102">
        <v>808.46744100000001</v>
      </c>
      <c r="E27" s="102">
        <v>127.67202899999999</v>
      </c>
      <c r="F27" s="102">
        <v>165.377185</v>
      </c>
      <c r="G27" s="102">
        <v>3.4282970000000001</v>
      </c>
      <c r="H27" s="106">
        <v>2629.759869</v>
      </c>
      <c r="I27" s="186"/>
    </row>
    <row r="28" spans="1:11" ht="12" customHeight="1">
      <c r="A28" s="190" t="s">
        <v>22</v>
      </c>
      <c r="B28" s="102">
        <v>1451.9260160000001</v>
      </c>
      <c r="C28" s="102">
        <v>307.194818</v>
      </c>
      <c r="D28" s="102">
        <v>929.07224399999996</v>
      </c>
      <c r="E28" s="102">
        <v>72.960605999999999</v>
      </c>
      <c r="F28" s="102">
        <v>839.42058599999996</v>
      </c>
      <c r="G28" s="102">
        <v>3.8177820000000002</v>
      </c>
      <c r="H28" s="106">
        <v>3604.3920520000001</v>
      </c>
      <c r="I28" s="186"/>
    </row>
    <row r="29" spans="1:11" ht="3" customHeight="1">
      <c r="B29" s="102"/>
      <c r="C29" s="102"/>
      <c r="D29" s="102"/>
      <c r="E29" s="102"/>
      <c r="F29" s="102"/>
      <c r="G29" s="102"/>
      <c r="H29" s="106"/>
      <c r="I29" s="186"/>
    </row>
    <row r="30" spans="1:11" ht="12" customHeight="1">
      <c r="A30" s="183" t="s">
        <v>23</v>
      </c>
      <c r="B30" s="102">
        <v>1203.491833</v>
      </c>
      <c r="C30" s="102">
        <v>412.53700500000002</v>
      </c>
      <c r="D30" s="102">
        <v>725.18865099999994</v>
      </c>
      <c r="E30" s="102">
        <v>46.782640000000001</v>
      </c>
      <c r="F30" s="102">
        <v>484.630064</v>
      </c>
      <c r="G30" s="102">
        <v>4.9034420000000001</v>
      </c>
      <c r="H30" s="106">
        <v>2877.5336349999998</v>
      </c>
      <c r="I30" s="191"/>
    </row>
    <row r="31" spans="1:11" ht="12" customHeight="1">
      <c r="A31" s="190" t="s">
        <v>24</v>
      </c>
      <c r="B31" s="102">
        <v>936.76265299999989</v>
      </c>
      <c r="C31" s="102">
        <v>419.64837100000005</v>
      </c>
      <c r="D31" s="102">
        <v>723.54217700000004</v>
      </c>
      <c r="E31" s="102">
        <v>51.141559000000001</v>
      </c>
      <c r="F31" s="102">
        <v>577.49096299999997</v>
      </c>
      <c r="G31" s="102">
        <v>4.2075749999999994</v>
      </c>
      <c r="H31" s="106">
        <v>2712.793298</v>
      </c>
      <c r="I31" s="191"/>
    </row>
    <row r="32" spans="1:11" ht="12" customHeight="1">
      <c r="A32" s="183" t="s">
        <v>153</v>
      </c>
      <c r="B32" s="102">
        <v>850.51551599999993</v>
      </c>
      <c r="C32" s="102">
        <v>491.18903600000004</v>
      </c>
      <c r="D32" s="102">
        <v>594.06683400000009</v>
      </c>
      <c r="E32" s="102">
        <v>61.683588</v>
      </c>
      <c r="F32" s="102">
        <v>1184.405982</v>
      </c>
      <c r="G32" s="102">
        <v>4.3682319999999999</v>
      </c>
      <c r="H32" s="106">
        <v>3186.2291880000002</v>
      </c>
      <c r="I32" s="191"/>
    </row>
    <row r="33" spans="1:55" ht="3" customHeight="1">
      <c r="A33" s="183"/>
      <c r="B33" s="102"/>
      <c r="C33" s="102"/>
      <c r="D33" s="102"/>
      <c r="E33" s="102"/>
      <c r="F33" s="102"/>
      <c r="G33" s="102"/>
      <c r="H33" s="106"/>
      <c r="I33" s="186"/>
    </row>
    <row r="34" spans="1:55" ht="12" customHeight="1">
      <c r="A34" s="192" t="s">
        <v>154</v>
      </c>
      <c r="B34" s="102">
        <v>814.30693900000006</v>
      </c>
      <c r="C34" s="102">
        <v>594.83181999999999</v>
      </c>
      <c r="D34" s="102">
        <v>517.407149</v>
      </c>
      <c r="E34" s="102">
        <v>54.309110999999994</v>
      </c>
      <c r="F34" s="102">
        <v>1168.113742</v>
      </c>
      <c r="G34" s="102">
        <v>9.377578999999999</v>
      </c>
      <c r="H34" s="106">
        <v>3158.3463400000001</v>
      </c>
      <c r="I34" s="191"/>
    </row>
    <row r="35" spans="1:55" ht="12" customHeight="1">
      <c r="A35" s="193" t="s">
        <v>155</v>
      </c>
      <c r="B35" s="102">
        <v>957.6984040000001</v>
      </c>
      <c r="C35" s="102">
        <v>468.24684600000001</v>
      </c>
      <c r="D35" s="102">
        <v>496.15194099999997</v>
      </c>
      <c r="E35" s="102">
        <v>137.47447200000002</v>
      </c>
      <c r="F35" s="102">
        <v>1144.0335630000002</v>
      </c>
      <c r="G35" s="102">
        <v>9.5148539999999997</v>
      </c>
      <c r="H35" s="106">
        <v>3213.1200800000001</v>
      </c>
      <c r="I35" s="191"/>
    </row>
    <row r="36" spans="1:55" ht="12" customHeight="1">
      <c r="A36" s="192" t="s">
        <v>28</v>
      </c>
      <c r="B36" s="102">
        <v>889.95854700000007</v>
      </c>
      <c r="C36" s="102">
        <v>447.33427899999998</v>
      </c>
      <c r="D36" s="102">
        <v>519.42348799999991</v>
      </c>
      <c r="E36" s="102">
        <v>79.748774000000012</v>
      </c>
      <c r="F36" s="102">
        <v>1033.8638270000001</v>
      </c>
      <c r="G36" s="102">
        <v>7.823607</v>
      </c>
      <c r="H36" s="106">
        <v>2978.1525219999999</v>
      </c>
      <c r="I36" s="191"/>
    </row>
    <row r="37" spans="1:55" ht="3" customHeight="1">
      <c r="A37" s="183"/>
      <c r="B37" s="102"/>
      <c r="C37" s="102"/>
      <c r="D37" s="102"/>
      <c r="E37" s="102"/>
      <c r="F37" s="102"/>
      <c r="G37" s="102"/>
      <c r="H37" s="106"/>
      <c r="I37" s="186"/>
    </row>
    <row r="38" spans="1:55" ht="12" customHeight="1">
      <c r="A38" s="193" t="s">
        <v>29</v>
      </c>
      <c r="B38" s="102">
        <v>1054.7581269999998</v>
      </c>
      <c r="C38" s="102">
        <v>364.394137</v>
      </c>
      <c r="D38" s="102">
        <v>500.20348600000005</v>
      </c>
      <c r="E38" s="102">
        <v>76.360304999999997</v>
      </c>
      <c r="F38" s="102">
        <v>1458.772868</v>
      </c>
      <c r="G38" s="102">
        <v>6.162363</v>
      </c>
      <c r="H38" s="106">
        <v>3460.6512859999998</v>
      </c>
      <c r="I38" s="191"/>
      <c r="J38" s="194"/>
    </row>
    <row r="39" spans="1:55" ht="12" customHeight="1">
      <c r="A39" s="192" t="s">
        <v>30</v>
      </c>
      <c r="B39" s="102">
        <v>1416.3944690000001</v>
      </c>
      <c r="C39" s="102">
        <v>575.55667800000003</v>
      </c>
      <c r="D39" s="102">
        <v>512.40463</v>
      </c>
      <c r="E39" s="102">
        <v>104.035276</v>
      </c>
      <c r="F39" s="102">
        <v>1942.718429</v>
      </c>
      <c r="G39" s="102">
        <v>8.9568480000000008</v>
      </c>
      <c r="H39" s="106">
        <v>4560.0663300000006</v>
      </c>
      <c r="I39" s="191"/>
      <c r="J39" s="194"/>
    </row>
    <row r="40" spans="1:55" ht="12" customHeight="1">
      <c r="A40" s="193" t="s">
        <v>31</v>
      </c>
      <c r="B40" s="102">
        <v>1359.5476369999999</v>
      </c>
      <c r="C40" s="102">
        <v>442.60893100000004</v>
      </c>
      <c r="D40" s="102">
        <v>352.77963499999998</v>
      </c>
      <c r="E40" s="102">
        <v>94.73707499999999</v>
      </c>
      <c r="F40" s="102">
        <v>1558.23029</v>
      </c>
      <c r="G40" s="102">
        <v>8.0405610000000003</v>
      </c>
      <c r="H40" s="106">
        <v>3815.944129</v>
      </c>
      <c r="I40" s="191"/>
      <c r="J40" s="194"/>
    </row>
    <row r="41" spans="1:55" ht="3" customHeight="1">
      <c r="A41" s="183"/>
      <c r="B41" s="102"/>
      <c r="C41" s="102"/>
      <c r="D41" s="102"/>
      <c r="E41" s="102"/>
      <c r="F41" s="102"/>
      <c r="G41" s="102"/>
      <c r="H41" s="106"/>
      <c r="I41" s="191"/>
    </row>
    <row r="42" spans="1:55" ht="12" customHeight="1">
      <c r="A42" s="192" t="s">
        <v>32</v>
      </c>
      <c r="B42" s="102">
        <v>1625.3358250000001</v>
      </c>
      <c r="C42" s="102">
        <v>383.34737700000005</v>
      </c>
      <c r="D42" s="102">
        <v>370.50315900000004</v>
      </c>
      <c r="E42" s="102">
        <v>64.795339999999996</v>
      </c>
      <c r="F42" s="102">
        <v>1533.56095</v>
      </c>
      <c r="G42" s="102">
        <v>9.903656999999999</v>
      </c>
      <c r="H42" s="106">
        <v>3987.4463080000005</v>
      </c>
      <c r="I42" s="191"/>
      <c r="J42" s="194"/>
    </row>
    <row r="43" spans="1:55" ht="12" customHeight="1">
      <c r="A43" s="192" t="s">
        <v>33</v>
      </c>
      <c r="B43" s="102">
        <v>1772.4831790000001</v>
      </c>
      <c r="C43" s="102">
        <v>371.293205</v>
      </c>
      <c r="D43" s="102">
        <v>421.28623800000003</v>
      </c>
      <c r="E43" s="102">
        <v>63.859977000000001</v>
      </c>
      <c r="F43" s="102">
        <v>1517.2249220000001</v>
      </c>
      <c r="G43" s="102">
        <v>10.246122000000002</v>
      </c>
      <c r="H43" s="106">
        <v>4156.3936429999994</v>
      </c>
      <c r="I43" s="191"/>
      <c r="J43" s="194"/>
    </row>
    <row r="44" spans="1:55" ht="12" customHeight="1">
      <c r="A44" s="193" t="s">
        <v>34</v>
      </c>
      <c r="B44" s="102">
        <v>1306.4422210000002</v>
      </c>
      <c r="C44" s="102">
        <v>285.05261999999999</v>
      </c>
      <c r="D44" s="102">
        <v>267.45362100000006</v>
      </c>
      <c r="E44" s="102">
        <v>52.221860999999997</v>
      </c>
      <c r="F44" s="102">
        <v>1456.5984229999999</v>
      </c>
      <c r="G44" s="102">
        <v>9.7618099999999988</v>
      </c>
      <c r="H44" s="106">
        <v>3377.5305560000002</v>
      </c>
      <c r="I44" s="191"/>
      <c r="J44" s="194"/>
    </row>
    <row r="45" spans="1:55" ht="6.5" customHeight="1">
      <c r="A45" s="193"/>
      <c r="B45" s="102"/>
      <c r="C45" s="102"/>
      <c r="D45" s="102"/>
      <c r="E45" s="102"/>
      <c r="F45" s="102"/>
      <c r="G45" s="102"/>
      <c r="H45" s="106"/>
      <c r="I45" s="186"/>
    </row>
    <row r="46" spans="1:55" ht="12" customHeight="1">
      <c r="A46" s="192" t="s">
        <v>35</v>
      </c>
      <c r="B46" s="102">
        <v>1440.7123409999999</v>
      </c>
      <c r="C46" s="102">
        <v>265.653031</v>
      </c>
      <c r="D46" s="102">
        <v>365.52885700000002</v>
      </c>
      <c r="E46" s="102">
        <v>95.37967900000001</v>
      </c>
      <c r="F46" s="102">
        <v>1708.3723810000001</v>
      </c>
      <c r="G46" s="102">
        <v>9.0156309999999991</v>
      </c>
      <c r="H46" s="106">
        <v>3884.66192</v>
      </c>
      <c r="I46" s="191"/>
      <c r="J46" s="194"/>
    </row>
    <row r="47" spans="1:55" s="38" customFormat="1" ht="12" customHeight="1">
      <c r="A47" s="192" t="s">
        <v>36</v>
      </c>
      <c r="B47" s="102">
        <v>1434.2150770000001</v>
      </c>
      <c r="C47" s="102">
        <v>247.60740000000001</v>
      </c>
      <c r="D47" s="102">
        <v>249.09272300000001</v>
      </c>
      <c r="E47" s="102">
        <v>83.944647000000003</v>
      </c>
      <c r="F47" s="102">
        <v>1434.827614</v>
      </c>
      <c r="G47" s="102">
        <v>10.772896000000001</v>
      </c>
      <c r="H47" s="106">
        <v>3460.4603570000004</v>
      </c>
      <c r="I47" s="191"/>
      <c r="J47" s="194"/>
      <c r="K47" s="176"/>
      <c r="L47"/>
      <c r="M47"/>
      <c r="N47"/>
      <c r="O47"/>
      <c r="P47"/>
      <c r="Q47"/>
      <c r="R47"/>
      <c r="S47"/>
      <c r="T47"/>
      <c r="U47"/>
      <c r="V47"/>
      <c r="W47"/>
      <c r="X47"/>
      <c r="Y47"/>
      <c r="Z47"/>
      <c r="AA47"/>
      <c r="AB47"/>
      <c r="AC47"/>
      <c r="AD47"/>
      <c r="AE47"/>
      <c r="AF47"/>
      <c r="AG47"/>
      <c r="AH47"/>
      <c r="AI47"/>
      <c r="AJ47"/>
      <c r="AK47"/>
      <c r="AL47"/>
      <c r="AM47"/>
      <c r="AN47"/>
      <c r="AO47"/>
      <c r="AP47"/>
      <c r="AQ47"/>
      <c r="AR47"/>
      <c r="AS47"/>
      <c r="AT47"/>
      <c r="AU47"/>
      <c r="AV47"/>
      <c r="AW47"/>
      <c r="AX47"/>
      <c r="AY47"/>
      <c r="AZ47"/>
      <c r="BA47"/>
      <c r="BB47"/>
      <c r="BC47"/>
    </row>
    <row r="48" spans="1:55" ht="12" customHeight="1">
      <c r="A48" s="192" t="s">
        <v>37</v>
      </c>
      <c r="B48" s="102">
        <v>1578.538685</v>
      </c>
      <c r="C48" s="102">
        <v>350.59538399999997</v>
      </c>
      <c r="D48" s="102">
        <v>259.47801099999998</v>
      </c>
      <c r="E48" s="102">
        <v>41.627803</v>
      </c>
      <c r="F48" s="102">
        <v>1830.30222</v>
      </c>
      <c r="G48" s="102">
        <v>13.375029</v>
      </c>
      <c r="H48" s="106">
        <v>4073.917132</v>
      </c>
      <c r="I48" s="191"/>
      <c r="J48" s="194"/>
    </row>
    <row r="49" spans="1:11" ht="4.25" customHeight="1">
      <c r="A49" s="192"/>
      <c r="B49" s="102"/>
      <c r="C49" s="102"/>
      <c r="D49" s="102"/>
      <c r="E49" s="102"/>
      <c r="F49" s="102"/>
      <c r="G49" s="102"/>
      <c r="H49" s="106"/>
      <c r="I49" s="186"/>
      <c r="J49" s="194"/>
    </row>
    <row r="50" spans="1:11" ht="12" customHeight="1">
      <c r="A50" s="192" t="s">
        <v>38</v>
      </c>
      <c r="B50" s="102">
        <v>1787.492866</v>
      </c>
      <c r="C50" s="102">
        <v>273.31464499999998</v>
      </c>
      <c r="D50" s="102">
        <v>308.42562300000003</v>
      </c>
      <c r="E50" s="102">
        <v>84.988581999999994</v>
      </c>
      <c r="F50" s="102">
        <v>1576.6883780000001</v>
      </c>
      <c r="G50" s="102">
        <v>13.647218000000001</v>
      </c>
      <c r="H50" s="106">
        <v>4044.5573119999999</v>
      </c>
      <c r="I50" s="191"/>
      <c r="J50" s="194"/>
    </row>
    <row r="51" spans="1:11" ht="12" customHeight="1">
      <c r="A51" s="192" t="s">
        <v>39</v>
      </c>
      <c r="B51" s="102">
        <v>1528.4282390000001</v>
      </c>
      <c r="C51" s="102">
        <v>295.90003799999994</v>
      </c>
      <c r="D51" s="102">
        <v>297.62000300000005</v>
      </c>
      <c r="E51" s="102">
        <v>56.032071000000002</v>
      </c>
      <c r="F51" s="102">
        <v>1495.3130679999999</v>
      </c>
      <c r="G51" s="102">
        <v>13.423810999999999</v>
      </c>
      <c r="H51" s="106">
        <v>3686.7172300000007</v>
      </c>
      <c r="I51" s="191"/>
      <c r="J51" s="194"/>
    </row>
    <row r="52" spans="1:11" ht="12" customHeight="1">
      <c r="A52" s="192" t="s">
        <v>40</v>
      </c>
      <c r="B52" s="102">
        <v>1681.057</v>
      </c>
      <c r="C52" s="102">
        <v>274.47649199999995</v>
      </c>
      <c r="D52" s="102">
        <v>305.60866800000002</v>
      </c>
      <c r="E52" s="102">
        <v>56.801627999999994</v>
      </c>
      <c r="F52" s="102">
        <v>1545.761082</v>
      </c>
      <c r="G52" s="102">
        <v>19.594000000000001</v>
      </c>
      <c r="H52" s="106">
        <v>3883.3</v>
      </c>
      <c r="I52" s="191"/>
      <c r="J52" s="194"/>
    </row>
    <row r="53" spans="1:11" ht="5.75" customHeight="1">
      <c r="A53" s="192"/>
      <c r="B53" s="102"/>
      <c r="C53" s="102"/>
      <c r="D53" s="102"/>
      <c r="E53" s="102"/>
      <c r="F53" s="102"/>
      <c r="G53" s="102"/>
      <c r="H53" s="106"/>
      <c r="I53" s="186"/>
    </row>
    <row r="54" spans="1:11" ht="12" customHeight="1">
      <c r="A54" s="192" t="s">
        <v>41</v>
      </c>
      <c r="B54" s="103">
        <v>1591.664</v>
      </c>
      <c r="C54" s="103">
        <v>197.69900000000001</v>
      </c>
      <c r="D54" s="103">
        <v>258.77</v>
      </c>
      <c r="E54" s="103">
        <v>56.84</v>
      </c>
      <c r="F54" s="103">
        <v>1270.924</v>
      </c>
      <c r="G54" s="103">
        <v>19.399999999999999</v>
      </c>
      <c r="H54" s="107">
        <v>3395.297</v>
      </c>
      <c r="I54" s="191"/>
      <c r="J54" s="194"/>
      <c r="K54" s="195"/>
    </row>
    <row r="55" spans="1:11" ht="12" customHeight="1">
      <c r="A55" s="192" t="s">
        <v>42</v>
      </c>
      <c r="B55" s="103">
        <v>1576.3969999999999</v>
      </c>
      <c r="C55" s="103">
        <v>174.16399999999999</v>
      </c>
      <c r="D55" s="103">
        <v>242.17699999999999</v>
      </c>
      <c r="E55" s="103">
        <v>53.357999999999997</v>
      </c>
      <c r="F55" s="103">
        <v>1467.338</v>
      </c>
      <c r="G55" s="103">
        <v>18.129000000000001</v>
      </c>
      <c r="H55" s="107">
        <v>3531.5630000000001</v>
      </c>
      <c r="I55" s="191"/>
      <c r="J55" s="194"/>
      <c r="K55" s="195"/>
    </row>
    <row r="56" spans="1:11" ht="12" customHeight="1">
      <c r="A56" s="192" t="s">
        <v>43</v>
      </c>
      <c r="B56" s="103">
        <v>1399.9159999999999</v>
      </c>
      <c r="C56" s="103">
        <v>197.91800000000001</v>
      </c>
      <c r="D56" s="103">
        <v>184.869</v>
      </c>
      <c r="E56" s="103">
        <v>72.376000000000005</v>
      </c>
      <c r="F56" s="103">
        <v>1764.5219999999999</v>
      </c>
      <c r="G56" s="103">
        <v>18.923999999999999</v>
      </c>
      <c r="H56" s="107">
        <v>3938.5250000000001</v>
      </c>
      <c r="I56" s="191"/>
      <c r="J56" s="194"/>
      <c r="K56" s="195"/>
    </row>
    <row r="57" spans="1:11" ht="4.25" customHeight="1">
      <c r="A57" s="192"/>
      <c r="B57" s="103"/>
      <c r="C57" s="103"/>
      <c r="D57" s="103"/>
      <c r="E57" s="103"/>
      <c r="F57" s="103"/>
      <c r="G57" s="103"/>
      <c r="H57" s="107"/>
      <c r="I57" s="191"/>
      <c r="J57" s="194"/>
      <c r="K57" s="195"/>
    </row>
    <row r="58" spans="1:11" ht="12" customHeight="1">
      <c r="A58" s="192" t="s">
        <v>44</v>
      </c>
      <c r="B58" s="103">
        <v>1770.6279999999999</v>
      </c>
      <c r="C58" s="103">
        <v>253.886</v>
      </c>
      <c r="D58" s="103">
        <v>221.44</v>
      </c>
      <c r="E58" s="103">
        <v>131.99600000000001</v>
      </c>
      <c r="F58" s="103">
        <v>1831</v>
      </c>
      <c r="G58" s="103">
        <v>17.03</v>
      </c>
      <c r="H58" s="107">
        <v>4226</v>
      </c>
      <c r="I58" s="191"/>
      <c r="J58" s="194"/>
      <c r="K58" s="195"/>
    </row>
    <row r="59" spans="1:11" ht="12" customHeight="1">
      <c r="A59" s="192" t="s">
        <v>45</v>
      </c>
      <c r="B59" s="103">
        <v>1449.24</v>
      </c>
      <c r="C59" s="103">
        <v>117.303</v>
      </c>
      <c r="D59" s="103">
        <v>204.22499999999999</v>
      </c>
      <c r="E59" s="103">
        <v>72.971000000000004</v>
      </c>
      <c r="F59" s="103">
        <v>1308.3779999999999</v>
      </c>
      <c r="G59" s="103">
        <v>19.544</v>
      </c>
      <c r="H59" s="107">
        <v>3171.7</v>
      </c>
      <c r="I59" s="191"/>
      <c r="J59" s="194"/>
      <c r="K59" s="195"/>
    </row>
    <row r="60" spans="1:11" ht="12" customHeight="1">
      <c r="A60" s="196" t="s">
        <v>307</v>
      </c>
      <c r="B60" s="104">
        <v>1439.5329999999999</v>
      </c>
      <c r="C60" s="104">
        <v>233.363</v>
      </c>
      <c r="D60" s="104">
        <v>198.047</v>
      </c>
      <c r="E60" s="104">
        <v>63.055999999999997</v>
      </c>
      <c r="F60" s="104">
        <v>1497.982</v>
      </c>
      <c r="G60" s="104">
        <v>17.995000000000001</v>
      </c>
      <c r="H60" s="108">
        <v>3449.9760000000001</v>
      </c>
      <c r="I60" s="191"/>
      <c r="J60" s="194"/>
      <c r="K60" s="195"/>
    </row>
    <row r="61" spans="1:11" s="202" customFormat="1" ht="11.25" customHeight="1">
      <c r="A61" s="197" t="s">
        <v>265</v>
      </c>
      <c r="B61" s="198"/>
      <c r="C61" s="199"/>
      <c r="D61" s="198"/>
      <c r="E61" s="198"/>
      <c r="F61" s="198"/>
      <c r="G61" s="200"/>
      <c r="H61" s="247"/>
      <c r="I61" s="201"/>
      <c r="J61" s="201"/>
      <c r="K61" s="201"/>
    </row>
    <row r="62" spans="1:11" s="202" customFormat="1" ht="11.25" customHeight="1">
      <c r="A62" s="198" t="s">
        <v>266</v>
      </c>
      <c r="B62" s="198"/>
      <c r="C62" s="199"/>
      <c r="D62" s="198"/>
      <c r="E62" s="198"/>
      <c r="F62" s="198"/>
      <c r="G62" s="200"/>
      <c r="H62" s="247"/>
      <c r="I62" s="201"/>
      <c r="J62" s="201"/>
      <c r="K62" s="201"/>
    </row>
    <row r="63" spans="1:11" s="202" customFormat="1" ht="11.25" customHeight="1">
      <c r="A63" s="198" t="s">
        <v>267</v>
      </c>
      <c r="B63" s="198"/>
      <c r="C63" s="198"/>
      <c r="D63" s="198"/>
      <c r="E63" s="198"/>
      <c r="F63" s="198"/>
      <c r="G63" s="200"/>
      <c r="H63" s="247"/>
      <c r="I63" s="201"/>
      <c r="J63" s="201"/>
      <c r="K63" s="201"/>
    </row>
    <row r="64" spans="1:11" s="202" customFormat="1" ht="11.25" customHeight="1">
      <c r="A64" s="198" t="s">
        <v>308</v>
      </c>
      <c r="B64" s="198"/>
      <c r="C64" s="198"/>
      <c r="D64" s="198"/>
      <c r="E64" s="198"/>
      <c r="F64" s="198"/>
      <c r="G64" s="200"/>
      <c r="H64" s="247"/>
      <c r="I64" s="201"/>
      <c r="J64" s="201"/>
      <c r="K64" s="201"/>
    </row>
    <row r="65" spans="1:11" s="202" customFormat="1" ht="11.25" customHeight="1">
      <c r="A65" s="198" t="s">
        <v>268</v>
      </c>
      <c r="B65" s="198"/>
      <c r="C65" s="198"/>
      <c r="D65" s="198"/>
      <c r="E65" s="198"/>
      <c r="F65" s="198"/>
      <c r="G65" s="200"/>
      <c r="H65" s="247"/>
      <c r="I65" s="201"/>
      <c r="J65" s="201"/>
      <c r="K65" s="201"/>
    </row>
    <row r="66" spans="1:11" s="46" customFormat="1">
      <c r="A66" s="105"/>
      <c r="B66" s="198"/>
      <c r="C66" s="198"/>
      <c r="D66" s="198"/>
      <c r="E66" s="198"/>
      <c r="F66" s="198"/>
      <c r="G66" s="200"/>
      <c r="H66" s="247"/>
      <c r="I66" s="201"/>
      <c r="J66" s="203"/>
      <c r="K66" s="203"/>
    </row>
    <row r="67" spans="1:11" s="46" customFormat="1">
      <c r="A67" s="200"/>
      <c r="B67" s="198"/>
      <c r="C67" s="198"/>
      <c r="D67" s="198"/>
      <c r="E67" s="198"/>
      <c r="F67" s="198"/>
      <c r="G67" s="200"/>
      <c r="H67" s="247"/>
      <c r="I67" s="201"/>
      <c r="J67" s="203"/>
      <c r="K67" s="203"/>
    </row>
  </sheetData>
  <pageMargins left="0.7" right="0.7" top="0.75" bottom="0.75" header="0.3" footer="0.3"/>
  <pageSetup orientation="portrait" horizontalDpi="0" verticalDpi="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ABB9CD-1A5E-A342-A542-575C7E9069DD}">
  <dimension ref="A1:G8"/>
  <sheetViews>
    <sheetView workbookViewId="0">
      <selection activeCell="G15" sqref="G15"/>
    </sheetView>
  </sheetViews>
  <sheetFormatPr baseColWidth="10" defaultRowHeight="16"/>
  <cols>
    <col min="2" max="2" width="20" bestFit="1" customWidth="1"/>
    <col min="3" max="3" width="19" bestFit="1" customWidth="1"/>
  </cols>
  <sheetData>
    <row r="1" spans="1:7">
      <c r="B1" t="s">
        <v>243</v>
      </c>
      <c r="C1" t="s">
        <v>244</v>
      </c>
    </row>
    <row r="2" spans="1:7">
      <c r="A2">
        <v>1987</v>
      </c>
      <c r="B2">
        <f t="shared" ref="B2:C3" si="0">(B$5+B$6)/2</f>
        <v>999459500</v>
      </c>
      <c r="C2">
        <f t="shared" si="0"/>
        <v>1560734500</v>
      </c>
    </row>
    <row r="3" spans="1:7">
      <c r="A3">
        <v>1992</v>
      </c>
      <c r="B3">
        <f t="shared" si="0"/>
        <v>999459500</v>
      </c>
      <c r="C3">
        <f t="shared" si="0"/>
        <v>1560734500</v>
      </c>
    </row>
    <row r="4" spans="1:7">
      <c r="A4">
        <v>1997</v>
      </c>
      <c r="B4">
        <f>(B$5+B$6)/2</f>
        <v>999459500</v>
      </c>
      <c r="C4">
        <f>(C$5+C$6)/2</f>
        <v>1560734500</v>
      </c>
    </row>
    <row r="5" spans="1:7">
      <c r="A5">
        <v>2002</v>
      </c>
      <c r="B5">
        <v>1066821000</v>
      </c>
      <c r="C5">
        <v>1636334000</v>
      </c>
      <c r="D5" t="s">
        <v>245</v>
      </c>
    </row>
    <row r="6" spans="1:7">
      <c r="A6">
        <v>2007</v>
      </c>
      <c r="B6">
        <v>932098000</v>
      </c>
      <c r="C6">
        <v>1485135000</v>
      </c>
      <c r="D6" s="98"/>
    </row>
    <row r="7" spans="1:7">
      <c r="A7">
        <v>2012</v>
      </c>
      <c r="B7">
        <v>1750000000</v>
      </c>
      <c r="C7">
        <v>1950000000</v>
      </c>
      <c r="D7" t="s">
        <v>304</v>
      </c>
      <c r="G7" t="s">
        <v>305</v>
      </c>
    </row>
    <row r="8" spans="1:7">
      <c r="A8">
        <v>2017</v>
      </c>
      <c r="B8">
        <v>2650000000</v>
      </c>
      <c r="C8">
        <v>1550000000</v>
      </c>
      <c r="D8" t="s">
        <v>304</v>
      </c>
      <c r="G8" t="s">
        <v>305</v>
      </c>
    </row>
  </sheetData>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03899C-494A-564D-B7A3-257E1DAF7BC0}">
  <dimension ref="A1:L58"/>
  <sheetViews>
    <sheetView workbookViewId="0">
      <selection activeCell="G1" sqref="G1:G1048576"/>
    </sheetView>
  </sheetViews>
  <sheetFormatPr baseColWidth="10" defaultColWidth="5.83203125" defaultRowHeight="16"/>
  <cols>
    <col min="1" max="1" width="7.1640625" customWidth="1"/>
    <col min="3" max="3" width="7.33203125" customWidth="1"/>
    <col min="4" max="4" width="5.5" customWidth="1"/>
    <col min="5" max="5" width="6" customWidth="1"/>
    <col min="7" max="7" width="7.1640625" style="27" customWidth="1"/>
    <col min="8" max="8" width="6.1640625" customWidth="1"/>
    <col min="9" max="9" width="6.83203125" customWidth="1"/>
    <col min="10" max="10" width="5.33203125" customWidth="1"/>
    <col min="11" max="11" width="9.1640625" customWidth="1"/>
    <col min="12" max="12" width="8.5" customWidth="1"/>
  </cols>
  <sheetData>
    <row r="1" spans="1:12">
      <c r="A1" s="204" t="s">
        <v>309</v>
      </c>
      <c r="B1" s="38"/>
      <c r="C1" s="38"/>
      <c r="D1" s="38"/>
      <c r="E1" s="38"/>
      <c r="F1" s="38"/>
      <c r="G1" s="87"/>
      <c r="H1" s="38"/>
      <c r="I1" s="38"/>
      <c r="J1" s="38"/>
      <c r="K1" s="38"/>
      <c r="L1" s="38"/>
    </row>
    <row r="2" spans="1:12">
      <c r="B2" s="205"/>
      <c r="C2" s="206" t="s">
        <v>83</v>
      </c>
      <c r="D2" s="207"/>
      <c r="E2" s="208"/>
      <c r="G2" s="235"/>
      <c r="H2" s="210" t="s">
        <v>84</v>
      </c>
      <c r="I2" s="209"/>
      <c r="J2" s="208"/>
      <c r="K2" s="41" t="s">
        <v>158</v>
      </c>
      <c r="L2" s="211" t="s">
        <v>90</v>
      </c>
    </row>
    <row r="3" spans="1:12">
      <c r="A3" t="s">
        <v>157</v>
      </c>
      <c r="B3" s="211" t="s">
        <v>269</v>
      </c>
      <c r="E3" s="212"/>
      <c r="F3" s="213"/>
      <c r="I3" s="42" t="s">
        <v>270</v>
      </c>
      <c r="J3" s="212"/>
      <c r="K3" s="42" t="s">
        <v>162</v>
      </c>
      <c r="L3" s="214" t="s">
        <v>271</v>
      </c>
    </row>
    <row r="4" spans="1:12">
      <c r="A4" t="s">
        <v>159</v>
      </c>
      <c r="B4" s="214" t="s">
        <v>272</v>
      </c>
      <c r="C4" s="215" t="s">
        <v>87</v>
      </c>
      <c r="D4" s="215" t="s">
        <v>146</v>
      </c>
      <c r="E4" s="216" t="s">
        <v>152</v>
      </c>
      <c r="F4" s="217" t="s">
        <v>165</v>
      </c>
      <c r="G4" s="236" t="s">
        <v>148</v>
      </c>
      <c r="H4" s="42" t="s">
        <v>273</v>
      </c>
      <c r="I4" s="42" t="s">
        <v>274</v>
      </c>
      <c r="J4" s="218" t="s">
        <v>152</v>
      </c>
      <c r="K4" s="42" t="s">
        <v>167</v>
      </c>
      <c r="L4" s="214" t="s">
        <v>275</v>
      </c>
    </row>
    <row r="5" spans="1:12">
      <c r="A5" t="s">
        <v>276</v>
      </c>
      <c r="B5" s="214" t="s">
        <v>151</v>
      </c>
      <c r="C5" s="42"/>
      <c r="D5" s="42"/>
      <c r="E5" s="216"/>
      <c r="F5" s="214"/>
      <c r="G5" s="89"/>
      <c r="H5" s="42"/>
      <c r="I5" s="42" t="s">
        <v>166</v>
      </c>
      <c r="J5" s="216"/>
      <c r="K5" s="42" t="s">
        <v>277</v>
      </c>
      <c r="L5" s="214"/>
    </row>
    <row r="6" spans="1:12">
      <c r="A6" s="38" t="s">
        <v>278</v>
      </c>
      <c r="B6" s="219" t="s">
        <v>151</v>
      </c>
      <c r="C6" s="38"/>
      <c r="D6" s="38" t="s">
        <v>187</v>
      </c>
      <c r="E6" s="220" t="s">
        <v>187</v>
      </c>
      <c r="F6" s="219"/>
      <c r="G6" s="90"/>
      <c r="H6" s="41"/>
      <c r="I6" s="41" t="s">
        <v>279</v>
      </c>
      <c r="J6" s="221"/>
      <c r="K6" s="41" t="s">
        <v>280</v>
      </c>
      <c r="L6" s="219"/>
    </row>
    <row r="7" spans="1:12">
      <c r="C7" s="222"/>
      <c r="D7" s="222"/>
      <c r="E7" s="222"/>
      <c r="F7" s="222" t="s">
        <v>281</v>
      </c>
      <c r="G7" s="237"/>
      <c r="H7" s="222"/>
      <c r="I7" s="222"/>
      <c r="J7" s="222"/>
      <c r="K7" s="42" t="s">
        <v>282</v>
      </c>
      <c r="L7" s="223" t="s">
        <v>283</v>
      </c>
    </row>
    <row r="8" spans="1:12">
      <c r="B8" s="224"/>
      <c r="C8" s="224"/>
      <c r="D8" s="224"/>
      <c r="E8" s="224"/>
      <c r="F8" s="224"/>
      <c r="G8" s="238"/>
      <c r="H8" s="224"/>
      <c r="I8" s="224"/>
      <c r="J8" s="224"/>
      <c r="K8" s="223"/>
      <c r="L8" s="223"/>
    </row>
    <row r="9" spans="1:12">
      <c r="A9" s="46" t="s">
        <v>133</v>
      </c>
      <c r="B9" s="225">
        <v>628</v>
      </c>
      <c r="C9" s="225">
        <f>+'[2]tab 10'!E6</f>
        <v>2309.3270000000002</v>
      </c>
      <c r="D9" s="225">
        <v>401</v>
      </c>
      <c r="E9" s="225">
        <f t="shared" ref="E9:E26" si="0">SUM(B9:D9)</f>
        <v>3338.3270000000002</v>
      </c>
      <c r="F9" s="226">
        <f>1.33*335.528</f>
        <v>446.25224000000003</v>
      </c>
      <c r="G9" s="239">
        <v>503</v>
      </c>
      <c r="H9" s="225">
        <v>1465</v>
      </c>
      <c r="I9" s="227">
        <f t="shared" ref="I9:I45" si="1">+J9-F9-G9-H9</f>
        <v>511.07476000000042</v>
      </c>
      <c r="J9" s="225">
        <f t="shared" ref="J9:J47" si="2">+E9-B10</f>
        <v>2925.3270000000002</v>
      </c>
      <c r="K9" s="228">
        <v>25.1</v>
      </c>
      <c r="L9" s="228">
        <f>+H9*0.7519/229.966</f>
        <v>4.789984171573189</v>
      </c>
    </row>
    <row r="10" spans="1:12">
      <c r="A10" s="46" t="s">
        <v>134</v>
      </c>
      <c r="B10" s="225">
        <v>413</v>
      </c>
      <c r="C10" s="225">
        <f>+'[2]tab 10'!E7</f>
        <v>3981.85</v>
      </c>
      <c r="D10" s="225">
        <v>2</v>
      </c>
      <c r="E10" s="225">
        <f t="shared" si="0"/>
        <v>4396.8500000000004</v>
      </c>
      <c r="F10" s="226">
        <f>1.33*431.48</f>
        <v>573.86840000000007</v>
      </c>
      <c r="G10" s="239">
        <v>576</v>
      </c>
      <c r="H10" s="225">
        <v>1696</v>
      </c>
      <c r="I10" s="227">
        <f t="shared" si="1"/>
        <v>793.98160000000007</v>
      </c>
      <c r="J10" s="225">
        <f t="shared" si="2"/>
        <v>3639.8500000000004</v>
      </c>
      <c r="K10" s="228">
        <v>26.9</v>
      </c>
      <c r="L10" s="228">
        <f>+H10*0.7519/232.188</f>
        <v>5.4921977018622847</v>
      </c>
    </row>
    <row r="11" spans="1:12">
      <c r="A11" s="46" t="s">
        <v>135</v>
      </c>
      <c r="B11" s="225">
        <v>757</v>
      </c>
      <c r="C11" s="225">
        <f>+'[2]tab 10'!E8</f>
        <v>3440.2550000000001</v>
      </c>
      <c r="D11" s="225">
        <v>2</v>
      </c>
      <c r="E11" s="225">
        <f t="shared" si="0"/>
        <v>4199.2550000000001</v>
      </c>
      <c r="F11" s="226">
        <f>1.33*256.436</f>
        <v>341.05987999999996</v>
      </c>
      <c r="G11" s="239">
        <v>681</v>
      </c>
      <c r="H11" s="225">
        <v>1849</v>
      </c>
      <c r="I11" s="227">
        <f t="shared" si="1"/>
        <v>464.19512000000032</v>
      </c>
      <c r="J11" s="225">
        <f t="shared" si="2"/>
        <v>3335.2550000000001</v>
      </c>
      <c r="K11" s="228">
        <v>25.1</v>
      </c>
      <c r="L11" s="228">
        <f>+H11*0.7519/234.307</f>
        <v>5.9335107359148473</v>
      </c>
    </row>
    <row r="12" spans="1:12">
      <c r="A12" s="46" t="s">
        <v>136</v>
      </c>
      <c r="B12" s="225">
        <v>864</v>
      </c>
      <c r="C12" s="225">
        <f>+'[2]tab 10'!E9</f>
        <v>3295.53</v>
      </c>
      <c r="D12" s="225">
        <v>2</v>
      </c>
      <c r="E12" s="225">
        <f t="shared" si="0"/>
        <v>4161.5300000000007</v>
      </c>
      <c r="F12" s="226">
        <f>1.33*291.084</f>
        <v>387.14172000000002</v>
      </c>
      <c r="G12" s="239">
        <v>744</v>
      </c>
      <c r="H12" s="225">
        <v>1856</v>
      </c>
      <c r="I12" s="227">
        <f t="shared" si="1"/>
        <v>563.38828000000058</v>
      </c>
      <c r="J12" s="225">
        <f t="shared" si="2"/>
        <v>3550.5300000000007</v>
      </c>
      <c r="K12" s="228">
        <v>24.7</v>
      </c>
      <c r="L12" s="228">
        <f>+H12*0.7519/236.348</f>
        <v>5.9045407619273274</v>
      </c>
    </row>
    <row r="13" spans="1:12">
      <c r="A13" s="46" t="s">
        <v>137</v>
      </c>
      <c r="B13" s="225">
        <v>611</v>
      </c>
      <c r="C13" s="225">
        <f>+'[2]tab 10'!E10</f>
        <v>4405.9449999999997</v>
      </c>
      <c r="D13" s="225">
        <v>2</v>
      </c>
      <c r="E13" s="225">
        <f t="shared" si="0"/>
        <v>5018.9449999999997</v>
      </c>
      <c r="F13" s="226">
        <f>1.33*470.264</f>
        <v>625.45112000000006</v>
      </c>
      <c r="G13" s="239">
        <v>860</v>
      </c>
      <c r="H13" s="225">
        <v>1911</v>
      </c>
      <c r="I13" s="227">
        <f t="shared" si="1"/>
        <v>198.49387999999954</v>
      </c>
      <c r="J13" s="225">
        <f t="shared" si="2"/>
        <v>3594.9449999999997</v>
      </c>
      <c r="K13" s="228">
        <v>27.9</v>
      </c>
      <c r="L13" s="228">
        <f>+H13*0.7519/238.466</f>
        <v>6.0255168451687036</v>
      </c>
    </row>
    <row r="14" spans="1:12">
      <c r="A14" s="46" t="s">
        <v>138</v>
      </c>
      <c r="B14" s="225">
        <v>1424</v>
      </c>
      <c r="C14" s="225">
        <f>+'[2]tab 10'!E11</f>
        <v>4122.7870000000003</v>
      </c>
      <c r="D14" s="225">
        <v>2</v>
      </c>
      <c r="E14" s="225">
        <f t="shared" si="0"/>
        <v>5548.7870000000003</v>
      </c>
      <c r="F14" s="226">
        <f>1.33*610.897</f>
        <v>812.49301000000014</v>
      </c>
      <c r="G14" s="239">
        <v>1045.7</v>
      </c>
      <c r="H14" s="225">
        <v>2023</v>
      </c>
      <c r="I14" s="227">
        <f t="shared" si="1"/>
        <v>822.5939900000003</v>
      </c>
      <c r="J14" s="225">
        <f t="shared" si="2"/>
        <v>4703.7870000000003</v>
      </c>
      <c r="K14" s="228">
        <v>24.3</v>
      </c>
      <c r="L14" s="228">
        <f>+H14*0.7519/240.651</f>
        <v>6.3207453947833168</v>
      </c>
    </row>
    <row r="15" spans="1:12">
      <c r="A15" s="46" t="s">
        <v>139</v>
      </c>
      <c r="B15" s="225">
        <v>845</v>
      </c>
      <c r="C15" s="225">
        <f>+'[2]tab 10'!E12</f>
        <v>3697.085</v>
      </c>
      <c r="D15" s="225">
        <v>2</v>
      </c>
      <c r="E15" s="225">
        <f t="shared" si="0"/>
        <v>4544.085</v>
      </c>
      <c r="F15" s="226">
        <f>1.33*386.388</f>
        <v>513.89603999999997</v>
      </c>
      <c r="G15" s="239">
        <v>664.86</v>
      </c>
      <c r="H15" s="225">
        <v>2073</v>
      </c>
      <c r="I15" s="227">
        <f t="shared" si="1"/>
        <v>289.32895999999982</v>
      </c>
      <c r="J15" s="225">
        <f t="shared" si="2"/>
        <v>3541.085</v>
      </c>
      <c r="K15" s="228">
        <v>29.2</v>
      </c>
      <c r="L15" s="228">
        <f>+H15*0.7519/242.804</f>
        <v>6.4195346864137326</v>
      </c>
    </row>
    <row r="16" spans="1:12">
      <c r="A16" s="46" t="s">
        <v>140</v>
      </c>
      <c r="B16" s="225">
        <v>1003</v>
      </c>
      <c r="C16" s="225">
        <f>+'[2]tab 10'!E13</f>
        <v>3616.01</v>
      </c>
      <c r="D16" s="225">
        <f>784*1.33*2.2046*0.001</f>
        <v>2.2987805120000004</v>
      </c>
      <c r="E16" s="225">
        <f t="shared" si="0"/>
        <v>4621.3087805120003</v>
      </c>
      <c r="F16" s="226">
        <f>1.33*421.214</f>
        <v>560.21462000000008</v>
      </c>
      <c r="G16" s="239">
        <v>619.6</v>
      </c>
      <c r="H16" s="225">
        <v>2071.14</v>
      </c>
      <c r="I16" s="227">
        <f t="shared" si="1"/>
        <v>537.09616051200055</v>
      </c>
      <c r="J16" s="225">
        <f t="shared" si="2"/>
        <v>3788.0507805120005</v>
      </c>
      <c r="K16" s="228">
        <v>28</v>
      </c>
      <c r="L16" s="228">
        <f>+H16*0.7519/245.021</f>
        <v>6.3557416139841081</v>
      </c>
    </row>
    <row r="17" spans="1:12">
      <c r="A17" s="46" t="s">
        <v>16</v>
      </c>
      <c r="B17" s="225">
        <v>833.25800000000004</v>
      </c>
      <c r="C17" s="225">
        <f>+'[2]tab 10'!E14</f>
        <v>3980.9169999999999</v>
      </c>
      <c r="D17" s="225">
        <f>877*1.33*2.2046*0.001</f>
        <v>2.5714674860000004</v>
      </c>
      <c r="E17" s="225">
        <f t="shared" si="0"/>
        <v>4816.7464674860003</v>
      </c>
      <c r="F17" s="226">
        <f>1.33*612.2</f>
        <v>814.22600000000011</v>
      </c>
      <c r="G17" s="239">
        <v>689.4</v>
      </c>
      <c r="H17" s="225">
        <v>2254.6909999999998</v>
      </c>
      <c r="I17" s="227">
        <f t="shared" si="1"/>
        <v>215.67846748600005</v>
      </c>
      <c r="J17" s="225">
        <f t="shared" si="2"/>
        <v>3973.9954674860001</v>
      </c>
      <c r="K17" s="228">
        <v>27.9</v>
      </c>
      <c r="L17" s="228">
        <f>+H17*0.7519/247.342</f>
        <v>6.8540812433796114</v>
      </c>
    </row>
    <row r="18" spans="1:12">
      <c r="A18" s="46" t="s">
        <v>17</v>
      </c>
      <c r="B18" s="225">
        <v>842.75099999999998</v>
      </c>
      <c r="C18" s="225">
        <f>+'[2]tab 10'!E15</f>
        <v>3989.9949999999999</v>
      </c>
      <c r="D18" s="225">
        <f>1432*1.33*2.2046*0.001</f>
        <v>4.1987929760000009</v>
      </c>
      <c r="E18" s="225">
        <f t="shared" si="0"/>
        <v>4836.9447929759999</v>
      </c>
      <c r="F18" s="226">
        <f>1.33*469.351</f>
        <v>624.23683000000005</v>
      </c>
      <c r="G18" s="239">
        <v>990.46</v>
      </c>
      <c r="H18" s="225">
        <v>2312.4380000000001</v>
      </c>
      <c r="I18" s="227">
        <f t="shared" si="1"/>
        <v>208.80996297599995</v>
      </c>
      <c r="J18" s="225">
        <f t="shared" si="2"/>
        <v>4135.9447929759999</v>
      </c>
      <c r="K18" s="228">
        <v>28</v>
      </c>
      <c r="L18" s="228">
        <f>+H18*0.7519/250.132</f>
        <v>6.9512182855452318</v>
      </c>
    </row>
    <row r="19" spans="1:12">
      <c r="A19" s="46" t="s">
        <v>18</v>
      </c>
      <c r="B19" s="225">
        <v>701</v>
      </c>
      <c r="C19" s="225">
        <f>+'[2]tab 10'!E16</f>
        <v>3603.65</v>
      </c>
      <c r="D19" s="225">
        <f>9335*1.33*2.2046*0.001</f>
        <v>27.371321530000007</v>
      </c>
      <c r="E19" s="225">
        <f t="shared" si="0"/>
        <v>4332.02132153</v>
      </c>
      <c r="F19" s="226">
        <f>1.33*517.712</f>
        <v>688.55696</v>
      </c>
      <c r="G19" s="239">
        <v>654.9</v>
      </c>
      <c r="H19" s="225">
        <v>2019.9680000000001</v>
      </c>
      <c r="I19" s="227">
        <f t="shared" si="1"/>
        <v>285.13636152999993</v>
      </c>
      <c r="J19" s="225">
        <f t="shared" si="2"/>
        <v>3648.56132153</v>
      </c>
      <c r="K19" s="228">
        <v>34.700000000000003</v>
      </c>
      <c r="L19" s="228">
        <f>+H19*0.7519/253.493</f>
        <v>5.9915419329133348</v>
      </c>
    </row>
    <row r="20" spans="1:12">
      <c r="A20" s="46" t="s">
        <v>19</v>
      </c>
      <c r="B20" s="225">
        <v>683.46</v>
      </c>
      <c r="C20" s="225">
        <f>+'[2]tab 10'!E17</f>
        <v>4926.57</v>
      </c>
      <c r="D20" s="225">
        <f>1809*1.33*2.2046*0.001</f>
        <v>5.3042014620000009</v>
      </c>
      <c r="E20" s="225">
        <f t="shared" si="0"/>
        <v>5615.3342014619993</v>
      </c>
      <c r="F20" s="226">
        <f>1.33*828.986</f>
        <v>1102.5513800000001</v>
      </c>
      <c r="G20" s="239">
        <v>1001.8</v>
      </c>
      <c r="H20" s="225">
        <v>2207.2049999999999</v>
      </c>
      <c r="I20" s="227">
        <f t="shared" si="1"/>
        <v>248.77782146199934</v>
      </c>
      <c r="J20" s="225">
        <f t="shared" si="2"/>
        <v>4560.3342014619993</v>
      </c>
      <c r="K20" s="228">
        <v>28.3</v>
      </c>
      <c r="L20" s="228">
        <f>+H20*0.7519/256.894</f>
        <v>6.4602421212640238</v>
      </c>
    </row>
    <row r="21" spans="1:12">
      <c r="A21" s="46" t="s">
        <v>20</v>
      </c>
      <c r="B21" s="225">
        <v>1055</v>
      </c>
      <c r="C21" s="225">
        <f>+'[2]tab 10'!E18</f>
        <v>4284.4160000000002</v>
      </c>
      <c r="D21" s="225">
        <f>645*1.33*2.2046*0.001</f>
        <v>1.89121611</v>
      </c>
      <c r="E21" s="225">
        <f t="shared" si="0"/>
        <v>5341.3072161099999</v>
      </c>
      <c r="F21" s="226">
        <f>1.33*669.942</f>
        <v>891.02286000000004</v>
      </c>
      <c r="G21" s="239">
        <v>951</v>
      </c>
      <c r="H21" s="225">
        <v>2121.8910000000001</v>
      </c>
      <c r="I21" s="227">
        <f t="shared" si="1"/>
        <v>27.297356109999782</v>
      </c>
      <c r="J21" s="225">
        <f t="shared" si="2"/>
        <v>3991.2112161099999</v>
      </c>
      <c r="K21" s="228">
        <v>30</v>
      </c>
      <c r="L21" s="228">
        <f>+H21*0.7519/260.255</f>
        <v>6.1303331075291547</v>
      </c>
    </row>
    <row r="22" spans="1:12">
      <c r="A22" s="46" t="s">
        <v>21</v>
      </c>
      <c r="B22" s="225">
        <v>1350.096</v>
      </c>
      <c r="C22" s="225">
        <f>+'[2]tab 10'!E19</f>
        <v>3392.415</v>
      </c>
      <c r="D22" s="225">
        <f>1.42*1.33</f>
        <v>1.8886000000000001</v>
      </c>
      <c r="E22" s="225">
        <f t="shared" si="0"/>
        <v>4744.3996000000006</v>
      </c>
      <c r="F22" s="226">
        <f>1.33*503.674</f>
        <v>669.88642000000004</v>
      </c>
      <c r="G22" s="239">
        <v>532.54999999999995</v>
      </c>
      <c r="H22" s="225">
        <v>2088.0729999999999</v>
      </c>
      <c r="I22" s="227">
        <f t="shared" si="1"/>
        <v>392.92518000000064</v>
      </c>
      <c r="J22" s="225">
        <f t="shared" si="2"/>
        <v>3683.4346000000005</v>
      </c>
      <c r="K22" s="228">
        <v>30.4</v>
      </c>
      <c r="L22" s="228">
        <f>+H22*0.7519/263.436</f>
        <v>5.9597856356002969</v>
      </c>
    </row>
    <row r="23" spans="1:12">
      <c r="A23" s="46" t="s">
        <v>22</v>
      </c>
      <c r="B23" s="225">
        <v>1060.9649999999999</v>
      </c>
      <c r="C23" s="225">
        <f>+'[2]tab 10'!E20</f>
        <v>4247.4549999999999</v>
      </c>
      <c r="D23" s="225">
        <f>55.385*1.33</f>
        <v>73.662050000000008</v>
      </c>
      <c r="E23" s="225">
        <f t="shared" si="0"/>
        <v>5382.08205</v>
      </c>
      <c r="F23" s="226">
        <f>1.33*738.221</f>
        <v>981.83393000000001</v>
      </c>
      <c r="G23" s="239">
        <v>878.1</v>
      </c>
      <c r="H23" s="225">
        <v>2009.231</v>
      </c>
      <c r="I23" s="227">
        <f t="shared" si="1"/>
        <v>315.09012000000007</v>
      </c>
      <c r="J23" s="225">
        <f t="shared" si="2"/>
        <v>4184.2550499999998</v>
      </c>
      <c r="K23" s="228">
        <v>28.9</v>
      </c>
      <c r="L23" s="228">
        <f>+H23*0.7519/266.557</f>
        <v>5.6676087624785696</v>
      </c>
    </row>
    <row r="24" spans="1:12">
      <c r="A24" s="46" t="s">
        <v>23</v>
      </c>
      <c r="B24" s="225">
        <v>1197.827</v>
      </c>
      <c r="C24" s="225">
        <f>+'[2]tab 10'!E21</f>
        <v>3461.4749999999999</v>
      </c>
      <c r="D24" s="225">
        <f>114.788*1.33</f>
        <v>152.66803999999999</v>
      </c>
      <c r="E24" s="225">
        <f t="shared" si="0"/>
        <v>4811.9700399999992</v>
      </c>
      <c r="F24" s="226">
        <f>1.33*751.281</f>
        <v>999.20372999999995</v>
      </c>
      <c r="G24" s="239">
        <v>826</v>
      </c>
      <c r="H24" s="225">
        <v>1992.854</v>
      </c>
      <c r="I24" s="227">
        <f t="shared" si="1"/>
        <v>236.37030999999956</v>
      </c>
      <c r="J24" s="225">
        <f t="shared" si="2"/>
        <v>4054.4280399999993</v>
      </c>
      <c r="K24" s="228">
        <v>29.3</v>
      </c>
      <c r="L24" s="228">
        <f>+H24*0.7519/269.667</f>
        <v>5.5565824613319403</v>
      </c>
    </row>
    <row r="25" spans="1:12">
      <c r="A25" s="46" t="s">
        <v>24</v>
      </c>
      <c r="B25" s="225">
        <v>757.54200000000003</v>
      </c>
      <c r="C25" s="225">
        <f>+'[2]tab 10'!E22</f>
        <v>3661.2049999999999</v>
      </c>
      <c r="D25" s="225">
        <v>126.74235</v>
      </c>
      <c r="E25" s="225">
        <f>SUM(B25:D25)</f>
        <v>4545.4893500000007</v>
      </c>
      <c r="F25" s="226">
        <f>1.33*520.413</f>
        <v>692.14929000000006</v>
      </c>
      <c r="G25" s="239">
        <v>668.48</v>
      </c>
      <c r="H25" s="225">
        <v>2029.4690000000001</v>
      </c>
      <c r="I25" s="227">
        <f t="shared" si="1"/>
        <v>360.76706000000058</v>
      </c>
      <c r="J25" s="225">
        <f t="shared" si="2"/>
        <v>3750.8653500000009</v>
      </c>
      <c r="K25" s="228">
        <v>28.1</v>
      </c>
      <c r="L25" s="228">
        <f>+H25*0.7519/272.912</f>
        <v>5.5913911484287979</v>
      </c>
    </row>
    <row r="26" spans="1:12">
      <c r="A26" s="46" t="s">
        <v>25</v>
      </c>
      <c r="B26" s="225">
        <v>794.62400000000002</v>
      </c>
      <c r="C26" s="225">
        <f>+'[2]tab 10'!E23</f>
        <v>3539.38</v>
      </c>
      <c r="D26" s="225">
        <v>141.29300000000001</v>
      </c>
      <c r="E26" s="225">
        <f t="shared" si="0"/>
        <v>4475.2969999999996</v>
      </c>
      <c r="F26" s="226">
        <f>1.33*409.249</f>
        <v>544.30117000000007</v>
      </c>
      <c r="G26" s="239">
        <v>681.9</v>
      </c>
      <c r="H26" s="225">
        <v>2098.5039999999999</v>
      </c>
      <c r="I26" s="227">
        <f t="shared" si="1"/>
        <v>302.10682999999926</v>
      </c>
      <c r="J26" s="225">
        <f t="shared" si="2"/>
        <v>3626.8119999999994</v>
      </c>
      <c r="K26" s="228">
        <v>28.3</v>
      </c>
      <c r="L26" s="228">
        <f>+H26*0.7519/276.115</f>
        <v>5.7145216942216104</v>
      </c>
    </row>
    <row r="27" spans="1:12">
      <c r="A27" s="46" t="s">
        <v>26</v>
      </c>
      <c r="B27" s="225">
        <v>848.48500000000001</v>
      </c>
      <c r="C27" s="225">
        <f>+'[2]tab 10'!E24</f>
        <v>3963.44</v>
      </c>
      <c r="D27" s="225">
        <f>52.909*1.333*2.204622</f>
        <v>155.48691241553402</v>
      </c>
      <c r="E27" s="225">
        <f t="shared" ref="E27:E33" si="3">SUM(B27:D27)</f>
        <v>4967.4119124155341</v>
      </c>
      <c r="F27" s="226">
        <f>1.33*345.825</f>
        <v>459.94725</v>
      </c>
      <c r="G27" s="239">
        <v>562.1</v>
      </c>
      <c r="H27" s="225">
        <v>2152.8000000000002</v>
      </c>
      <c r="I27" s="227">
        <f t="shared" si="1"/>
        <v>400.83966241553389</v>
      </c>
      <c r="J27" s="225">
        <f t="shared" si="2"/>
        <v>3575.6869124155342</v>
      </c>
      <c r="K27" s="228">
        <v>28.4</v>
      </c>
      <c r="L27" s="228">
        <f>+H27*0.7519/279.295</f>
        <v>5.7956294240856447</v>
      </c>
    </row>
    <row r="28" spans="1:12">
      <c r="A28" s="46" t="s">
        <v>27</v>
      </c>
      <c r="B28" s="225">
        <v>1391.7249999999999</v>
      </c>
      <c r="C28" s="225">
        <f>+'[2]tab 10'!E25</f>
        <v>3829.49</v>
      </c>
      <c r="D28" s="225">
        <f>61.3085*1.333*2.204622</f>
        <v>180.17103649337102</v>
      </c>
      <c r="E28" s="225">
        <f t="shared" si="3"/>
        <v>5401.3860364933707</v>
      </c>
      <c r="F28" s="226">
        <f>1.33*536.164</f>
        <v>713.09811999999999</v>
      </c>
      <c r="G28" s="239">
        <v>742.6</v>
      </c>
      <c r="H28" s="225">
        <v>2233.3944012000002</v>
      </c>
      <c r="I28" s="227">
        <f t="shared" si="1"/>
        <v>478.87751529337038</v>
      </c>
      <c r="J28" s="225">
        <f t="shared" si="2"/>
        <v>4167.9700364933706</v>
      </c>
      <c r="K28" s="228">
        <v>25.4</v>
      </c>
      <c r="L28" s="228">
        <f>+H28*0.7519/282.385</f>
        <v>5.9468075509049001</v>
      </c>
    </row>
    <row r="29" spans="1:12">
      <c r="A29" s="46" t="s">
        <v>310</v>
      </c>
      <c r="B29" s="225">
        <v>1233.4159999999999</v>
      </c>
      <c r="C29" s="225">
        <f>+'[2]tab 10'!E26</f>
        <v>3265.5050000000001</v>
      </c>
      <c r="D29" s="225">
        <f>73.373*1.333*2.204622</f>
        <v>215.62572009799803</v>
      </c>
      <c r="E29" s="225">
        <f t="shared" si="3"/>
        <v>4714.5467200979983</v>
      </c>
      <c r="F29" s="226">
        <f>1.33*411.558</f>
        <v>547.37214000000006</v>
      </c>
      <c r="G29" s="239">
        <v>527.20000000000005</v>
      </c>
      <c r="H29" s="225">
        <v>2183.6</v>
      </c>
      <c r="I29" s="227">
        <f t="shared" si="1"/>
        <v>359.8045800979985</v>
      </c>
      <c r="J29" s="225">
        <f t="shared" si="2"/>
        <v>3617.9767200979986</v>
      </c>
      <c r="K29" s="228">
        <v>27.4</v>
      </c>
      <c r="L29" s="228">
        <f>+H29*0.7519/285.309</f>
        <v>5.7546338881703685</v>
      </c>
    </row>
    <row r="30" spans="1:12">
      <c r="A30" s="46" t="s">
        <v>29</v>
      </c>
      <c r="B30" s="225">
        <v>1096.57</v>
      </c>
      <c r="C30" s="225">
        <f>+'[2]tab 10'!E27</f>
        <v>4276.7039999999997</v>
      </c>
      <c r="D30" s="225">
        <f>1.333*2.204622*69.0115</f>
        <v>202.808313446949</v>
      </c>
      <c r="E30" s="225">
        <f t="shared" si="3"/>
        <v>5576.0823134469483</v>
      </c>
      <c r="F30" s="226">
        <f>1.33*521.173</f>
        <v>693.16009000000008</v>
      </c>
      <c r="G30" s="239">
        <v>699.7</v>
      </c>
      <c r="H30" s="225">
        <v>2225.1</v>
      </c>
      <c r="I30" s="227">
        <f t="shared" si="1"/>
        <v>481.71322344694863</v>
      </c>
      <c r="J30" s="225">
        <f t="shared" si="2"/>
        <v>4099.6733134469487</v>
      </c>
      <c r="K30" s="228">
        <v>23.4</v>
      </c>
      <c r="L30" s="228">
        <f>+H30*0.7519/288.105</f>
        <v>5.8070935596397142</v>
      </c>
    </row>
    <row r="31" spans="1:12">
      <c r="A31" s="46" t="s">
        <v>30</v>
      </c>
      <c r="B31" s="225">
        <v>1476.4090000000001</v>
      </c>
      <c r="C31" s="225">
        <f>+'[2]tab 10'!E28</f>
        <v>3321.04</v>
      </c>
      <c r="D31" s="225">
        <f>1.333*2.204622*25.6475</f>
        <v>75.371875979085004</v>
      </c>
      <c r="E31" s="225">
        <f t="shared" si="3"/>
        <v>4872.8208759790859</v>
      </c>
      <c r="F31" s="226">
        <f>1.33*644.194</f>
        <v>856.77801999999997</v>
      </c>
      <c r="G31" s="239">
        <v>489.9</v>
      </c>
      <c r="H31" s="225">
        <v>2241.1999999999998</v>
      </c>
      <c r="I31" s="227">
        <f t="shared" si="1"/>
        <v>409.81985597908579</v>
      </c>
      <c r="J31" s="225">
        <f t="shared" si="2"/>
        <v>3997.6978759790859</v>
      </c>
      <c r="K31" s="228">
        <v>18.239999999999998</v>
      </c>
      <c r="L31" s="228">
        <f>+H31*0.7519/290.82</f>
        <v>5.7945061550099712</v>
      </c>
    </row>
    <row r="32" spans="1:12">
      <c r="A32" s="46" t="s">
        <v>311</v>
      </c>
      <c r="B32" s="226">
        <v>875.12300000000005</v>
      </c>
      <c r="C32" s="225">
        <f>+'[2]tab 10'!E29</f>
        <v>4144.1499999999996</v>
      </c>
      <c r="D32" s="225">
        <f>1.333*2.204622*12.9604</f>
        <v>38.0875196974104</v>
      </c>
      <c r="E32" s="226">
        <f t="shared" si="3"/>
        <v>5057.3605196974095</v>
      </c>
      <c r="F32" s="226">
        <f>1.33*402.958</f>
        <v>535.93414000000007</v>
      </c>
      <c r="G32" s="240">
        <v>515.9</v>
      </c>
      <c r="H32" s="226">
        <v>2455.9</v>
      </c>
      <c r="I32" s="229">
        <f t="shared" si="1"/>
        <v>428.71037969740883</v>
      </c>
      <c r="J32" s="226">
        <f t="shared" si="2"/>
        <v>3936.4445196974093</v>
      </c>
      <c r="K32" s="228">
        <v>19.25</v>
      </c>
      <c r="L32" s="228">
        <f>+H32*0.7519/293.463</f>
        <v>6.2924157730276047</v>
      </c>
    </row>
    <row r="33" spans="1:12">
      <c r="A33" s="46" t="s">
        <v>32</v>
      </c>
      <c r="B33" s="226">
        <v>1120.9159999999999</v>
      </c>
      <c r="C33" s="225">
        <f>+'[2]tab 10'!E30</f>
        <v>4288.2</v>
      </c>
      <c r="D33" s="225">
        <f>1.333*2.204622*12.5438</f>
        <v>36.863231812318801</v>
      </c>
      <c r="E33" s="226">
        <f t="shared" si="3"/>
        <v>5445.9792318123191</v>
      </c>
      <c r="F33" s="226">
        <f>1.33*295.769</f>
        <v>393.37277</v>
      </c>
      <c r="G33" s="240">
        <v>491</v>
      </c>
      <c r="H33" s="226">
        <v>2600</v>
      </c>
      <c r="I33" s="229">
        <f t="shared" si="1"/>
        <v>547.03146181231932</v>
      </c>
      <c r="J33" s="226">
        <f t="shared" si="2"/>
        <v>4031.4042318123193</v>
      </c>
      <c r="K33" s="228">
        <v>18.899999999999999</v>
      </c>
      <c r="L33" s="228">
        <f>+H33*0.7519/296.186</f>
        <v>6.600379491265624</v>
      </c>
    </row>
    <row r="34" spans="1:12">
      <c r="A34" s="46" t="s">
        <v>33</v>
      </c>
      <c r="B34" s="226">
        <v>1414.575</v>
      </c>
      <c r="C34" s="225">
        <f>+'[2]tab 10'!E31</f>
        <v>4869.8599999999997</v>
      </c>
      <c r="D34" s="225">
        <f>1.333*2.204622*10.9229</f>
        <v>32.0997939031854</v>
      </c>
      <c r="E34" s="226">
        <f t="shared" ref="E34:E45" si="4">SUM(B34:D34)</f>
        <v>6316.5347939031853</v>
      </c>
      <c r="F34" s="226">
        <f>1.33*407.817</f>
        <v>542.39661000000001</v>
      </c>
      <c r="G34" s="240">
        <v>491</v>
      </c>
      <c r="H34" s="226">
        <v>2616</v>
      </c>
      <c r="I34" s="229">
        <f t="shared" si="1"/>
        <v>500.50818390318545</v>
      </c>
      <c r="J34" s="226">
        <f t="shared" si="2"/>
        <v>4149.9047939031852</v>
      </c>
      <c r="K34" s="228">
        <v>17.3</v>
      </c>
      <c r="L34" s="228">
        <f>+H34*0.7519/298.996</f>
        <v>6.5785843288873433</v>
      </c>
    </row>
    <row r="35" spans="1:12">
      <c r="A35" s="46" t="s">
        <v>34</v>
      </c>
      <c r="B35" s="226">
        <v>2166.63</v>
      </c>
      <c r="C35" s="225">
        <f>+'[2]tab 10'!E32</f>
        <v>3464.25</v>
      </c>
      <c r="D35" s="226">
        <f>1.333*2.204622*20.7441</f>
        <v>60.961954673856603</v>
      </c>
      <c r="E35" s="226">
        <f t="shared" si="4"/>
        <v>5691.8419546738569</v>
      </c>
      <c r="F35" s="226">
        <f>1.33*385.375</f>
        <v>512.54875000000004</v>
      </c>
      <c r="G35" s="240">
        <f>1.333*2.204622*(207.4113-0.25*8.8906)</f>
        <v>603.00042811642004</v>
      </c>
      <c r="H35" s="226">
        <v>2585.4</v>
      </c>
      <c r="I35" s="229">
        <f t="shared" si="1"/>
        <v>470.77177655743662</v>
      </c>
      <c r="J35" s="226">
        <f t="shared" si="2"/>
        <v>4171.7209546738568</v>
      </c>
      <c r="K35" s="228">
        <v>17.7</v>
      </c>
      <c r="L35" s="228">
        <f>+H35*0.7519/302.004</f>
        <v>6.4368758691937851</v>
      </c>
    </row>
    <row r="36" spans="1:12">
      <c r="A36" s="46" t="s">
        <v>312</v>
      </c>
      <c r="B36" s="226">
        <v>1520.1210000000001</v>
      </c>
      <c r="C36" s="225">
        <f>+'[2]tab 10'!E33</f>
        <v>3672.25</v>
      </c>
      <c r="D36" s="226">
        <f>1.333*2.204622*24.8198</f>
        <v>72.939463395094805</v>
      </c>
      <c r="E36" s="226">
        <f t="shared" si="4"/>
        <v>5265.3104633950952</v>
      </c>
      <c r="F36" s="226">
        <f>1.33*372.98</f>
        <v>496.06340000000006</v>
      </c>
      <c r="G36" s="240">
        <f>1.333*2.204622*(261.6465-0.25*25.5479)</f>
        <v>750.14676911122513</v>
      </c>
      <c r="H36" s="226">
        <v>2516.5300000000002</v>
      </c>
      <c r="I36" s="229">
        <f t="shared" si="1"/>
        <v>471.26329428386998</v>
      </c>
      <c r="J36" s="226">
        <f t="shared" si="2"/>
        <v>4234.0034633950954</v>
      </c>
      <c r="K36" s="228">
        <v>20.5</v>
      </c>
      <c r="L36" s="228">
        <f>+H36*0.7519/304.798</f>
        <v>6.2079767813437101</v>
      </c>
    </row>
    <row r="37" spans="1:12">
      <c r="A37" s="46" t="s">
        <v>36</v>
      </c>
      <c r="B37" s="226">
        <v>1031.307</v>
      </c>
      <c r="C37" s="225">
        <f>+'[2]tab 10'!E34</f>
        <v>5162.3999999999996</v>
      </c>
      <c r="D37" s="226">
        <f>1.333*2.204622*29.1919</f>
        <v>85.788020914079411</v>
      </c>
      <c r="E37" s="226">
        <f t="shared" si="4"/>
        <v>6279.4950209140789</v>
      </c>
      <c r="F37" s="226">
        <f>1.33*334.296</f>
        <v>444.61367999999999</v>
      </c>
      <c r="G37" s="240">
        <f>1.333*2.204622*(254.8416-0.25*30.432)</f>
        <v>726.5604927210336</v>
      </c>
      <c r="H37" s="226">
        <v>2571.317</v>
      </c>
      <c r="I37" s="229">
        <f t="shared" si="1"/>
        <v>406.90384819304472</v>
      </c>
      <c r="J37" s="226">
        <f t="shared" si="2"/>
        <v>4149.3950209140785</v>
      </c>
      <c r="K37" s="228">
        <v>23</v>
      </c>
      <c r="L37" s="228">
        <f>+H37*0.7519/307.439</f>
        <v>6.2886401930138982</v>
      </c>
    </row>
    <row r="38" spans="1:12">
      <c r="A38" s="201" t="s">
        <v>37</v>
      </c>
      <c r="B38" s="226">
        <v>2130.1</v>
      </c>
      <c r="C38" s="225">
        <f>+'[2]tab 10'!E35</f>
        <v>3691.65</v>
      </c>
      <c r="D38" s="226">
        <f>1.333*2.204622*24.4907</f>
        <v>71.972317108528202</v>
      </c>
      <c r="E38" s="226">
        <f t="shared" si="4"/>
        <v>5893.7223171085279</v>
      </c>
      <c r="F38" s="226">
        <f>1.33*326.779</f>
        <v>434.61607000000004</v>
      </c>
      <c r="G38" s="240">
        <f>1.333*2.204622*(207.8168-0.25*25.1427)</f>
        <v>592.25183582904674</v>
      </c>
      <c r="H38" s="226">
        <v>2674.875</v>
      </c>
      <c r="I38" s="229">
        <f t="shared" si="1"/>
        <v>363.23141127948111</v>
      </c>
      <c r="J38" s="226">
        <f t="shared" si="2"/>
        <v>4064.9743171085279</v>
      </c>
      <c r="K38" s="228">
        <v>21.7</v>
      </c>
      <c r="L38" s="228">
        <f>+H38*0.7519/309.348193</f>
        <v>6.5015363205952204</v>
      </c>
    </row>
    <row r="39" spans="1:12">
      <c r="A39" s="201" t="s">
        <v>38</v>
      </c>
      <c r="B39" s="226">
        <v>1828.748</v>
      </c>
      <c r="C39" s="225">
        <f>+'[2]tab 10'!E36</f>
        <v>4156.84</v>
      </c>
      <c r="D39" s="226">
        <f>1.333*2.204622*21.9793</f>
        <v>64.591912416691798</v>
      </c>
      <c r="E39" s="226">
        <f t="shared" si="4"/>
        <v>6050.1799124166919</v>
      </c>
      <c r="F39" s="226">
        <f>1.33*441.017</f>
        <v>586.55261000000007</v>
      </c>
      <c r="G39" s="240">
        <f>1.3333*2.204622*(215.1149-0.25*35.6944)</f>
        <v>606.08334912226042</v>
      </c>
      <c r="H39" s="226">
        <v>2839.9</v>
      </c>
      <c r="I39" s="229">
        <f t="shared" si="1"/>
        <v>501.70495329443065</v>
      </c>
      <c r="J39" s="226">
        <f t="shared" si="2"/>
        <v>4534.2409124166916</v>
      </c>
      <c r="K39" s="228">
        <v>22.5</v>
      </c>
      <c r="L39" s="228">
        <f>+H39*0.7519/311.663358</f>
        <v>6.8513694510087388</v>
      </c>
    </row>
    <row r="40" spans="1:12">
      <c r="A40" s="201" t="s">
        <v>313</v>
      </c>
      <c r="B40" s="226">
        <v>1515.9390000000001</v>
      </c>
      <c r="C40" s="225">
        <f>+'[2]tab 10'!E37</f>
        <v>3658.59</v>
      </c>
      <c r="D40" s="226">
        <f>1.333*2.204622*86.3958</f>
        <v>253.8966184896708</v>
      </c>
      <c r="E40" s="226">
        <f t="shared" si="4"/>
        <v>5428.4256184896713</v>
      </c>
      <c r="F40" s="226">
        <f>1.333*453.835</f>
        <v>604.96205499999996</v>
      </c>
      <c r="G40" s="240">
        <f>1.3333*2.204622*(193.39119-0.25*(16.8492+13.4595))</f>
        <v>546.18589884759399</v>
      </c>
      <c r="H40" s="226">
        <v>2805</v>
      </c>
      <c r="I40" s="229">
        <f t="shared" si="1"/>
        <v>468.94666464207694</v>
      </c>
      <c r="J40" s="226">
        <f t="shared" si="2"/>
        <v>4425.0946184896711</v>
      </c>
      <c r="K40" s="228">
        <v>31.8</v>
      </c>
      <c r="L40" s="228">
        <f>+H40*0.7519/313.998379</f>
        <v>6.7168483694624417</v>
      </c>
    </row>
    <row r="41" spans="1:12">
      <c r="A41" s="201" t="s">
        <v>40</v>
      </c>
      <c r="B41" s="226">
        <v>1003.331</v>
      </c>
      <c r="C41" s="225">
        <f>+'[2]tab 10'!E38</f>
        <v>6753.88</v>
      </c>
      <c r="D41" s="226">
        <f>1.333*2.204622*40.4468</f>
        <v>118.86348351109682</v>
      </c>
      <c r="E41" s="226">
        <f t="shared" si="4"/>
        <v>7876.0744835110972</v>
      </c>
      <c r="F41" s="226">
        <f>1.333*493.205</f>
        <v>657.44226499999991</v>
      </c>
      <c r="G41" s="240">
        <f>1.3333*2.204622*(428.7709-0.25*(88.4582))</f>
        <v>1195.3348300817449</v>
      </c>
      <c r="H41" s="226">
        <v>2734.8359999999998</v>
      </c>
      <c r="I41" s="229">
        <f t="shared" si="1"/>
        <v>517.71238842935281</v>
      </c>
      <c r="J41" s="226">
        <f t="shared" si="2"/>
        <v>5105.3254835110974</v>
      </c>
      <c r="K41" s="228">
        <v>30.1</v>
      </c>
      <c r="L41" s="228">
        <f>+H41*0.7519/316.204908</f>
        <v>6.5031349494423401</v>
      </c>
    </row>
    <row r="42" spans="1:12">
      <c r="A42" s="201" t="s">
        <v>314</v>
      </c>
      <c r="B42" s="226">
        <v>2770.7489999999998</v>
      </c>
      <c r="C42" s="225">
        <f>+'[2]tab 10'!E39</f>
        <v>4173.17</v>
      </c>
      <c r="D42" s="226">
        <f>1.333*2.204622*29.8644</f>
        <v>87.764337771314402</v>
      </c>
      <c r="E42" s="226">
        <f t="shared" si="4"/>
        <v>7031.6833377713147</v>
      </c>
      <c r="F42" s="226">
        <f>1.333*497.272</f>
        <v>662.86357599999997</v>
      </c>
      <c r="G42" s="240">
        <f>1.3333*2.204622*(389.1268-0.25*65.2604)</f>
        <v>1095.8511039406771</v>
      </c>
      <c r="H42" s="226">
        <v>2885.9</v>
      </c>
      <c r="I42" s="229">
        <f t="shared" si="1"/>
        <v>529.29165783063763</v>
      </c>
      <c r="J42" s="226">
        <f t="shared" si="2"/>
        <v>5173.9063377713146</v>
      </c>
      <c r="K42" s="228">
        <v>24.9</v>
      </c>
      <c r="L42" s="228">
        <f>+H42*0.7519/318.563456</f>
        <v>6.8115415284796512</v>
      </c>
    </row>
    <row r="43" spans="1:12">
      <c r="A43" s="201" t="s">
        <v>315</v>
      </c>
      <c r="B43" s="226">
        <v>1857.777</v>
      </c>
      <c r="C43" s="225">
        <f>+'[2]tab 10'!E40</f>
        <v>5188.665</v>
      </c>
      <c r="D43" s="226">
        <f>1.333*2.204622*30.5055</f>
        <v>89.648377529193013</v>
      </c>
      <c r="E43" s="226">
        <f t="shared" si="4"/>
        <v>7136.0903775291927</v>
      </c>
      <c r="F43" s="226">
        <f>1.333*506.677</f>
        <v>675.400441</v>
      </c>
      <c r="G43" s="240">
        <f>1.3333*2.204622*(386.8707-0.25*76.6261)</f>
        <v>1080.867324197136</v>
      </c>
      <c r="H43" s="226">
        <v>2945.4870000000001</v>
      </c>
      <c r="I43" s="229">
        <f t="shared" si="1"/>
        <v>333.318612332057</v>
      </c>
      <c r="J43" s="226">
        <f t="shared" si="2"/>
        <v>5035.0733775291928</v>
      </c>
      <c r="K43" s="228">
        <v>22</v>
      </c>
      <c r="L43" s="228">
        <f>+H43*0.7519/320.896618</f>
        <v>6.9016360755163833</v>
      </c>
    </row>
    <row r="44" spans="1:12">
      <c r="A44" s="201" t="s">
        <v>316</v>
      </c>
      <c r="B44" s="226">
        <v>2101.0169999999998</v>
      </c>
      <c r="C44" s="225">
        <f>+'[2]tab 10'!E41</f>
        <v>6001.357</v>
      </c>
      <c r="D44" s="226">
        <v>94.433562270658811</v>
      </c>
      <c r="E44" s="226">
        <f t="shared" si="4"/>
        <v>8196.8075622706583</v>
      </c>
      <c r="F44" s="226">
        <f>1.333*531.77</f>
        <v>708.84940999999992</v>
      </c>
      <c r="G44" s="240">
        <v>1544.4201332791811</v>
      </c>
      <c r="H44" s="226">
        <v>3144</v>
      </c>
      <c r="I44" s="229">
        <f t="shared" si="1"/>
        <v>1008.6330189914779</v>
      </c>
      <c r="J44" s="226">
        <f t="shared" si="2"/>
        <v>6405.9025622706586</v>
      </c>
      <c r="K44" s="228">
        <v>19.3</v>
      </c>
      <c r="L44" s="228">
        <v>7.3109885626471227</v>
      </c>
    </row>
    <row r="45" spans="1:12">
      <c r="A45" s="201" t="s">
        <v>44</v>
      </c>
      <c r="B45" s="226">
        <v>1790.905</v>
      </c>
      <c r="C45" s="225">
        <f>+'[2]tab 10'!E42</f>
        <v>5581.57</v>
      </c>
      <c r="D45" s="226">
        <f>1.333*2.204622*55.0101</f>
        <v>161.66154341737263</v>
      </c>
      <c r="E45" s="226">
        <f t="shared" si="4"/>
        <v>7534.1365434173722</v>
      </c>
      <c r="F45" s="226">
        <f>1.333*659.966</f>
        <v>879.73467800000003</v>
      </c>
      <c r="G45" s="240">
        <f>1.3333*2.204622*(472.565-0.25*83.1792)</f>
        <v>1327.9434964018044</v>
      </c>
      <c r="H45" s="226">
        <v>3092</v>
      </c>
      <c r="I45" s="229">
        <f t="shared" si="1"/>
        <v>792.86636901556813</v>
      </c>
      <c r="J45" s="226">
        <f t="shared" si="2"/>
        <v>6092.5445434173726</v>
      </c>
      <c r="K45" s="228">
        <v>19.7</v>
      </c>
      <c r="L45" s="228">
        <v>7.1178497731350232</v>
      </c>
    </row>
    <row r="46" spans="1:12">
      <c r="A46" s="58" t="s">
        <v>317</v>
      </c>
      <c r="B46" s="226">
        <v>1441.5920000000001</v>
      </c>
      <c r="C46" s="225">
        <f>+'[2]tab 10'!E43</f>
        <v>7115.41</v>
      </c>
      <c r="D46" s="226">
        <f>1.333*2.204622*58.0581</f>
        <v>170.61888732942063</v>
      </c>
      <c r="E46" s="226">
        <f>SUM(B46:D46)</f>
        <v>8727.6208873294217</v>
      </c>
      <c r="F46" s="226">
        <f>1.333*528.75</f>
        <v>704.82375000000002</v>
      </c>
      <c r="G46" s="240">
        <f>1.3333*2.204622*(450.5869-0.25*(72.2873))</f>
        <v>1271.3445484938775</v>
      </c>
      <c r="H46" s="226">
        <v>3148.8</v>
      </c>
      <c r="I46" s="229">
        <f>+J46-F46-G46-H46</f>
        <v>885.57258883554459</v>
      </c>
      <c r="J46" s="226">
        <f t="shared" si="2"/>
        <v>6010.5408873294218</v>
      </c>
      <c r="K46" s="228">
        <v>22.9</v>
      </c>
      <c r="L46" s="228">
        <v>7.1907048618704001</v>
      </c>
    </row>
    <row r="47" spans="1:12">
      <c r="A47" s="58" t="s">
        <v>318</v>
      </c>
      <c r="B47" s="226">
        <v>2717.08</v>
      </c>
      <c r="C47" s="225">
        <f>+'[2]tab 10'!E44</f>
        <v>5495.9350000000004</v>
      </c>
      <c r="D47" s="226">
        <f>1.333*2.204622*39.9285</f>
        <v>117.340323619491</v>
      </c>
      <c r="E47" s="226">
        <f>SUM(B47:D47)</f>
        <v>8330.3553236194912</v>
      </c>
      <c r="F47" s="226">
        <f>1.333*486.398</f>
        <v>648.36853400000007</v>
      </c>
      <c r="G47" s="240">
        <f>1.3333*2.204622*(423.4291-0.25*(63.7481))</f>
        <v>1197.7913789610875</v>
      </c>
      <c r="H47" s="226">
        <v>3099.3</v>
      </c>
      <c r="I47" s="229">
        <f>+J47-F47-G47-H47</f>
        <v>963.80541065840316</v>
      </c>
      <c r="J47" s="226">
        <f t="shared" si="2"/>
        <v>5909.265323619491</v>
      </c>
      <c r="K47" s="228">
        <v>21.5</v>
      </c>
      <c r="L47" s="228">
        <v>7.0216210181870773</v>
      </c>
    </row>
    <row r="48" spans="1:12">
      <c r="A48" s="37" t="s">
        <v>319</v>
      </c>
      <c r="B48" s="230">
        <v>2421.09</v>
      </c>
      <c r="C48" s="231">
        <f>+'[2]tab 10'!E45</f>
        <v>5496.0870000000004</v>
      </c>
      <c r="D48" s="230">
        <v>115</v>
      </c>
      <c r="E48" s="230">
        <f>SUM(B48:D48)</f>
        <v>8032.1770000000006</v>
      </c>
      <c r="F48" s="230">
        <v>730</v>
      </c>
      <c r="G48" s="241">
        <v>1375</v>
      </c>
      <c r="H48" s="230">
        <v>3158</v>
      </c>
      <c r="I48" s="232">
        <f>+J48-F48-G48-H48</f>
        <v>779.17700000000059</v>
      </c>
      <c r="J48" s="230">
        <f>+E48-1990</f>
        <v>6042.1770000000006</v>
      </c>
      <c r="K48" s="233">
        <v>20.6</v>
      </c>
      <c r="L48" s="233">
        <v>7.0985916419284729</v>
      </c>
    </row>
    <row r="49" spans="1:12" ht="13.25" customHeight="1">
      <c r="A49" s="58" t="s">
        <v>320</v>
      </c>
    </row>
    <row r="50" spans="1:12" ht="13.25" customHeight="1">
      <c r="A50" s="56" t="s">
        <v>321</v>
      </c>
    </row>
    <row r="51" spans="1:12" ht="13.25" customHeight="1">
      <c r="A51" t="s">
        <v>322</v>
      </c>
    </row>
    <row r="52" spans="1:12" ht="13.25" customHeight="1">
      <c r="J52" s="59"/>
      <c r="K52" s="59"/>
      <c r="L52" s="234" t="s">
        <v>323</v>
      </c>
    </row>
    <row r="53" spans="1:12">
      <c r="F53" s="226"/>
    </row>
    <row r="54" spans="1:12">
      <c r="F54" s="226"/>
    </row>
    <row r="55" spans="1:12">
      <c r="F55" s="226"/>
    </row>
    <row r="56" spans="1:12">
      <c r="F56" s="226"/>
    </row>
    <row r="57" spans="1:12">
      <c r="F57" s="226"/>
    </row>
    <row r="58" spans="1:12">
      <c r="F58" s="226"/>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06C9C2-2C61-D442-AAC2-B1977517491C}">
  <dimension ref="A1:H38"/>
  <sheetViews>
    <sheetView topLeftCell="A5" workbookViewId="0">
      <selection activeCell="B39" sqref="B39"/>
    </sheetView>
  </sheetViews>
  <sheetFormatPr baseColWidth="10" defaultRowHeight="16"/>
  <cols>
    <col min="6" max="6" width="10.83203125" style="27"/>
  </cols>
  <sheetData>
    <row r="1" spans="1:8">
      <c r="A1" s="109" t="s">
        <v>284</v>
      </c>
      <c r="B1" s="110"/>
      <c r="C1" s="111"/>
      <c r="D1" s="110"/>
      <c r="E1" s="110"/>
      <c r="F1" s="138"/>
      <c r="G1" s="110"/>
      <c r="H1" s="110" t="s">
        <v>285</v>
      </c>
    </row>
    <row r="2" spans="1:8">
      <c r="A2" s="112"/>
      <c r="B2" s="110"/>
      <c r="C2" s="111"/>
      <c r="D2" s="110"/>
      <c r="E2" s="110"/>
      <c r="F2" s="138"/>
      <c r="G2" s="110"/>
      <c r="H2" s="110"/>
    </row>
    <row r="3" spans="1:8">
      <c r="A3" s="113"/>
      <c r="B3" s="166" t="s">
        <v>83</v>
      </c>
      <c r="C3" s="166"/>
      <c r="D3" s="166"/>
      <c r="E3" s="166"/>
      <c r="F3" s="167" t="s">
        <v>84</v>
      </c>
      <c r="G3" s="168"/>
      <c r="H3" s="169"/>
    </row>
    <row r="4" spans="1:8" ht="43">
      <c r="A4" s="114"/>
      <c r="B4" s="170" t="s">
        <v>286</v>
      </c>
      <c r="C4" s="170"/>
      <c r="D4" s="114" t="s">
        <v>287</v>
      </c>
      <c r="E4" s="114" t="s">
        <v>152</v>
      </c>
      <c r="F4" s="139" t="s">
        <v>148</v>
      </c>
      <c r="G4" s="115" t="s">
        <v>288</v>
      </c>
      <c r="H4" s="115" t="s">
        <v>289</v>
      </c>
    </row>
    <row r="5" spans="1:8" ht="73">
      <c r="A5" s="116" t="s">
        <v>290</v>
      </c>
      <c r="B5" s="115" t="s">
        <v>291</v>
      </c>
      <c r="C5" s="115" t="s">
        <v>292</v>
      </c>
      <c r="D5" s="115" t="s">
        <v>293</v>
      </c>
      <c r="E5" s="115"/>
      <c r="F5" s="140" t="s">
        <v>294</v>
      </c>
      <c r="G5" s="115"/>
      <c r="H5" s="115"/>
    </row>
    <row r="6" spans="1:8">
      <c r="A6" s="115"/>
      <c r="B6" s="167" t="s">
        <v>295</v>
      </c>
      <c r="C6" s="171"/>
      <c r="D6" s="168"/>
      <c r="E6" s="168"/>
      <c r="F6" s="168"/>
      <c r="G6" s="168"/>
      <c r="H6" s="169"/>
    </row>
    <row r="7" spans="1:8">
      <c r="A7" s="117" t="s">
        <v>20</v>
      </c>
      <c r="B7" s="118">
        <v>0.84441062912372289</v>
      </c>
      <c r="C7" s="119">
        <v>0.80850367999593586</v>
      </c>
      <c r="D7" s="120">
        <v>0.1</v>
      </c>
      <c r="E7" s="120">
        <f t="shared" ref="E7:E32" si="0">SUM(B7:D7)</f>
        <v>1.7529143091196588</v>
      </c>
      <c r="F7" s="141">
        <v>0.2</v>
      </c>
      <c r="G7" s="119">
        <v>1.5529143091196589</v>
      </c>
      <c r="H7" s="121">
        <v>1.7529143091196588</v>
      </c>
    </row>
    <row r="8" spans="1:8">
      <c r="A8" s="122" t="s">
        <v>21</v>
      </c>
      <c r="B8" s="123">
        <v>1.1384854270183138</v>
      </c>
      <c r="C8" s="120">
        <v>0.59272859474322581</v>
      </c>
      <c r="D8" s="120">
        <v>0.1</v>
      </c>
      <c r="E8" s="120">
        <f t="shared" si="0"/>
        <v>1.8312140217615398</v>
      </c>
      <c r="F8" s="142">
        <v>0.2</v>
      </c>
      <c r="G8" s="120">
        <v>1.6312140217615398</v>
      </c>
      <c r="H8" s="124">
        <v>1.8312140217615398</v>
      </c>
    </row>
    <row r="9" spans="1:8">
      <c r="A9" s="122" t="s">
        <v>22</v>
      </c>
      <c r="B9" s="123">
        <v>1.2717297768306517</v>
      </c>
      <c r="C9" s="120">
        <v>0.54066411384808821</v>
      </c>
      <c r="D9" s="120">
        <v>0.1</v>
      </c>
      <c r="E9" s="120">
        <f t="shared" si="0"/>
        <v>1.9123938906787399</v>
      </c>
      <c r="F9" s="142">
        <v>0.7</v>
      </c>
      <c r="G9" s="120">
        <v>1.2123938906787399</v>
      </c>
      <c r="H9" s="124">
        <v>1.9123938906787399</v>
      </c>
    </row>
    <row r="10" spans="1:8">
      <c r="A10" s="122" t="s">
        <v>23</v>
      </c>
      <c r="B10" s="123">
        <v>1.0880089040266641</v>
      </c>
      <c r="C10" s="120">
        <v>0.7767283915337867</v>
      </c>
      <c r="D10" s="120">
        <v>0.1</v>
      </c>
      <c r="E10" s="120">
        <f t="shared" si="0"/>
        <v>1.9647372955604507</v>
      </c>
      <c r="F10" s="142">
        <v>0.6</v>
      </c>
      <c r="G10" s="120">
        <v>1.3647372955604506</v>
      </c>
      <c r="H10" s="124">
        <v>1.9647372955604507</v>
      </c>
    </row>
    <row r="11" spans="1:8">
      <c r="A11" s="122" t="s">
        <v>24</v>
      </c>
      <c r="B11" s="123">
        <v>1.2761741298508316</v>
      </c>
      <c r="C11" s="120">
        <v>0.83428587757901362</v>
      </c>
      <c r="D11" s="120">
        <v>0.1</v>
      </c>
      <c r="E11" s="120">
        <f t="shared" si="0"/>
        <v>2.2104600074298451</v>
      </c>
      <c r="F11" s="142">
        <v>0.7</v>
      </c>
      <c r="G11" s="120">
        <v>1.5104600074298451</v>
      </c>
      <c r="H11" s="124">
        <v>2.2104600074298451</v>
      </c>
    </row>
    <row r="12" spans="1:8">
      <c r="A12" s="122" t="s">
        <v>25</v>
      </c>
      <c r="B12" s="123">
        <v>1.5725342831880424</v>
      </c>
      <c r="C12" s="120">
        <v>0.85417023870758801</v>
      </c>
      <c r="D12" s="120">
        <v>0.1</v>
      </c>
      <c r="E12" s="120">
        <f t="shared" si="0"/>
        <v>2.5267045218956308</v>
      </c>
      <c r="F12" s="142">
        <v>0.6</v>
      </c>
      <c r="G12" s="120">
        <v>1.9267045218956307</v>
      </c>
      <c r="H12" s="124">
        <v>2.5267045218956308</v>
      </c>
    </row>
    <row r="13" spans="1:8">
      <c r="A13" s="122" t="s">
        <v>26</v>
      </c>
      <c r="B13" s="123">
        <v>1.7087845362608431</v>
      </c>
      <c r="C13" s="120">
        <v>0.82981685749303069</v>
      </c>
      <c r="D13" s="120">
        <v>0.1</v>
      </c>
      <c r="E13" s="120">
        <f t="shared" si="0"/>
        <v>2.6386013937538739</v>
      </c>
      <c r="F13" s="142">
        <v>0.7</v>
      </c>
      <c r="G13" s="120">
        <v>1.938601393753874</v>
      </c>
      <c r="H13" s="124">
        <v>2.6386013937538739</v>
      </c>
    </row>
    <row r="14" spans="1:8">
      <c r="A14" s="122" t="s">
        <v>27</v>
      </c>
      <c r="B14" s="123">
        <v>2.1064100032138549</v>
      </c>
      <c r="C14" s="120">
        <v>0.87667409651178307</v>
      </c>
      <c r="D14" s="120">
        <v>0.1</v>
      </c>
      <c r="E14" s="120">
        <f t="shared" si="0"/>
        <v>3.0830840997256379</v>
      </c>
      <c r="F14" s="142">
        <v>0.8</v>
      </c>
      <c r="G14" s="120">
        <v>2.2830840997256381</v>
      </c>
      <c r="H14" s="124">
        <v>3.0830840997256379</v>
      </c>
    </row>
    <row r="15" spans="1:8">
      <c r="A15" s="122" t="s">
        <v>28</v>
      </c>
      <c r="B15" s="123">
        <v>2.2548650062776838</v>
      </c>
      <c r="C15" s="120">
        <v>0.88084941545534801</v>
      </c>
      <c r="D15" s="120">
        <v>0.1</v>
      </c>
      <c r="E15" s="120">
        <f t="shared" si="0"/>
        <v>3.2357144217330318</v>
      </c>
      <c r="F15" s="142">
        <v>0.8</v>
      </c>
      <c r="G15" s="120">
        <v>2.4357144217330315</v>
      </c>
      <c r="H15" s="124">
        <v>3.2357144217330314</v>
      </c>
    </row>
    <row r="16" spans="1:8">
      <c r="A16" s="122" t="s">
        <v>29</v>
      </c>
      <c r="B16" s="123">
        <v>2.6673290415516901</v>
      </c>
      <c r="C16" s="120">
        <v>0.88438970490179281</v>
      </c>
      <c r="D16" s="120">
        <v>0.1</v>
      </c>
      <c r="E16" s="120">
        <f t="shared" si="0"/>
        <v>3.6517187464534833</v>
      </c>
      <c r="F16" s="142">
        <v>0.9</v>
      </c>
      <c r="G16" s="120">
        <v>2.7517187464534834</v>
      </c>
      <c r="H16" s="124">
        <v>3.6517187464534833</v>
      </c>
    </row>
    <row r="17" spans="1:8">
      <c r="A17" s="122" t="s">
        <v>30</v>
      </c>
      <c r="B17" s="123">
        <v>4.3901649063873291</v>
      </c>
      <c r="C17" s="120">
        <v>0.89571704355667325</v>
      </c>
      <c r="D17" s="120">
        <v>0.1</v>
      </c>
      <c r="E17" s="120">
        <f t="shared" si="0"/>
        <v>5.385881949944002</v>
      </c>
      <c r="F17" s="142">
        <v>0.8</v>
      </c>
      <c r="G17" s="120">
        <v>4.5858819499440022</v>
      </c>
      <c r="H17" s="124">
        <v>5.385881949944002</v>
      </c>
    </row>
    <row r="18" spans="1:8">
      <c r="A18" s="122" t="s">
        <v>31</v>
      </c>
      <c r="B18" s="123">
        <v>5.6722497273059478</v>
      </c>
      <c r="C18" s="120">
        <v>0.89943196611482612</v>
      </c>
      <c r="D18" s="120">
        <v>0.1</v>
      </c>
      <c r="E18" s="120">
        <f t="shared" si="0"/>
        <v>6.6716816934207737</v>
      </c>
      <c r="F18" s="142">
        <v>0.7</v>
      </c>
      <c r="G18" s="120">
        <v>5.9716816934207735</v>
      </c>
      <c r="H18" s="124">
        <v>6.6716816934207737</v>
      </c>
    </row>
    <row r="19" spans="1:8">
      <c r="A19" s="122" t="s">
        <v>32</v>
      </c>
      <c r="B19" s="123">
        <v>6.9945569631855689</v>
      </c>
      <c r="C19" s="120">
        <v>0.90612358944072957</v>
      </c>
      <c r="D19" s="120">
        <v>0.1</v>
      </c>
      <c r="E19" s="120">
        <f t="shared" si="0"/>
        <v>8.0006805526262976</v>
      </c>
      <c r="F19" s="142">
        <v>1</v>
      </c>
      <c r="G19" s="120">
        <v>7.0006805526262976</v>
      </c>
      <c r="H19" s="124">
        <v>8.0006805526262976</v>
      </c>
    </row>
    <row r="20" spans="1:8">
      <c r="A20" s="125" t="s">
        <v>33</v>
      </c>
      <c r="B20" s="123">
        <v>9.1513653494078167</v>
      </c>
      <c r="C20" s="120">
        <v>0.91562521829138976</v>
      </c>
      <c r="D20" s="120">
        <v>0.1</v>
      </c>
      <c r="E20" s="120">
        <f t="shared" si="0"/>
        <v>10.166990567699207</v>
      </c>
      <c r="F20" s="142">
        <v>1.2</v>
      </c>
      <c r="G20" s="120">
        <v>8.9669905676992077</v>
      </c>
      <c r="H20" s="124">
        <v>10.166990567699207</v>
      </c>
    </row>
    <row r="21" spans="1:8">
      <c r="A21" s="122" t="s">
        <v>34</v>
      </c>
      <c r="B21" s="123">
        <v>12.426490570154948</v>
      </c>
      <c r="C21" s="120">
        <v>0.92238034456700513</v>
      </c>
      <c r="D21" s="120">
        <v>0.2</v>
      </c>
      <c r="E21" s="120">
        <f t="shared" si="0"/>
        <v>13.548870914721952</v>
      </c>
      <c r="F21" s="142">
        <v>1.8</v>
      </c>
      <c r="G21" s="120">
        <v>11.748870914721952</v>
      </c>
      <c r="H21" s="124">
        <v>13.548870914721952</v>
      </c>
    </row>
    <row r="22" spans="1:8">
      <c r="A22" s="122" t="s">
        <v>35</v>
      </c>
      <c r="B22" s="123">
        <v>19.76586626998126</v>
      </c>
      <c r="C22" s="120">
        <v>0.91920519708140458</v>
      </c>
      <c r="D22" s="120">
        <v>0.1</v>
      </c>
      <c r="E22" s="120">
        <f t="shared" si="0"/>
        <v>20.785071467062664</v>
      </c>
      <c r="F22" s="142">
        <v>3.9</v>
      </c>
      <c r="G22" s="120">
        <v>16.885071467062666</v>
      </c>
      <c r="H22" s="124">
        <v>20.785071467062664</v>
      </c>
    </row>
    <row r="23" spans="1:8">
      <c r="A23" s="122" t="s">
        <v>296</v>
      </c>
      <c r="B23" s="123">
        <v>26</v>
      </c>
      <c r="C23" s="120">
        <v>0.9080921808818021</v>
      </c>
      <c r="D23" s="120">
        <v>0.3</v>
      </c>
      <c r="E23" s="120">
        <f t="shared" si="0"/>
        <v>27.208092180881803</v>
      </c>
      <c r="F23" s="142">
        <v>5</v>
      </c>
      <c r="G23" s="120">
        <v>22.208092180881803</v>
      </c>
      <c r="H23" s="124">
        <v>27.208092180881803</v>
      </c>
    </row>
    <row r="24" spans="1:8">
      <c r="A24" s="122" t="s">
        <v>297</v>
      </c>
      <c r="B24" s="123">
        <v>32.4</v>
      </c>
      <c r="C24" s="120">
        <v>0.9080921808818021</v>
      </c>
      <c r="D24" s="120">
        <v>0.4</v>
      </c>
      <c r="E24" s="120">
        <f t="shared" si="0"/>
        <v>33.708092180881799</v>
      </c>
      <c r="F24" s="142">
        <v>8.3000000000000007</v>
      </c>
      <c r="G24" s="120">
        <v>25.408092180881798</v>
      </c>
      <c r="H24" s="124">
        <v>33.708092180881799</v>
      </c>
    </row>
    <row r="25" spans="1:8">
      <c r="A25" s="126" t="s">
        <v>38</v>
      </c>
      <c r="B25" s="120">
        <v>35.6</v>
      </c>
      <c r="C25" s="120">
        <v>0.9152362627244035</v>
      </c>
      <c r="D25" s="120">
        <v>0.4</v>
      </c>
      <c r="E25" s="120">
        <f t="shared" si="0"/>
        <v>36.915236262724406</v>
      </c>
      <c r="F25" s="142">
        <v>8.3000000000000007</v>
      </c>
      <c r="G25" s="120">
        <v>28.615236262724405</v>
      </c>
      <c r="H25" s="124">
        <v>36.915236262724406</v>
      </c>
    </row>
    <row r="26" spans="1:8">
      <c r="A26" s="122" t="s">
        <v>39</v>
      </c>
      <c r="B26" s="120">
        <v>35.299999999999997</v>
      </c>
      <c r="C26" s="120">
        <v>0.9152362627244035</v>
      </c>
      <c r="D26" s="120">
        <v>0.4</v>
      </c>
      <c r="E26" s="120">
        <f t="shared" si="0"/>
        <v>36.615236262724402</v>
      </c>
      <c r="F26" s="142">
        <v>7.6</v>
      </c>
      <c r="G26" s="120">
        <v>29.1</v>
      </c>
      <c r="H26" s="124">
        <v>36.700000000000003</v>
      </c>
    </row>
    <row r="27" spans="1:8">
      <c r="A27" s="125" t="s">
        <v>40</v>
      </c>
      <c r="B27" s="123">
        <v>32.5</v>
      </c>
      <c r="C27" s="120">
        <v>0.95489999999999997</v>
      </c>
      <c r="D27" s="120">
        <v>0.4</v>
      </c>
      <c r="E27" s="120">
        <f t="shared" si="0"/>
        <v>33.854900000000001</v>
      </c>
      <c r="F27" s="142">
        <v>8.1999999999999993</v>
      </c>
      <c r="G27" s="120">
        <v>25.6</v>
      </c>
      <c r="H27" s="124">
        <v>33.799999999999997</v>
      </c>
    </row>
    <row r="28" spans="1:8">
      <c r="A28" s="125" t="s">
        <v>41</v>
      </c>
      <c r="B28" s="123">
        <v>35.5</v>
      </c>
      <c r="C28" s="120">
        <v>0.96730000000000005</v>
      </c>
      <c r="D28" s="120">
        <v>0.5</v>
      </c>
      <c r="E28" s="120">
        <f t="shared" si="0"/>
        <v>36.967300000000002</v>
      </c>
      <c r="F28" s="142">
        <v>12</v>
      </c>
      <c r="G28" s="120">
        <v>25</v>
      </c>
      <c r="H28" s="124">
        <v>37</v>
      </c>
    </row>
    <row r="29" spans="1:8">
      <c r="A29" s="125" t="s">
        <v>42</v>
      </c>
      <c r="B29" s="123">
        <v>34.799999999999997</v>
      </c>
      <c r="C29" s="120">
        <v>0.97230000000000005</v>
      </c>
      <c r="D29" s="120">
        <v>0.4</v>
      </c>
      <c r="E29" s="120">
        <f t="shared" si="0"/>
        <v>36.172299999999993</v>
      </c>
      <c r="F29" s="142">
        <v>11.5</v>
      </c>
      <c r="G29" s="120">
        <v>24.7</v>
      </c>
      <c r="H29" s="124">
        <v>36.200000000000003</v>
      </c>
    </row>
    <row r="30" spans="1:8">
      <c r="A30" s="125" t="s">
        <v>43</v>
      </c>
      <c r="B30" s="123">
        <v>35.700000000000003</v>
      </c>
      <c r="C30" s="120">
        <v>0.98670000000000002</v>
      </c>
      <c r="D30" s="120">
        <v>0.3</v>
      </c>
      <c r="E30" s="120">
        <f t="shared" si="0"/>
        <v>36.986699999999999</v>
      </c>
      <c r="F30" s="142">
        <v>11.6</v>
      </c>
      <c r="G30" s="120">
        <v>25.4</v>
      </c>
      <c r="H30" s="124">
        <v>37</v>
      </c>
    </row>
    <row r="31" spans="1:8">
      <c r="A31" s="122" t="s">
        <v>44</v>
      </c>
      <c r="B31" s="120">
        <v>37.200000000000003</v>
      </c>
      <c r="C31" s="120">
        <v>0.98670000000000002</v>
      </c>
      <c r="D31" s="120">
        <v>0.3</v>
      </c>
      <c r="E31" s="120">
        <f t="shared" si="0"/>
        <v>38.486699999999999</v>
      </c>
      <c r="F31" s="142">
        <v>11.1</v>
      </c>
      <c r="G31" s="120">
        <v>27.4</v>
      </c>
      <c r="H31" s="124">
        <v>38.5</v>
      </c>
    </row>
    <row r="32" spans="1:8">
      <c r="A32" s="127" t="s">
        <v>45</v>
      </c>
      <c r="B32" s="120">
        <v>37.700000000000003</v>
      </c>
      <c r="C32" s="120">
        <v>1</v>
      </c>
      <c r="D32" s="120">
        <v>0.3</v>
      </c>
      <c r="E32" s="120">
        <f t="shared" si="0"/>
        <v>39</v>
      </c>
      <c r="F32" s="142">
        <v>11.5</v>
      </c>
      <c r="G32" s="120">
        <v>27.5</v>
      </c>
      <c r="H32" s="128">
        <v>39</v>
      </c>
    </row>
    <row r="33" spans="1:8">
      <c r="A33" s="129" t="s">
        <v>298</v>
      </c>
      <c r="B33" s="130"/>
      <c r="C33" s="131"/>
      <c r="D33" s="132"/>
      <c r="E33" s="132"/>
      <c r="F33" s="143"/>
      <c r="G33" s="132"/>
      <c r="H33" s="132"/>
    </row>
    <row r="34" spans="1:8">
      <c r="A34" s="133" t="s">
        <v>299</v>
      </c>
      <c r="B34" s="134"/>
      <c r="C34" s="134"/>
      <c r="D34" s="100"/>
      <c r="E34" s="100"/>
      <c r="F34" s="24"/>
      <c r="G34" s="100"/>
      <c r="H34" s="100"/>
    </row>
    <row r="35" spans="1:8">
      <c r="A35" s="133" t="s">
        <v>300</v>
      </c>
      <c r="B35" s="134"/>
      <c r="C35" s="134"/>
      <c r="D35" s="100"/>
      <c r="E35" s="100"/>
      <c r="F35" s="24"/>
      <c r="G35" s="100"/>
      <c r="H35" s="100"/>
    </row>
    <row r="36" spans="1:8">
      <c r="A36" s="135" t="s">
        <v>301</v>
      </c>
      <c r="B36" s="136"/>
      <c r="C36" s="136"/>
      <c r="D36" s="100"/>
      <c r="E36" s="100"/>
      <c r="F36" s="24"/>
      <c r="G36" s="100"/>
      <c r="H36" s="100"/>
    </row>
    <row r="37" spans="1:8">
      <c r="A37" s="137" t="s">
        <v>302</v>
      </c>
      <c r="B37" s="136"/>
      <c r="C37" s="136"/>
      <c r="D37" s="100"/>
      <c r="E37" s="100"/>
      <c r="F37" s="24"/>
      <c r="G37" s="100"/>
      <c r="H37" s="100"/>
    </row>
    <row r="38" spans="1:8">
      <c r="A38" s="172" t="s">
        <v>303</v>
      </c>
      <c r="B38" s="173"/>
      <c r="C38" s="173"/>
      <c r="D38" s="100"/>
      <c r="E38" s="100"/>
      <c r="F38" s="24"/>
      <c r="G38" s="100"/>
      <c r="H38" s="100"/>
    </row>
  </sheetData>
  <mergeCells count="5">
    <mergeCell ref="B3:E3"/>
    <mergeCell ref="F3:H3"/>
    <mergeCell ref="B4:C4"/>
    <mergeCell ref="B6:H6"/>
    <mergeCell ref="A38:C38"/>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7F1BBC-2502-8C4E-8093-2CACAC89FE06}">
  <dimension ref="A1:D8"/>
  <sheetViews>
    <sheetView workbookViewId="0">
      <selection activeCell="D2" sqref="D2:D8"/>
    </sheetView>
  </sheetViews>
  <sheetFormatPr baseColWidth="10" defaultRowHeight="16"/>
  <sheetData>
    <row r="1" spans="1:4">
      <c r="A1" s="14" t="s">
        <v>246</v>
      </c>
      <c r="B1" s="14" t="s">
        <v>64</v>
      </c>
      <c r="D1" t="s">
        <v>306</v>
      </c>
    </row>
    <row r="2" spans="1:4">
      <c r="A2" t="s">
        <v>247</v>
      </c>
      <c r="B2">
        <v>39.368000000000002</v>
      </c>
      <c r="D2">
        <f>1/B2*1000</f>
        <v>25.401341190814875</v>
      </c>
    </row>
    <row r="3" spans="1:4">
      <c r="A3" t="s">
        <v>248</v>
      </c>
      <c r="B3">
        <v>39.368000000000002</v>
      </c>
      <c r="D3">
        <f t="shared" ref="D3:D8" si="0">1/B3*1000</f>
        <v>25.401341190814875</v>
      </c>
    </row>
    <row r="4" spans="1:4">
      <c r="A4" s="15" t="s">
        <v>62</v>
      </c>
      <c r="B4" s="15">
        <v>45.93</v>
      </c>
      <c r="D4">
        <f t="shared" si="0"/>
        <v>21.772262138036144</v>
      </c>
    </row>
    <row r="5" spans="1:4">
      <c r="A5" s="15" t="s">
        <v>60</v>
      </c>
      <c r="B5" s="15">
        <v>36.744</v>
      </c>
      <c r="D5">
        <f t="shared" si="0"/>
        <v>27.215327672545175</v>
      </c>
    </row>
    <row r="6" spans="1:4">
      <c r="A6" t="s">
        <v>249</v>
      </c>
      <c r="B6" s="15">
        <v>36.744</v>
      </c>
      <c r="D6">
        <f t="shared" si="0"/>
        <v>27.215327672545175</v>
      </c>
    </row>
    <row r="7" spans="1:4">
      <c r="A7" s="15" t="s">
        <v>61</v>
      </c>
      <c r="B7" s="15">
        <v>64.841999999999999</v>
      </c>
      <c r="D7">
        <f t="shared" si="0"/>
        <v>15.422102957959348</v>
      </c>
    </row>
    <row r="8" spans="1:4">
      <c r="A8" s="15" t="s">
        <v>63</v>
      </c>
      <c r="B8" s="15">
        <v>39.368000000000002</v>
      </c>
      <c r="D8">
        <f t="shared" si="0"/>
        <v>25.401341190814875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8E0D76-1718-2645-A580-9046A6B665B4}">
  <dimension ref="A1:P78"/>
  <sheetViews>
    <sheetView topLeftCell="A6" zoomScale="125" workbookViewId="0">
      <selection activeCell="O4" sqref="O4"/>
    </sheetView>
  </sheetViews>
  <sheetFormatPr baseColWidth="10" defaultRowHeight="16"/>
  <cols>
    <col min="15" max="15" width="10.83203125" style="27"/>
    <col min="16" max="16" width="12.1640625" bestFit="1" customWidth="1"/>
  </cols>
  <sheetData>
    <row r="1" spans="1:16" ht="62" customHeight="1">
      <c r="A1" s="1" t="s">
        <v>0</v>
      </c>
      <c r="B1" s="2"/>
      <c r="C1" s="2"/>
      <c r="D1" s="2"/>
      <c r="E1" s="2"/>
      <c r="F1" s="2"/>
      <c r="G1" s="2"/>
      <c r="H1" s="2"/>
      <c r="I1" s="2"/>
      <c r="J1" s="2"/>
      <c r="K1" s="2"/>
      <c r="L1" s="2"/>
      <c r="M1" s="2"/>
      <c r="N1" s="2"/>
      <c r="O1" s="24"/>
      <c r="P1" t="s">
        <v>51</v>
      </c>
    </row>
    <row r="2" spans="1:16" ht="25">
      <c r="A2" s="3" t="s">
        <v>1</v>
      </c>
      <c r="B2" s="4"/>
      <c r="C2" s="5" t="s">
        <v>2</v>
      </c>
      <c r="D2" s="5" t="s">
        <v>3</v>
      </c>
      <c r="E2" s="5" t="s">
        <v>4</v>
      </c>
      <c r="F2" s="5" t="s">
        <v>5</v>
      </c>
      <c r="G2" s="5" t="s">
        <v>6</v>
      </c>
      <c r="H2" s="5" t="s">
        <v>7</v>
      </c>
      <c r="I2" s="5" t="s">
        <v>8</v>
      </c>
      <c r="J2" s="5" t="s">
        <v>9</v>
      </c>
      <c r="K2" s="5" t="s">
        <v>10</v>
      </c>
      <c r="L2" s="5" t="s">
        <v>11</v>
      </c>
      <c r="M2" s="5" t="s">
        <v>12</v>
      </c>
      <c r="N2" s="5" t="s">
        <v>13</v>
      </c>
      <c r="O2" s="28" t="s">
        <v>14</v>
      </c>
    </row>
    <row r="3" spans="1:16">
      <c r="A3" s="1" t="s">
        <v>46</v>
      </c>
      <c r="B3" s="6" t="s">
        <v>16</v>
      </c>
      <c r="C3" s="7"/>
      <c r="D3" s="7"/>
      <c r="E3" s="7"/>
      <c r="F3" s="7"/>
      <c r="G3" s="8">
        <v>3639.2051450870613</v>
      </c>
      <c r="H3" s="8">
        <v>7086.1439018078336</v>
      </c>
      <c r="I3" s="8">
        <v>9237.2547627557487</v>
      </c>
      <c r="J3" s="8">
        <v>5468.8718772562697</v>
      </c>
      <c r="K3" s="8">
        <v>3163.2688026487986</v>
      </c>
      <c r="L3" s="8">
        <v>3377.1667035513351</v>
      </c>
      <c r="M3" s="8">
        <v>3977.4892773201536</v>
      </c>
      <c r="N3" s="8">
        <v>6246.6921697888974</v>
      </c>
      <c r="O3" s="29"/>
    </row>
    <row r="4" spans="1:16">
      <c r="A4" s="2"/>
      <c r="B4" s="6" t="s">
        <v>17</v>
      </c>
      <c r="C4" s="8">
        <v>6419.605691718496</v>
      </c>
      <c r="D4" s="8">
        <v>6650.8476073728425</v>
      </c>
      <c r="E4" s="8">
        <v>4592.1029947856396</v>
      </c>
      <c r="F4" s="8">
        <v>4730.3142995600583</v>
      </c>
      <c r="G4" s="8">
        <v>4292.4092714479084</v>
      </c>
      <c r="H4" s="8">
        <v>3755.8952309512283</v>
      </c>
      <c r="I4" s="8">
        <v>5162.3702075641158</v>
      </c>
      <c r="J4" s="8">
        <v>5090.930390737677</v>
      </c>
      <c r="K4" s="8">
        <v>4294.8962003568786</v>
      </c>
      <c r="L4" s="8">
        <v>3571.3630478855057</v>
      </c>
      <c r="M4" s="8">
        <v>3741.2981280598678</v>
      </c>
      <c r="N4" s="8">
        <v>4250.8336199363994</v>
      </c>
      <c r="O4" s="30">
        <v>56552.866690376606</v>
      </c>
    </row>
    <row r="5" spans="1:16">
      <c r="A5" s="2"/>
      <c r="B5" s="6" t="s">
        <v>18</v>
      </c>
      <c r="C5" s="8">
        <v>3052.0369983045589</v>
      </c>
      <c r="D5" s="8">
        <v>3376.7330363330097</v>
      </c>
      <c r="E5" s="8">
        <v>2847.3504906030225</v>
      </c>
      <c r="F5" s="8">
        <v>2358.8638061722031</v>
      </c>
      <c r="G5" s="8">
        <v>5377.8613265774156</v>
      </c>
      <c r="H5" s="8">
        <v>6024.1164511231618</v>
      </c>
      <c r="I5" s="8">
        <v>4899.135703029302</v>
      </c>
      <c r="J5" s="8">
        <v>4166.1039924989991</v>
      </c>
      <c r="K5" s="8">
        <v>5543.9412988339373</v>
      </c>
      <c r="L5" s="8">
        <v>4057.1287999014844</v>
      </c>
      <c r="M5" s="8">
        <v>7263.3858918750793</v>
      </c>
      <c r="N5" s="8">
        <v>4297.6994498373115</v>
      </c>
      <c r="O5" s="30">
        <v>53264.357245089494</v>
      </c>
    </row>
    <row r="6" spans="1:16">
      <c r="A6" s="2"/>
      <c r="B6" s="6" t="s">
        <v>19</v>
      </c>
      <c r="C6" s="8">
        <v>2507.3547279804857</v>
      </c>
      <c r="D6" s="8">
        <v>3013.7323004993627</v>
      </c>
      <c r="E6" s="8">
        <v>4536.4944440008312</v>
      </c>
      <c r="F6" s="8">
        <v>4648.3960490028821</v>
      </c>
      <c r="G6" s="8">
        <v>102792.4509819477</v>
      </c>
      <c r="H6" s="8">
        <v>136597.11244631794</v>
      </c>
      <c r="I6" s="8">
        <v>126953.24701985055</v>
      </c>
      <c r="J6" s="8">
        <v>145065.49645323996</v>
      </c>
      <c r="K6" s="8">
        <v>107594.10644152743</v>
      </c>
      <c r="L6" s="8">
        <v>150643.03064632049</v>
      </c>
      <c r="M6" s="8">
        <v>149243.05274512537</v>
      </c>
      <c r="N6" s="8">
        <v>137682.80008079417</v>
      </c>
      <c r="O6" s="30">
        <v>1071277.2743366072</v>
      </c>
    </row>
    <row r="7" spans="1:16">
      <c r="A7" s="2"/>
      <c r="B7" s="6" t="s">
        <v>20</v>
      </c>
      <c r="C7" s="8">
        <v>156440.67858367178</v>
      </c>
      <c r="D7" s="8">
        <v>142209.37491292646</v>
      </c>
      <c r="E7" s="8">
        <v>196891.68429895138</v>
      </c>
      <c r="F7" s="8">
        <v>175239.77382584405</v>
      </c>
      <c r="G7" s="8">
        <v>155732.80650544731</v>
      </c>
      <c r="H7" s="8">
        <v>138420.90234223122</v>
      </c>
      <c r="I7" s="8">
        <v>138816.51342005585</v>
      </c>
      <c r="J7" s="8">
        <v>156303.95096390467</v>
      </c>
      <c r="K7" s="8">
        <v>124814.97179946047</v>
      </c>
      <c r="L7" s="8">
        <v>114691.17789851229</v>
      </c>
      <c r="M7" s="8">
        <v>94195.65429720511</v>
      </c>
      <c r="N7" s="8">
        <v>101522.44537729881</v>
      </c>
      <c r="O7" s="30">
        <v>1695279.9342255094</v>
      </c>
    </row>
    <row r="8" spans="1:16">
      <c r="A8" s="2"/>
      <c r="B8" s="6" t="s">
        <v>21</v>
      </c>
      <c r="C8" s="8">
        <v>142259.90782850047</v>
      </c>
      <c r="D8" s="8">
        <v>154838.99584016373</v>
      </c>
      <c r="E8" s="8">
        <v>149015.24976387626</v>
      </c>
      <c r="F8" s="8">
        <v>145785.18637061506</v>
      </c>
      <c r="G8" s="8">
        <v>104364.61106059773</v>
      </c>
      <c r="H8" s="8">
        <v>89151.622360163165</v>
      </c>
      <c r="I8" s="8">
        <v>115156.3879853408</v>
      </c>
      <c r="J8" s="8">
        <v>89119.41873324319</v>
      </c>
      <c r="K8" s="8">
        <v>76305.357847923195</v>
      </c>
      <c r="L8" s="8">
        <v>90452.552750415009</v>
      </c>
      <c r="M8" s="8">
        <v>96862.74554713926</v>
      </c>
      <c r="N8" s="8">
        <v>116641.77834683558</v>
      </c>
      <c r="O8" s="30">
        <v>1369953.8144348138</v>
      </c>
    </row>
    <row r="9" spans="1:16">
      <c r="A9" s="2"/>
      <c r="B9" s="6" t="s">
        <v>22</v>
      </c>
      <c r="C9" s="8">
        <v>118957.66887573054</v>
      </c>
      <c r="D9" s="8">
        <v>143511.89748586976</v>
      </c>
      <c r="E9" s="8">
        <v>197133.88431764691</v>
      </c>
      <c r="F9" s="8">
        <v>210439.02810998622</v>
      </c>
      <c r="G9" s="8">
        <v>193353.54027501715</v>
      </c>
      <c r="H9" s="8">
        <v>195264.27874328644</v>
      </c>
      <c r="I9" s="8">
        <v>198979.84287594672</v>
      </c>
      <c r="J9" s="8">
        <v>168075.39721816825</v>
      </c>
      <c r="K9" s="8">
        <v>211179.83355010531</v>
      </c>
      <c r="L9" s="8">
        <v>172184.83227662797</v>
      </c>
      <c r="M9" s="8">
        <v>195945.74707435415</v>
      </c>
      <c r="N9" s="8">
        <v>213481.84736470249</v>
      </c>
      <c r="O9" s="30">
        <v>2218507.798167442</v>
      </c>
    </row>
    <row r="10" spans="1:16">
      <c r="A10" s="2"/>
      <c r="B10" s="6" t="s">
        <v>23</v>
      </c>
      <c r="C10" s="8">
        <v>253447.32704576352</v>
      </c>
      <c r="D10" s="8">
        <v>212521.18402170375</v>
      </c>
      <c r="E10" s="8">
        <v>203781.86635165298</v>
      </c>
      <c r="F10" s="8">
        <v>188386.71287077054</v>
      </c>
      <c r="G10" s="8">
        <v>217850.29687353244</v>
      </c>
      <c r="H10" s="8">
        <v>166550.21006218824</v>
      </c>
      <c r="I10" s="8">
        <v>218334.14679523668</v>
      </c>
      <c r="J10" s="8">
        <v>203419.80459694137</v>
      </c>
      <c r="K10" s="8">
        <v>201642.26937393215</v>
      </c>
      <c r="L10" s="8">
        <v>141718.67133906018</v>
      </c>
      <c r="M10" s="8">
        <v>152729.24513830125</v>
      </c>
      <c r="N10" s="8">
        <v>115195.39475366948</v>
      </c>
      <c r="O10" s="30">
        <v>2275577.1292227525</v>
      </c>
    </row>
    <row r="11" spans="1:16">
      <c r="A11" s="2"/>
      <c r="B11" s="6" t="s">
        <v>24</v>
      </c>
      <c r="C11" s="8">
        <v>105797.85698120235</v>
      </c>
      <c r="D11" s="8">
        <v>151574.75242565453</v>
      </c>
      <c r="E11" s="8">
        <v>246171.12403860927</v>
      </c>
      <c r="F11" s="8">
        <v>193640.73941156315</v>
      </c>
      <c r="G11" s="8">
        <v>188058.93140433406</v>
      </c>
      <c r="H11" s="8">
        <v>157595.77233072909</v>
      </c>
      <c r="I11" s="8">
        <v>171614.83992966556</v>
      </c>
      <c r="J11" s="8">
        <v>148706.57733656204</v>
      </c>
      <c r="K11" s="8">
        <v>129471.43697004777</v>
      </c>
      <c r="L11" s="8">
        <v>117929.00660045353</v>
      </c>
      <c r="M11" s="8">
        <v>103385.42078333523</v>
      </c>
      <c r="N11" s="8">
        <v>147952.85806586922</v>
      </c>
      <c r="O11" s="30">
        <v>1861899.3162780257</v>
      </c>
    </row>
    <row r="12" spans="1:16">
      <c r="A12" s="2"/>
      <c r="B12" s="6" t="s">
        <v>25</v>
      </c>
      <c r="C12" s="8">
        <v>148235.49415426547</v>
      </c>
      <c r="D12" s="8">
        <v>121728.38652604097</v>
      </c>
      <c r="E12" s="8">
        <v>125751.84040046645</v>
      </c>
      <c r="F12" s="8">
        <v>145798.64963846677</v>
      </c>
      <c r="G12" s="8">
        <v>122306.42554831305</v>
      </c>
      <c r="H12" s="8">
        <v>124273.84770828315</v>
      </c>
      <c r="I12" s="8">
        <v>136391.22811325721</v>
      </c>
      <c r="J12" s="8">
        <v>111563.77958097344</v>
      </c>
      <c r="K12" s="8">
        <v>119040.78305539049</v>
      </c>
      <c r="L12" s="8">
        <v>134619.79667320452</v>
      </c>
      <c r="M12" s="8">
        <v>134837.47475584326</v>
      </c>
      <c r="N12" s="8">
        <v>143329.47971872051</v>
      </c>
      <c r="O12" s="30">
        <v>1567877.1858732251</v>
      </c>
    </row>
    <row r="13" spans="1:16">
      <c r="A13" s="2"/>
      <c r="B13" s="6" t="s">
        <v>26</v>
      </c>
      <c r="C13" s="8">
        <v>130569.9159767516</v>
      </c>
      <c r="D13" s="8">
        <v>162823.18297149689</v>
      </c>
      <c r="E13" s="8">
        <v>174214.2092762228</v>
      </c>
      <c r="F13" s="8">
        <v>195279.30391451184</v>
      </c>
      <c r="G13" s="8">
        <v>134159.98143010325</v>
      </c>
      <c r="H13" s="8">
        <v>150658.54211183629</v>
      </c>
      <c r="I13" s="8">
        <v>179136.60406855153</v>
      </c>
      <c r="J13" s="8">
        <v>179238.16183279481</v>
      </c>
      <c r="K13" s="8">
        <v>156409.92581498149</v>
      </c>
      <c r="L13" s="8">
        <v>204248.20809702412</v>
      </c>
      <c r="M13" s="8">
        <v>194307.26106515815</v>
      </c>
      <c r="N13" s="8">
        <v>189313.34682547423</v>
      </c>
      <c r="O13" s="30">
        <v>2050358.6433849072</v>
      </c>
    </row>
    <row r="14" spans="1:16">
      <c r="A14" s="2"/>
      <c r="B14" s="6" t="s">
        <v>27</v>
      </c>
      <c r="C14" s="8">
        <v>196598.92704759273</v>
      </c>
      <c r="D14" s="8">
        <v>186452.63815997774</v>
      </c>
      <c r="E14" s="8">
        <v>168342.76391640483</v>
      </c>
      <c r="F14" s="8">
        <v>170551.37160366529</v>
      </c>
      <c r="G14" s="8">
        <v>161437.15286196247</v>
      </c>
      <c r="H14" s="8">
        <v>148824.90893756176</v>
      </c>
      <c r="I14" s="8">
        <v>160387.33941097831</v>
      </c>
      <c r="J14" s="8">
        <v>158958.11644317882</v>
      </c>
      <c r="K14" s="8">
        <v>149830.47669371904</v>
      </c>
      <c r="L14" s="8">
        <v>149529.69772854983</v>
      </c>
      <c r="M14" s="8">
        <v>159816.85523481341</v>
      </c>
      <c r="N14" s="8">
        <v>194225.18027033069</v>
      </c>
      <c r="O14" s="30">
        <v>2004955.4283087349</v>
      </c>
    </row>
    <row r="15" spans="1:16">
      <c r="A15" s="2"/>
      <c r="B15" s="6" t="s">
        <v>28</v>
      </c>
      <c r="C15" s="8">
        <v>207501.11221375712</v>
      </c>
      <c r="D15" s="8">
        <v>164176.03519578071</v>
      </c>
      <c r="E15" s="8">
        <v>151636.56917867478</v>
      </c>
      <c r="F15" s="8">
        <v>145357.30695356464</v>
      </c>
      <c r="G15" s="8">
        <v>134821.11774528903</v>
      </c>
      <c r="H15" s="8">
        <v>149571.81546526647</v>
      </c>
      <c r="I15" s="8">
        <v>181085.43258799874</v>
      </c>
      <c r="J15" s="8">
        <v>169437.37365178289</v>
      </c>
      <c r="K15" s="8">
        <v>120046.51052071934</v>
      </c>
      <c r="L15" s="8">
        <v>160099.3483708101</v>
      </c>
      <c r="M15" s="8">
        <v>189237.88946517021</v>
      </c>
      <c r="N15" s="8">
        <v>232606.13414147575</v>
      </c>
      <c r="O15" s="30">
        <v>2005576.6454902894</v>
      </c>
    </row>
    <row r="16" spans="1:16">
      <c r="A16" s="2"/>
      <c r="B16" s="6" t="s">
        <v>29</v>
      </c>
      <c r="C16" s="8">
        <v>168497.50313514483</v>
      </c>
      <c r="D16" s="8">
        <v>151980.95001374988</v>
      </c>
      <c r="E16" s="8">
        <v>148013.41068946861</v>
      </c>
      <c r="F16" s="8">
        <v>151525.15516860332</v>
      </c>
      <c r="G16" s="8">
        <v>153489.74624769564</v>
      </c>
      <c r="H16" s="8">
        <v>167221.24806261121</v>
      </c>
      <c r="I16" s="8">
        <v>184639.55018126537</v>
      </c>
      <c r="J16" s="8">
        <v>166473.32439425567</v>
      </c>
      <c r="K16" s="8">
        <v>171276.58945906017</v>
      </c>
      <c r="L16" s="8">
        <v>179543.24705369773</v>
      </c>
      <c r="M16" s="8">
        <v>183227.10596743511</v>
      </c>
      <c r="N16" s="8">
        <v>180574.62017321447</v>
      </c>
      <c r="O16" s="30">
        <v>2006462.4505462022</v>
      </c>
    </row>
    <row r="17" spans="1:15">
      <c r="A17" s="2"/>
      <c r="B17" s="6" t="s">
        <v>30</v>
      </c>
      <c r="C17" s="8">
        <v>134629.78878244662</v>
      </c>
      <c r="D17" s="8">
        <v>138593.22127365731</v>
      </c>
      <c r="E17" s="8">
        <v>153087.96318616008</v>
      </c>
      <c r="F17" s="8">
        <v>170877.69585683991</v>
      </c>
      <c r="G17" s="8">
        <v>141684.09698613064</v>
      </c>
      <c r="H17" s="8">
        <v>117925.30685077971</v>
      </c>
      <c r="I17" s="8">
        <v>148280.99617722779</v>
      </c>
      <c r="J17" s="8">
        <v>144464.70390587076</v>
      </c>
      <c r="K17" s="8">
        <v>144259.49619122138</v>
      </c>
      <c r="L17" s="8">
        <v>158674.73213784822</v>
      </c>
      <c r="M17" s="8">
        <v>153318.15608727213</v>
      </c>
      <c r="N17" s="8">
        <v>143756.92544511706</v>
      </c>
      <c r="O17" s="30">
        <v>1749553.0828805717</v>
      </c>
    </row>
    <row r="18" spans="1:15">
      <c r="A18" s="2"/>
      <c r="B18" s="6" t="s">
        <v>31</v>
      </c>
      <c r="C18" s="8">
        <v>161296.18089283357</v>
      </c>
      <c r="D18" s="8">
        <v>170472.55901679114</v>
      </c>
      <c r="E18" s="8">
        <v>180043.12348007321</v>
      </c>
      <c r="F18" s="8">
        <v>201466.72798148423</v>
      </c>
      <c r="G18" s="8">
        <v>174941.06102411047</v>
      </c>
      <c r="H18" s="8">
        <v>166439.31256193091</v>
      </c>
      <c r="I18" s="8">
        <v>188005.5371266143</v>
      </c>
      <c r="J18" s="8">
        <v>148831.58681401223</v>
      </c>
      <c r="K18" s="8">
        <v>173980.3210583477</v>
      </c>
      <c r="L18" s="8">
        <v>153169.22496454476</v>
      </c>
      <c r="M18" s="8">
        <v>179499.25494800124</v>
      </c>
      <c r="N18" s="8">
        <v>167756.72110928502</v>
      </c>
      <c r="O18" s="30">
        <v>2065901.6109780287</v>
      </c>
    </row>
    <row r="19" spans="1:15">
      <c r="A19" s="2"/>
      <c r="B19" s="6" t="s">
        <v>32</v>
      </c>
      <c r="C19" s="8">
        <v>179911.72547160168</v>
      </c>
      <c r="D19" s="8">
        <v>166693.37761211104</v>
      </c>
      <c r="E19" s="8">
        <v>187254.41847327517</v>
      </c>
      <c r="F19" s="8">
        <v>192412.51777693821</v>
      </c>
      <c r="G19" s="8">
        <v>164106.79427128064</v>
      </c>
      <c r="H19" s="8">
        <v>130392.20934573791</v>
      </c>
      <c r="I19" s="8">
        <v>158543.0151293441</v>
      </c>
      <c r="J19" s="8">
        <v>158383.22742977733</v>
      </c>
      <c r="K19" s="8">
        <v>164832.59010517824</v>
      </c>
      <c r="L19" s="8">
        <v>180083.77397173725</v>
      </c>
      <c r="M19" s="8">
        <v>172088.58595821369</v>
      </c>
      <c r="N19" s="8">
        <v>167441.52683476475</v>
      </c>
      <c r="O19" s="30">
        <v>2022143.7623799599</v>
      </c>
    </row>
    <row r="20" spans="1:15">
      <c r="A20" s="2"/>
      <c r="B20" s="6" t="s">
        <v>33</v>
      </c>
      <c r="C20" s="8">
        <v>146926.97159770527</v>
      </c>
      <c r="D20" s="8">
        <v>203185.5408285241</v>
      </c>
      <c r="E20" s="8">
        <v>172004.6627776761</v>
      </c>
      <c r="F20" s="8">
        <v>193678.06660614992</v>
      </c>
      <c r="G20" s="8">
        <v>181079.28445951795</v>
      </c>
      <c r="H20" s="8">
        <v>154498.14698072479</v>
      </c>
      <c r="I20" s="8">
        <v>203073.57250656959</v>
      </c>
      <c r="J20" s="8">
        <v>192441.14867929977</v>
      </c>
      <c r="K20" s="8">
        <v>237221.68529570455</v>
      </c>
      <c r="L20" s="8">
        <v>229478.66332445436</v>
      </c>
      <c r="M20" s="8">
        <v>224267.53905686134</v>
      </c>
      <c r="N20" s="8">
        <v>253380.90647964922</v>
      </c>
      <c r="O20" s="30">
        <v>2391236.1885928367</v>
      </c>
    </row>
    <row r="21" spans="1:15">
      <c r="A21" s="2"/>
      <c r="B21" s="6" t="s">
        <v>34</v>
      </c>
      <c r="C21" s="8">
        <v>231079.02583496537</v>
      </c>
      <c r="D21" s="8">
        <v>210775.38304508445</v>
      </c>
      <c r="E21" s="8">
        <v>217584.1102665269</v>
      </c>
      <c r="F21" s="8">
        <v>197731.3959861628</v>
      </c>
      <c r="G21" s="8">
        <v>191324.19555426558</v>
      </c>
      <c r="H21" s="8">
        <v>191413.8704266829</v>
      </c>
      <c r="I21" s="8">
        <v>194449.26330251075</v>
      </c>
      <c r="J21" s="8">
        <v>180053.14937632607</v>
      </c>
      <c r="K21" s="8">
        <v>187358.98939114503</v>
      </c>
      <c r="L21" s="8">
        <v>199141.99671749599</v>
      </c>
      <c r="M21" s="8">
        <v>189232.9657806817</v>
      </c>
      <c r="N21" s="8">
        <v>213650.78029745541</v>
      </c>
      <c r="O21" s="30">
        <v>2403795.1259793034</v>
      </c>
    </row>
    <row r="22" spans="1:15">
      <c r="A22" s="2"/>
      <c r="B22" s="6" t="s">
        <v>35</v>
      </c>
      <c r="C22" s="8">
        <v>236583.56481923713</v>
      </c>
      <c r="D22" s="8">
        <v>240730.38360394616</v>
      </c>
      <c r="E22" s="8">
        <v>272120.14806470508</v>
      </c>
      <c r="F22" s="8">
        <v>217015.49432569067</v>
      </c>
      <c r="G22" s="8">
        <v>239189.82443827461</v>
      </c>
      <c r="H22" s="8">
        <v>224230.91453426878</v>
      </c>
      <c r="I22" s="8">
        <v>226589.3460070139</v>
      </c>
      <c r="J22" s="8">
        <v>205831.52586975615</v>
      </c>
      <c r="K22" s="8">
        <v>183228.22708365691</v>
      </c>
      <c r="L22" s="8">
        <v>190670.95528298349</v>
      </c>
      <c r="M22" s="8">
        <v>173994.53610365509</v>
      </c>
      <c r="N22" s="8">
        <v>187679.64284616784</v>
      </c>
      <c r="O22" s="30">
        <v>2597864.5629793559</v>
      </c>
    </row>
    <row r="23" spans="1:15">
      <c r="A23" s="2"/>
      <c r="B23" s="6" t="s">
        <v>36</v>
      </c>
      <c r="C23" s="8">
        <v>177063.58457607561</v>
      </c>
      <c r="D23" s="8">
        <v>149391.85860222808</v>
      </c>
      <c r="E23" s="8">
        <v>152924.20549828347</v>
      </c>
      <c r="F23" s="8">
        <v>137082.98630902969</v>
      </c>
      <c r="G23" s="8">
        <v>133213.38871783836</v>
      </c>
      <c r="H23" s="8">
        <v>127897.89314872977</v>
      </c>
      <c r="I23" s="8">
        <v>177222.90007498988</v>
      </c>
      <c r="J23" s="8">
        <v>173323.44607454538</v>
      </c>
      <c r="K23" s="8">
        <v>171091.3809061553</v>
      </c>
      <c r="L23" s="8">
        <v>155733.47679993219</v>
      </c>
      <c r="M23" s="8">
        <v>211895.09222685464</v>
      </c>
      <c r="N23" s="8">
        <v>199251.08896104022</v>
      </c>
      <c r="O23" s="30">
        <v>1966091.3018957025</v>
      </c>
    </row>
    <row r="24" spans="1:15">
      <c r="A24" s="2"/>
      <c r="B24" s="6" t="s">
        <v>37</v>
      </c>
      <c r="C24" s="8">
        <v>207997.86464759731</v>
      </c>
      <c r="D24" s="8">
        <v>151148.6880954286</v>
      </c>
      <c r="E24" s="8">
        <v>143440.99123084929</v>
      </c>
      <c r="F24" s="8">
        <v>145178.83908591603</v>
      </c>
      <c r="G24" s="8">
        <v>156387.76760705319</v>
      </c>
      <c r="H24" s="8">
        <v>153745.45343786376</v>
      </c>
      <c r="I24" s="8">
        <v>205717.63295915516</v>
      </c>
      <c r="J24" s="8">
        <v>177165.51478373527</v>
      </c>
      <c r="K24" s="8">
        <v>208625.88513623367</v>
      </c>
      <c r="L24" s="8">
        <v>187595.72203146663</v>
      </c>
      <c r="M24" s="8">
        <v>201576.04864992679</v>
      </c>
      <c r="N24" s="8">
        <v>199588.15110396437</v>
      </c>
      <c r="O24" s="30">
        <v>2138168.5587691902</v>
      </c>
    </row>
    <row r="25" spans="1:15">
      <c r="A25" s="2"/>
      <c r="B25" s="6" t="s">
        <v>38</v>
      </c>
      <c r="C25" s="8">
        <v>191278.55050165992</v>
      </c>
      <c r="D25" s="8">
        <v>150913.91939943325</v>
      </c>
      <c r="E25" s="8">
        <v>156824.88408639524</v>
      </c>
      <c r="F25" s="8">
        <v>173044.25939543347</v>
      </c>
      <c r="G25" s="8">
        <v>124568.95798699313</v>
      </c>
      <c r="H25" s="8">
        <v>143935.13947927475</v>
      </c>
      <c r="I25" s="8">
        <v>190211.4532846357</v>
      </c>
      <c r="J25" s="8">
        <v>187730.29606514549</v>
      </c>
      <c r="K25" s="8">
        <v>182061.11064749013</v>
      </c>
      <c r="L25" s="8">
        <v>165260.6434243102</v>
      </c>
      <c r="M25" s="8">
        <v>180548.64737674789</v>
      </c>
      <c r="N25" s="8">
        <v>169323.15948387573</v>
      </c>
      <c r="O25" s="30">
        <v>2015701.0211313949</v>
      </c>
    </row>
    <row r="26" spans="1:15">
      <c r="A26" s="2"/>
      <c r="B26" s="6" t="s">
        <v>39</v>
      </c>
      <c r="C26" s="8">
        <v>138381.36835845845</v>
      </c>
      <c r="D26" s="8">
        <v>139632.11640935738</v>
      </c>
      <c r="E26" s="8">
        <v>175595.45437445483</v>
      </c>
      <c r="F26" s="8">
        <v>187094.17355186967</v>
      </c>
      <c r="G26" s="8">
        <v>152673.14145636695</v>
      </c>
      <c r="H26" s="8">
        <v>145194.71119341659</v>
      </c>
      <c r="I26" s="8">
        <v>149351.80412012275</v>
      </c>
      <c r="J26" s="8">
        <v>151766.33095042224</v>
      </c>
      <c r="K26" s="8">
        <v>143946.20404347664</v>
      </c>
      <c r="L26" s="8">
        <v>131899.78115502841</v>
      </c>
      <c r="M26" s="8">
        <v>111550.93203383517</v>
      </c>
      <c r="N26" s="8">
        <v>96688.40414743268</v>
      </c>
      <c r="O26" s="30">
        <v>1723774.421794242</v>
      </c>
    </row>
    <row r="27" spans="1:15">
      <c r="A27" s="2"/>
      <c r="B27" s="6" t="s">
        <v>40</v>
      </c>
      <c r="C27" s="8">
        <v>107509.03108949405</v>
      </c>
      <c r="D27" s="8">
        <v>86512.452333405701</v>
      </c>
      <c r="E27" s="8">
        <v>75197.767970822359</v>
      </c>
      <c r="F27" s="8">
        <v>67673.116536095389</v>
      </c>
      <c r="G27" s="8">
        <v>66971.165594970487</v>
      </c>
      <c r="H27" s="8">
        <v>65718.050760121841</v>
      </c>
      <c r="I27" s="8">
        <v>88309.311201388395</v>
      </c>
      <c r="J27" s="8">
        <v>69955.56489010356</v>
      </c>
      <c r="K27" s="8">
        <v>68177.904232446002</v>
      </c>
      <c r="L27" s="8">
        <v>58486.244367483036</v>
      </c>
      <c r="M27" s="8">
        <v>73976.181122351729</v>
      </c>
      <c r="N27" s="8">
        <v>70741.701935767647</v>
      </c>
      <c r="O27" s="30">
        <v>899228.49203445017</v>
      </c>
    </row>
    <row r="28" spans="1:15">
      <c r="A28" s="2"/>
      <c r="B28" s="6" t="s">
        <v>41</v>
      </c>
      <c r="C28" s="8">
        <v>94364.753096003027</v>
      </c>
      <c r="D28" s="8">
        <v>141867.04053901171</v>
      </c>
      <c r="E28" s="8">
        <v>151421.88135442164</v>
      </c>
      <c r="F28" s="8">
        <v>149818.98742426914</v>
      </c>
      <c r="G28" s="8">
        <v>127953.46007116509</v>
      </c>
      <c r="H28" s="8">
        <v>146730.94336353347</v>
      </c>
      <c r="I28" s="8">
        <v>214898.77668076867</v>
      </c>
      <c r="J28" s="8">
        <v>243496.46887208932</v>
      </c>
      <c r="K28" s="8">
        <v>217883.01848022494</v>
      </c>
      <c r="L28" s="8">
        <v>201651.52530319107</v>
      </c>
      <c r="M28" s="8">
        <v>192895.37601245189</v>
      </c>
      <c r="N28" s="8">
        <v>190771.60330670734</v>
      </c>
      <c r="O28" s="30">
        <v>2073753.8345038376</v>
      </c>
    </row>
    <row r="29" spans="1:15">
      <c r="A29" s="2"/>
      <c r="B29" s="6" t="s">
        <v>42</v>
      </c>
      <c r="C29" s="8">
        <v>167737.7018057479</v>
      </c>
      <c r="D29" s="8">
        <v>164369.73354054504</v>
      </c>
      <c r="E29" s="8">
        <v>107697.26696146948</v>
      </c>
      <c r="F29" s="8">
        <v>130535.09211061581</v>
      </c>
      <c r="G29" s="8">
        <v>139485.92287601295</v>
      </c>
      <c r="H29" s="8">
        <v>164189.9833181068</v>
      </c>
      <c r="I29" s="8">
        <v>169594.49172945894</v>
      </c>
      <c r="J29" s="8">
        <v>204492.15463407681</v>
      </c>
      <c r="K29" s="8">
        <v>203138.40968964051</v>
      </c>
      <c r="L29" s="8">
        <v>181171.66228997975</v>
      </c>
      <c r="M29" s="8">
        <v>210738.67312989611</v>
      </c>
      <c r="N29" s="8">
        <v>171052.80772942791</v>
      </c>
      <c r="O29" s="30">
        <v>2014203.8998149775</v>
      </c>
    </row>
    <row r="30" spans="1:15">
      <c r="A30" s="2"/>
      <c r="B30" s="6" t="s">
        <v>43</v>
      </c>
      <c r="C30" s="8">
        <v>144170.57648962218</v>
      </c>
      <c r="D30" s="8">
        <v>103097.07803899939</v>
      </c>
      <c r="E30" s="8">
        <v>84662.77295292684</v>
      </c>
      <c r="F30" s="8">
        <v>116278.25835090246</v>
      </c>
      <c r="G30" s="8">
        <v>114477.47778135935</v>
      </c>
      <c r="H30" s="8">
        <v>141692.21233599962</v>
      </c>
      <c r="I30" s="8">
        <v>189473.42044039312</v>
      </c>
      <c r="J30" s="8">
        <v>208567.63866691216</v>
      </c>
      <c r="K30" s="8">
        <v>201271.65571586633</v>
      </c>
      <c r="L30" s="8">
        <v>252872.97992481952</v>
      </c>
      <c r="M30" s="8">
        <v>240893.8596549973</v>
      </c>
      <c r="N30" s="8">
        <v>239285.37644728206</v>
      </c>
      <c r="O30" s="30">
        <v>2036743.3068000805</v>
      </c>
    </row>
    <row r="31" spans="1:15">
      <c r="A31" s="2"/>
      <c r="B31" s="6" t="s">
        <v>44</v>
      </c>
      <c r="C31" s="8">
        <v>257608.09018388551</v>
      </c>
      <c r="D31" s="8">
        <v>154420.8165433573</v>
      </c>
      <c r="E31" s="8">
        <v>170825.85901043739</v>
      </c>
      <c r="F31" s="8">
        <v>165049.72026709522</v>
      </c>
      <c r="G31" s="8">
        <v>194726.61138524365</v>
      </c>
      <c r="H31" s="8">
        <v>208223.59261519142</v>
      </c>
      <c r="I31" s="8">
        <v>278493.52809685073</v>
      </c>
      <c r="J31" s="8">
        <v>222860.77532861914</v>
      </c>
      <c r="K31" s="8">
        <v>222009.74387497175</v>
      </c>
      <c r="L31" s="8">
        <v>208067.57113420079</v>
      </c>
      <c r="M31" s="8">
        <v>198720.46202619353</v>
      </c>
      <c r="N31" s="8">
        <v>150245.9335623704</v>
      </c>
      <c r="O31" s="30">
        <v>2431252.7040284169</v>
      </c>
    </row>
    <row r="32" spans="1:15">
      <c r="A32" s="2"/>
      <c r="B32" s="6" t="s">
        <v>45</v>
      </c>
      <c r="C32" s="8">
        <v>150162.3180319143</v>
      </c>
      <c r="D32" s="8">
        <v>120196.97204425663</v>
      </c>
      <c r="E32" s="8">
        <v>113003.99798121394</v>
      </c>
      <c r="F32" s="8">
        <v>151825.26916618345</v>
      </c>
      <c r="G32" s="7"/>
      <c r="H32" s="7"/>
      <c r="I32" s="7"/>
      <c r="J32" s="7"/>
      <c r="K32" s="7"/>
      <c r="L32" s="7"/>
      <c r="M32" s="7"/>
      <c r="N32" s="7"/>
      <c r="O32" s="30">
        <v>535188.5572235682</v>
      </c>
    </row>
    <row r="33" spans="1:15" ht="156">
      <c r="A33" s="1" t="s">
        <v>48</v>
      </c>
      <c r="B33" s="2"/>
      <c r="C33" s="2"/>
      <c r="D33" s="2"/>
      <c r="E33" s="2"/>
      <c r="F33" s="2"/>
      <c r="G33" s="2"/>
      <c r="H33" s="2"/>
      <c r="I33" s="2"/>
      <c r="J33" s="2"/>
      <c r="K33" s="2"/>
      <c r="L33" s="2"/>
      <c r="M33" s="2"/>
      <c r="N33" s="2"/>
      <c r="O33" s="24"/>
    </row>
    <row r="34" spans="1:15" ht="168">
      <c r="A34" s="1" t="s">
        <v>49</v>
      </c>
      <c r="B34" s="2"/>
      <c r="C34" s="2"/>
      <c r="D34" s="2"/>
      <c r="E34" s="2"/>
      <c r="F34" s="2"/>
      <c r="G34" s="2"/>
      <c r="H34" s="2"/>
      <c r="I34" s="2"/>
      <c r="J34" s="2"/>
      <c r="K34" s="2"/>
      <c r="L34" s="2"/>
      <c r="M34" s="2"/>
      <c r="N34" s="2"/>
      <c r="O34" s="24"/>
    </row>
    <row r="35" spans="1:15">
      <c r="A35" s="12" t="s">
        <v>50</v>
      </c>
      <c r="B35" s="2"/>
      <c r="C35" s="2"/>
      <c r="D35" s="2"/>
      <c r="E35" s="2"/>
      <c r="F35" s="2"/>
      <c r="G35" s="2"/>
      <c r="H35" s="2"/>
      <c r="I35" s="2"/>
      <c r="J35" s="2"/>
      <c r="K35" s="2"/>
      <c r="L35" s="2"/>
      <c r="M35" s="2"/>
      <c r="N35" s="2"/>
      <c r="O35" s="24"/>
    </row>
    <row r="77" spans="16:16">
      <c r="P77" s="13"/>
    </row>
    <row r="78" spans="16:16">
      <c r="P78" s="13"/>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B225D6-CF0A-CD40-802A-805DAAE00275}">
  <dimension ref="A1:Q78"/>
  <sheetViews>
    <sheetView zoomScale="111" workbookViewId="0">
      <selection activeCell="O32" sqref="O32"/>
    </sheetView>
  </sheetViews>
  <sheetFormatPr baseColWidth="10" defaultRowHeight="16"/>
  <cols>
    <col min="15" max="15" width="10.83203125" style="27"/>
    <col min="16" max="16" width="12.1640625" bestFit="1" customWidth="1"/>
    <col min="17" max="17" width="14.1640625" bestFit="1" customWidth="1"/>
  </cols>
  <sheetData>
    <row r="1" spans="1:17" ht="66" customHeight="1">
      <c r="A1" s="1" t="s">
        <v>0</v>
      </c>
      <c r="B1" s="2"/>
      <c r="C1" s="2"/>
      <c r="D1" s="2"/>
      <c r="E1" s="2"/>
      <c r="F1" s="2"/>
      <c r="G1" s="2"/>
      <c r="H1" s="2"/>
      <c r="I1" s="2"/>
      <c r="J1" s="2"/>
      <c r="K1" s="2"/>
      <c r="L1" s="2"/>
      <c r="M1" s="2"/>
      <c r="N1" s="2"/>
      <c r="O1" s="24"/>
      <c r="P1" t="s">
        <v>51</v>
      </c>
    </row>
    <row r="2" spans="1:17" ht="25">
      <c r="A2" s="3" t="s">
        <v>1</v>
      </c>
      <c r="B2" s="4"/>
      <c r="C2" s="5" t="s">
        <v>2</v>
      </c>
      <c r="D2" s="5" t="s">
        <v>3</v>
      </c>
      <c r="E2" s="5" t="s">
        <v>4</v>
      </c>
      <c r="F2" s="5" t="s">
        <v>5</v>
      </c>
      <c r="G2" s="5" t="s">
        <v>6</v>
      </c>
      <c r="H2" s="5" t="s">
        <v>7</v>
      </c>
      <c r="I2" s="5" t="s">
        <v>8</v>
      </c>
      <c r="J2" s="5" t="s">
        <v>9</v>
      </c>
      <c r="K2" s="5" t="s">
        <v>10</v>
      </c>
      <c r="L2" s="5" t="s">
        <v>11</v>
      </c>
      <c r="M2" s="5" t="s">
        <v>12</v>
      </c>
      <c r="N2" s="5" t="s">
        <v>13</v>
      </c>
      <c r="O2" s="28" t="s">
        <v>14</v>
      </c>
    </row>
    <row r="3" spans="1:17">
      <c r="A3" s="1" t="s">
        <v>47</v>
      </c>
      <c r="B3" s="6" t="s">
        <v>16</v>
      </c>
      <c r="C3" s="7"/>
      <c r="D3" s="7"/>
      <c r="E3" s="7"/>
      <c r="F3" s="7"/>
      <c r="G3" s="8">
        <v>32501.840967389249</v>
      </c>
      <c r="H3" s="8">
        <v>33002.702976858753</v>
      </c>
      <c r="I3" s="8">
        <v>30648.14038286775</v>
      </c>
      <c r="J3" s="8">
        <v>28248.010692968248</v>
      </c>
      <c r="K3" s="8">
        <v>21239.060171481004</v>
      </c>
      <c r="L3" s="8">
        <v>24105.106879946998</v>
      </c>
      <c r="M3" s="8">
        <v>25119.433817390251</v>
      </c>
      <c r="N3" s="8">
        <v>22869.115081834498</v>
      </c>
      <c r="O3" s="29"/>
    </row>
    <row r="4" spans="1:17">
      <c r="A4" s="2"/>
      <c r="B4" s="6" t="s">
        <v>17</v>
      </c>
      <c r="C4" s="8">
        <v>37711.378697530497</v>
      </c>
      <c r="D4" s="8">
        <v>33729.3302864445</v>
      </c>
      <c r="E4" s="8">
        <v>22408.75532480625</v>
      </c>
      <c r="F4" s="8">
        <v>19612.697294349</v>
      </c>
      <c r="G4" s="8">
        <v>33378.611932399501</v>
      </c>
      <c r="H4" s="8">
        <v>28182.429369283502</v>
      </c>
      <c r="I4" s="8">
        <v>31489.11163289925</v>
      </c>
      <c r="J4" s="8">
        <v>27544.536205521752</v>
      </c>
      <c r="K4" s="8">
        <v>22232.388989844003</v>
      </c>
      <c r="L4" s="8">
        <v>12501.896897708999</v>
      </c>
      <c r="M4" s="8">
        <v>14517.60983829675</v>
      </c>
      <c r="N4" s="8">
        <v>23760.672761544749</v>
      </c>
      <c r="O4" s="30">
        <v>307069.4192306287</v>
      </c>
      <c r="P4" s="16">
        <f>O4/39.368*10^6</f>
        <v>7799975087.1425695</v>
      </c>
      <c r="Q4" s="101">
        <f>8357402.9*1000</f>
        <v>8357402900</v>
      </c>
    </row>
    <row r="5" spans="1:17">
      <c r="A5" s="2"/>
      <c r="B5" s="6" t="s">
        <v>18</v>
      </c>
      <c r="C5" s="8">
        <v>18212.5860333255</v>
      </c>
      <c r="D5" s="8">
        <v>17699.7616661475</v>
      </c>
      <c r="E5" s="8">
        <v>20675.428833687747</v>
      </c>
      <c r="F5" s="8">
        <v>17623.359112848746</v>
      </c>
      <c r="G5" s="8">
        <v>16917.474697978501</v>
      </c>
      <c r="H5" s="8">
        <v>26675.127693785249</v>
      </c>
      <c r="I5" s="8">
        <v>29896.63096139325</v>
      </c>
      <c r="J5" s="8">
        <v>30388.648854132</v>
      </c>
      <c r="K5" s="8">
        <v>16532.754931246502</v>
      </c>
      <c r="L5" s="8">
        <v>4063.11657442875</v>
      </c>
      <c r="M5" s="8">
        <v>14562.92922917625</v>
      </c>
      <c r="N5" s="8">
        <v>19554.532200967496</v>
      </c>
      <c r="O5" s="30">
        <v>232802.35078911748</v>
      </c>
      <c r="P5" s="16">
        <f t="shared" ref="P5:P31" si="0">O5/39.368*10^6</f>
        <v>5913491942.4181433</v>
      </c>
    </row>
    <row r="6" spans="1:17">
      <c r="A6" s="2"/>
      <c r="B6" s="6" t="s">
        <v>19</v>
      </c>
      <c r="C6" s="8">
        <v>14660.649453640501</v>
      </c>
      <c r="D6" s="8">
        <v>16459.809697662749</v>
      </c>
      <c r="E6" s="8">
        <v>15121.240735346999</v>
      </c>
      <c r="F6" s="8">
        <v>30157.833237432751</v>
      </c>
      <c r="G6" s="8">
        <v>35198.140757816254</v>
      </c>
      <c r="H6" s="8">
        <v>42850.9815266925</v>
      </c>
      <c r="I6" s="8">
        <v>34571.071973128506</v>
      </c>
      <c r="J6" s="8">
        <v>45425.727396632254</v>
      </c>
      <c r="K6" s="8">
        <v>25007.215329393752</v>
      </c>
      <c r="L6" s="8">
        <v>8305.1398382557509</v>
      </c>
      <c r="M6" s="8">
        <v>9326.3206699192506</v>
      </c>
      <c r="N6" s="8">
        <v>14349.387967526251</v>
      </c>
      <c r="O6" s="30">
        <v>291433.51858344756</v>
      </c>
      <c r="P6" s="16">
        <f t="shared" si="0"/>
        <v>7402802239.9778385</v>
      </c>
    </row>
    <row r="7" spans="1:17">
      <c r="A7" s="2"/>
      <c r="B7" s="6" t="s">
        <v>20</v>
      </c>
      <c r="C7" s="8">
        <v>23555.198211792751</v>
      </c>
      <c r="D7" s="8">
        <v>19463.829288329252</v>
      </c>
      <c r="E7" s="8">
        <v>13422.099585379501</v>
      </c>
      <c r="F7" s="8">
        <v>33459.162954410254</v>
      </c>
      <c r="G7" s="8">
        <v>33278.776648703999</v>
      </c>
      <c r="H7" s="8">
        <v>34737.232325487756</v>
      </c>
      <c r="I7" s="8">
        <v>32915.200899786752</v>
      </c>
      <c r="J7" s="8">
        <v>35484.350887935005</v>
      </c>
      <c r="K7" s="8">
        <v>18923.575526014502</v>
      </c>
      <c r="L7" s="8">
        <v>4939.8278178037508</v>
      </c>
      <c r="M7" s="8">
        <v>12041.956333806749</v>
      </c>
      <c r="N7" s="8">
        <v>14879.077299321751</v>
      </c>
      <c r="O7" s="30">
        <v>277100.28777877201</v>
      </c>
      <c r="P7" s="16">
        <f t="shared" si="0"/>
        <v>7038718953.941577</v>
      </c>
      <c r="Q7" s="99">
        <v>7595753</v>
      </c>
    </row>
    <row r="8" spans="1:17">
      <c r="A8" s="2"/>
      <c r="B8" s="6" t="s">
        <v>21</v>
      </c>
      <c r="C8" s="8">
        <v>14698.166372316002</v>
      </c>
      <c r="D8" s="8">
        <v>13646.045048771251</v>
      </c>
      <c r="E8" s="8">
        <v>10904.887499564251</v>
      </c>
      <c r="F8" s="8">
        <v>17376.482509933503</v>
      </c>
      <c r="G8" s="8">
        <v>19591.247306495254</v>
      </c>
      <c r="H8" s="8">
        <v>23446.505111215502</v>
      </c>
      <c r="I8" s="8">
        <v>27258.985651063504</v>
      </c>
      <c r="J8" s="8">
        <v>19397.928530664001</v>
      </c>
      <c r="K8" s="8">
        <v>17017.555285239752</v>
      </c>
      <c r="L8" s="8">
        <v>9360.7848563850021</v>
      </c>
      <c r="M8" s="8">
        <v>12840.992838884251</v>
      </c>
      <c r="N8" s="8">
        <v>16028.581500796503</v>
      </c>
      <c r="O8" s="30">
        <v>201568.16251132876</v>
      </c>
      <c r="P8" s="16">
        <f t="shared" si="0"/>
        <v>5120101669.1558819</v>
      </c>
    </row>
    <row r="9" spans="1:17">
      <c r="A9" s="2"/>
      <c r="B9" s="6" t="s">
        <v>22</v>
      </c>
      <c r="C9" s="8">
        <v>22504.105186938003</v>
      </c>
      <c r="D9" s="8">
        <v>20517.675610484253</v>
      </c>
      <c r="E9" s="8">
        <v>21058.565406245998</v>
      </c>
      <c r="F9" s="8">
        <v>22148.690279404502</v>
      </c>
      <c r="G9" s="8">
        <v>20795.575260501006</v>
      </c>
      <c r="H9" s="8">
        <v>17983.516713459754</v>
      </c>
      <c r="I9" s="8">
        <v>18123.73035771375</v>
      </c>
      <c r="J9" s="8">
        <v>13636.923228405001</v>
      </c>
      <c r="K9" s="8">
        <v>22592.804255651252</v>
      </c>
      <c r="L9" s="8">
        <v>14943.0456270675</v>
      </c>
      <c r="M9" s="8">
        <v>12045.503176922251</v>
      </c>
      <c r="N9" s="8">
        <v>16338.678434707501</v>
      </c>
      <c r="O9" s="30">
        <v>222688.81353750077</v>
      </c>
      <c r="P9" s="16">
        <f t="shared" si="0"/>
        <v>5656594532.0438118</v>
      </c>
    </row>
    <row r="10" spans="1:17">
      <c r="A10" s="2"/>
      <c r="B10" s="6" t="s">
        <v>23</v>
      </c>
      <c r="C10" s="8">
        <v>24207.537751733253</v>
      </c>
      <c r="D10" s="8">
        <v>15884.254779887251</v>
      </c>
      <c r="E10" s="8">
        <v>13622.554919466002</v>
      </c>
      <c r="F10" s="8">
        <v>29005.476924350249</v>
      </c>
      <c r="G10" s="8">
        <v>22634.539836628501</v>
      </c>
      <c r="H10" s="8">
        <v>15128.048096295752</v>
      </c>
      <c r="I10" s="8">
        <v>17205.765794424002</v>
      </c>
      <c r="J10" s="8">
        <v>10715.973597857252</v>
      </c>
      <c r="K10" s="8">
        <v>8237.7662356215005</v>
      </c>
      <c r="L10" s="8">
        <v>9329.1783324502503</v>
      </c>
      <c r="M10" s="8">
        <v>15785.649557163002</v>
      </c>
      <c r="N10" s="8">
        <v>16065.238695628501</v>
      </c>
      <c r="O10" s="30">
        <v>197821.98452150551</v>
      </c>
      <c r="P10" s="16">
        <f t="shared" si="0"/>
        <v>5024943723.8748608</v>
      </c>
    </row>
    <row r="11" spans="1:17">
      <c r="A11" s="2"/>
      <c r="B11" s="6" t="s">
        <v>24</v>
      </c>
      <c r="C11" s="8">
        <v>15703.495696221753</v>
      </c>
      <c r="D11" s="8">
        <v>18244.747216534499</v>
      </c>
      <c r="E11" s="8">
        <v>22206.573378011253</v>
      </c>
      <c r="F11" s="8">
        <v>19908.045385816498</v>
      </c>
      <c r="G11" s="8">
        <v>23212.307722473004</v>
      </c>
      <c r="H11" s="8">
        <v>15848.752492037251</v>
      </c>
      <c r="I11" s="8">
        <v>24726.103545122998</v>
      </c>
      <c r="J11" s="8">
        <v>21515.119631388006</v>
      </c>
      <c r="K11" s="8">
        <v>14765.10865640325</v>
      </c>
      <c r="L11" s="8">
        <v>6621.2064857902506</v>
      </c>
      <c r="M11" s="8">
        <v>7370.2241726175007</v>
      </c>
      <c r="N11" s="8">
        <v>15252.459521841003</v>
      </c>
      <c r="O11" s="30">
        <v>205374.14390425727</v>
      </c>
      <c r="P11" s="16">
        <f t="shared" si="0"/>
        <v>5216778701.0835514</v>
      </c>
    </row>
    <row r="12" spans="1:17">
      <c r="A12" s="2"/>
      <c r="B12" s="6" t="s">
        <v>25</v>
      </c>
      <c r="C12" s="8">
        <v>17638.217320290751</v>
      </c>
      <c r="D12" s="8">
        <v>15057.677624998501</v>
      </c>
      <c r="E12" s="8">
        <v>16747.13973638925</v>
      </c>
      <c r="F12" s="8">
        <v>23319.406920712499</v>
      </c>
      <c r="G12" s="8">
        <v>24328.040461209002</v>
      </c>
      <c r="H12" s="8">
        <v>35549.921582192248</v>
      </c>
      <c r="I12" s="8">
        <v>23905.101367485004</v>
      </c>
      <c r="J12" s="8">
        <v>14990.326422898501</v>
      </c>
      <c r="K12" s="8">
        <v>16236.022179690002</v>
      </c>
      <c r="L12" s="8">
        <v>7511.8813324942503</v>
      </c>
      <c r="M12" s="8">
        <v>8956.6813444005002</v>
      </c>
      <c r="N12" s="8">
        <v>7843.132519965</v>
      </c>
      <c r="O12" s="30">
        <v>212083.54881272552</v>
      </c>
      <c r="P12" s="16">
        <f t="shared" si="0"/>
        <v>5387206584.3508816</v>
      </c>
    </row>
    <row r="13" spans="1:17">
      <c r="A13" s="2"/>
      <c r="B13" s="6" t="s">
        <v>26</v>
      </c>
      <c r="C13" s="8">
        <v>10808.209273941002</v>
      </c>
      <c r="D13" s="8">
        <v>12640.587148160999</v>
      </c>
      <c r="E13" s="8">
        <v>17076.866939534251</v>
      </c>
      <c r="F13" s="8">
        <v>16806.044992239003</v>
      </c>
      <c r="G13" s="8">
        <v>19818.562022826754</v>
      </c>
      <c r="H13" s="8">
        <v>27047.588896095753</v>
      </c>
      <c r="I13" s="8">
        <v>20761.323505112254</v>
      </c>
      <c r="J13" s="8">
        <v>15030.474872877001</v>
      </c>
      <c r="K13" s="8">
        <v>15597.914616438751</v>
      </c>
      <c r="L13" s="8">
        <v>10059.574285872</v>
      </c>
      <c r="M13" s="8">
        <v>16448.7032450775</v>
      </c>
      <c r="N13" s="8">
        <v>14594.327928119252</v>
      </c>
      <c r="O13" s="30">
        <v>196690.1777262945</v>
      </c>
      <c r="P13" s="16">
        <f t="shared" si="0"/>
        <v>4996194313.3076229</v>
      </c>
    </row>
    <row r="14" spans="1:17">
      <c r="A14" s="2"/>
      <c r="B14" s="6" t="s">
        <v>27</v>
      </c>
      <c r="C14" s="8">
        <v>22506.358310621999</v>
      </c>
      <c r="D14" s="8">
        <v>19441.048299311249</v>
      </c>
      <c r="E14" s="8">
        <v>22927.546580163751</v>
      </c>
      <c r="F14" s="8">
        <v>26544.712177064252</v>
      </c>
      <c r="G14" s="8">
        <v>25344.340181028001</v>
      </c>
      <c r="H14" s="8">
        <v>24971.733276824252</v>
      </c>
      <c r="I14" s="8">
        <v>25915.363104600001</v>
      </c>
      <c r="J14" s="8">
        <v>18742.619325521249</v>
      </c>
      <c r="K14" s="8">
        <v>19076.024586159001</v>
      </c>
      <c r="L14" s="8">
        <v>10712.384709450751</v>
      </c>
      <c r="M14" s="8">
        <v>17302.100453329498</v>
      </c>
      <c r="N14" s="8">
        <v>21776.701259884503</v>
      </c>
      <c r="O14" s="30">
        <v>255260.9322639585</v>
      </c>
      <c r="P14" s="16">
        <f t="shared" si="0"/>
        <v>6483970033.1222944</v>
      </c>
    </row>
    <row r="15" spans="1:17">
      <c r="A15" s="2"/>
      <c r="B15" s="6" t="s">
        <v>28</v>
      </c>
      <c r="C15" s="8">
        <v>20513.040156519754</v>
      </c>
      <c r="D15" s="8">
        <v>17877.510968364</v>
      </c>
      <c r="E15" s="8">
        <v>24322.260336007501</v>
      </c>
      <c r="F15" s="8">
        <v>18599.915481981756</v>
      </c>
      <c r="G15" s="8">
        <v>24856.715784989254</v>
      </c>
      <c r="H15" s="8">
        <v>25377.441674888254</v>
      </c>
      <c r="I15" s="8">
        <v>21396.835401536253</v>
      </c>
      <c r="J15" s="8">
        <v>17936.854550309254</v>
      </c>
      <c r="K15" s="8">
        <v>24017.021601619501</v>
      </c>
      <c r="L15" s="8">
        <v>16788.874963052254</v>
      </c>
      <c r="M15" s="8">
        <v>10343.069030315251</v>
      </c>
      <c r="N15" s="8">
        <v>14552.195633286752</v>
      </c>
      <c r="O15" s="30">
        <v>236581.73558286976</v>
      </c>
      <c r="P15" s="16">
        <f t="shared" si="0"/>
        <v>6009493385.0556231</v>
      </c>
    </row>
    <row r="16" spans="1:17">
      <c r="A16" s="2"/>
      <c r="B16" s="6" t="s">
        <v>29</v>
      </c>
      <c r="C16" s="8">
        <v>18146.864952353255</v>
      </c>
      <c r="D16" s="8">
        <v>20873.828397127501</v>
      </c>
      <c r="E16" s="8">
        <v>24460.691582742751</v>
      </c>
      <c r="F16" s="8">
        <v>24938.91952550325</v>
      </c>
      <c r="G16" s="8">
        <v>28396.96101799875</v>
      </c>
      <c r="H16" s="8">
        <v>24941.245322976753</v>
      </c>
      <c r="I16" s="8">
        <v>19166.104732450502</v>
      </c>
      <c r="J16" s="8">
        <v>18105.72654836025</v>
      </c>
      <c r="K16" s="8">
        <v>15658.0697354895</v>
      </c>
      <c r="L16" s="8">
        <v>10890.92326634325</v>
      </c>
      <c r="M16" s="8">
        <v>16937.926779431251</v>
      </c>
      <c r="N16" s="8">
        <v>19297.859871982502</v>
      </c>
      <c r="O16" s="30">
        <v>241815.12173275946</v>
      </c>
      <c r="P16" s="16">
        <f t="shared" si="0"/>
        <v>6142428412.2322559</v>
      </c>
    </row>
    <row r="17" spans="1:16">
      <c r="A17" s="2"/>
      <c r="B17" s="6" t="s">
        <v>30</v>
      </c>
      <c r="C17" s="8">
        <v>17855.13267717525</v>
      </c>
      <c r="D17" s="8">
        <v>19411.555732296751</v>
      </c>
      <c r="E17" s="8">
        <v>13619.659817729251</v>
      </c>
      <c r="F17" s="8">
        <v>15292.336960786501</v>
      </c>
      <c r="G17" s="8">
        <v>17972.07803221275</v>
      </c>
      <c r="H17" s="8">
        <v>12259.0074717855</v>
      </c>
      <c r="I17" s="8">
        <v>12851.9682739335</v>
      </c>
      <c r="J17" s="8">
        <v>14406.385162403252</v>
      </c>
      <c r="K17" s="8">
        <v>12990.432511262252</v>
      </c>
      <c r="L17" s="8">
        <v>11527.934187622501</v>
      </c>
      <c r="M17" s="8">
        <v>14498.439902010001</v>
      </c>
      <c r="N17" s="8">
        <v>21613.938269395501</v>
      </c>
      <c r="O17" s="30">
        <v>184298.868998613</v>
      </c>
      <c r="P17" s="16">
        <f t="shared" si="0"/>
        <v>4681438452.5150623</v>
      </c>
    </row>
    <row r="18" spans="1:16">
      <c r="A18" s="2"/>
      <c r="B18" s="6" t="s">
        <v>31</v>
      </c>
      <c r="C18" s="8">
        <v>25542.588412914753</v>
      </c>
      <c r="D18" s="8">
        <v>19679.965980597</v>
      </c>
      <c r="E18" s="8">
        <v>15552.555778572751</v>
      </c>
      <c r="F18" s="8">
        <v>18149.286020991753</v>
      </c>
      <c r="G18" s="8">
        <v>19892.137620829501</v>
      </c>
      <c r="H18" s="8">
        <v>17863.171713193504</v>
      </c>
      <c r="I18" s="8">
        <v>20201.657691773249</v>
      </c>
      <c r="J18" s="8">
        <v>16386.419957168251</v>
      </c>
      <c r="K18" s="8">
        <v>9916.6943875185007</v>
      </c>
      <c r="L18" s="8">
        <v>8867.545957372502</v>
      </c>
      <c r="M18" s="8">
        <v>11846.067519879</v>
      </c>
      <c r="N18" s="8">
        <v>14875.1199634635</v>
      </c>
      <c r="O18" s="30">
        <v>198773.21100427429</v>
      </c>
      <c r="P18" s="16">
        <f t="shared" si="0"/>
        <v>5049106152.3134089</v>
      </c>
    </row>
    <row r="19" spans="1:16">
      <c r="A19" s="2"/>
      <c r="B19" s="6" t="s">
        <v>32</v>
      </c>
      <c r="C19" s="8">
        <v>17500.011259945502</v>
      </c>
      <c r="D19" s="8">
        <v>14014.893033096751</v>
      </c>
      <c r="E19" s="8">
        <v>12429.817765625252</v>
      </c>
      <c r="F19" s="8">
        <v>14973.153519829501</v>
      </c>
      <c r="G19" s="8">
        <v>19127.011036626001</v>
      </c>
      <c r="H19" s="8">
        <v>21184.188035370753</v>
      </c>
      <c r="I19" s="8">
        <v>19190.828859552003</v>
      </c>
      <c r="J19" s="8">
        <v>15026.084407532251</v>
      </c>
      <c r="K19" s="8">
        <v>17000.654534883</v>
      </c>
      <c r="L19" s="8">
        <v>10867.41656300475</v>
      </c>
      <c r="M19" s="8">
        <v>14137.755947896501</v>
      </c>
      <c r="N19" s="8">
        <v>8590.8229062435021</v>
      </c>
      <c r="O19" s="30">
        <v>184042.63786960574</v>
      </c>
      <c r="P19" s="16">
        <f t="shared" si="0"/>
        <v>4674929838.1834412</v>
      </c>
    </row>
    <row r="20" spans="1:16">
      <c r="A20" s="2"/>
      <c r="B20" s="6" t="s">
        <v>33</v>
      </c>
      <c r="C20" s="8">
        <v>12225.461825328752</v>
      </c>
      <c r="D20" s="8">
        <v>17761.4295102045</v>
      </c>
      <c r="E20" s="8">
        <v>10006.844451822002</v>
      </c>
      <c r="F20" s="8">
        <v>18139.002994723502</v>
      </c>
      <c r="G20" s="8">
        <v>18373.386595288503</v>
      </c>
      <c r="H20" s="8">
        <v>20838.442599929254</v>
      </c>
      <c r="I20" s="8">
        <v>23003.782527028499</v>
      </c>
      <c r="J20" s="8">
        <v>22100.257411105504</v>
      </c>
      <c r="K20" s="8">
        <v>17668.702557729001</v>
      </c>
      <c r="L20" s="8">
        <v>12829.470500106001</v>
      </c>
      <c r="M20" s="8">
        <v>10093.312876122</v>
      </c>
      <c r="N20" s="8">
        <v>11273.963819739751</v>
      </c>
      <c r="O20" s="30">
        <v>194314.05766912724</v>
      </c>
      <c r="P20" s="16">
        <f t="shared" si="0"/>
        <v>4935837677.0251789</v>
      </c>
    </row>
    <row r="21" spans="1:16">
      <c r="A21" s="2"/>
      <c r="B21" s="6" t="s">
        <v>34</v>
      </c>
      <c r="C21" s="8">
        <v>13232.902980269251</v>
      </c>
      <c r="D21" s="8">
        <v>10386.275409112501</v>
      </c>
      <c r="E21" s="8">
        <v>12798.436233053249</v>
      </c>
      <c r="F21" s="8">
        <v>17264.277407141999</v>
      </c>
      <c r="G21" s="8">
        <v>11521.049625535501</v>
      </c>
      <c r="H21" s="8">
        <v>14078.537990037001</v>
      </c>
      <c r="I21" s="8">
        <v>11174.623670524501</v>
      </c>
      <c r="J21" s="8">
        <v>11710.982298816001</v>
      </c>
      <c r="K21" s="8">
        <v>12344.694593796001</v>
      </c>
      <c r="L21" s="8">
        <v>9806.1777889695004</v>
      </c>
      <c r="M21" s="8">
        <v>9721.5944345842508</v>
      </c>
      <c r="N21" s="8">
        <v>18549.391884030003</v>
      </c>
      <c r="O21" s="30">
        <v>152588.94431586974</v>
      </c>
      <c r="P21" s="16">
        <f t="shared" si="0"/>
        <v>3875963836.5136595</v>
      </c>
    </row>
    <row r="22" spans="1:16">
      <c r="A22" s="2"/>
      <c r="B22" s="6" t="s">
        <v>35</v>
      </c>
      <c r="C22" s="8">
        <v>33061.483238514753</v>
      </c>
      <c r="D22" s="8">
        <v>32600.587482762749</v>
      </c>
      <c r="E22" s="8">
        <v>28040.423839762501</v>
      </c>
      <c r="F22" s="8">
        <v>30086.982276644252</v>
      </c>
      <c r="G22" s="8">
        <v>33550.163530386752</v>
      </c>
      <c r="H22" s="8">
        <v>27349.823833008752</v>
      </c>
      <c r="I22" s="8">
        <v>24019.513493739752</v>
      </c>
      <c r="J22" s="8">
        <v>15793.125469733252</v>
      </c>
      <c r="K22" s="8">
        <v>17906.859841266003</v>
      </c>
      <c r="L22" s="8">
        <v>7476.8921704147506</v>
      </c>
      <c r="M22" s="8">
        <v>10037.930330650501</v>
      </c>
      <c r="N22" s="8">
        <v>16816.705638761254</v>
      </c>
      <c r="O22" s="30">
        <v>276740.49114564527</v>
      </c>
      <c r="P22" s="16">
        <f t="shared" si="0"/>
        <v>7029579636.9042187</v>
      </c>
    </row>
    <row r="23" spans="1:16">
      <c r="A23" s="2"/>
      <c r="B23" s="6" t="s">
        <v>36</v>
      </c>
      <c r="C23" s="8">
        <v>18663.508118517751</v>
      </c>
      <c r="D23" s="8">
        <v>16045.244585028</v>
      </c>
      <c r="E23" s="8">
        <v>9448.8214361872524</v>
      </c>
      <c r="F23" s="8">
        <v>10894.096898448752</v>
      </c>
      <c r="G23" s="8">
        <v>11706.733204857001</v>
      </c>
      <c r="H23" s="8">
        <v>9573.6856359757494</v>
      </c>
      <c r="I23" s="8">
        <v>13936.736230578001</v>
      </c>
      <c r="J23" s="8">
        <v>11827.301934888001</v>
      </c>
      <c r="K23" s="8">
        <v>9469.7691639075001</v>
      </c>
      <c r="L23" s="8">
        <v>9553.6238513535009</v>
      </c>
      <c r="M23" s="8">
        <v>10208.25670996125</v>
      </c>
      <c r="N23" s="8">
        <v>11660.039271528751</v>
      </c>
      <c r="O23" s="30">
        <v>142987.81704123152</v>
      </c>
      <c r="P23" s="16">
        <f t="shared" si="0"/>
        <v>3632082326.7941351</v>
      </c>
    </row>
    <row r="24" spans="1:16">
      <c r="A24" s="2"/>
      <c r="B24" s="6" t="s">
        <v>37</v>
      </c>
      <c r="C24" s="8">
        <v>17318.229625354499</v>
      </c>
      <c r="D24" s="8">
        <v>8204.7675322619998</v>
      </c>
      <c r="E24" s="8">
        <v>20705.899189927499</v>
      </c>
      <c r="F24" s="8">
        <v>13154.32466189775</v>
      </c>
      <c r="G24" s="8">
        <v>13694.476421076752</v>
      </c>
      <c r="H24" s="8">
        <v>16318.26690255225</v>
      </c>
      <c r="I24" s="8">
        <v>14166.135180801</v>
      </c>
      <c r="J24" s="8">
        <v>15771.789492331502</v>
      </c>
      <c r="K24" s="8">
        <v>17003.01816524475</v>
      </c>
      <c r="L24" s="8">
        <v>6830.20370655225</v>
      </c>
      <c r="M24" s="8">
        <v>7987.2908235007508</v>
      </c>
      <c r="N24" s="8">
        <v>12979.080243324002</v>
      </c>
      <c r="O24" s="30">
        <v>164133.48194482501</v>
      </c>
      <c r="P24" s="16">
        <f t="shared" si="0"/>
        <v>4169210575.7169528</v>
      </c>
    </row>
    <row r="25" spans="1:16">
      <c r="A25" s="2"/>
      <c r="B25" s="6" t="s">
        <v>38</v>
      </c>
      <c r="C25" s="8">
        <v>11923.233029862751</v>
      </c>
      <c r="D25" s="8">
        <v>10778.619782295002</v>
      </c>
      <c r="E25" s="8">
        <v>13212.355037127751</v>
      </c>
      <c r="F25" s="8">
        <v>10070.173006137002</v>
      </c>
      <c r="G25" s="8">
        <v>9746.9064083947505</v>
      </c>
      <c r="H25" s="8">
        <v>5769.2416913144998</v>
      </c>
      <c r="I25" s="8">
        <v>20426.508900492754</v>
      </c>
      <c r="J25" s="8">
        <v>14672.233758044253</v>
      </c>
      <c r="K25" s="8">
        <v>16074.312880412253</v>
      </c>
      <c r="L25" s="8">
        <v>14137.959127434751</v>
      </c>
      <c r="M25" s="8">
        <v>11293.966512618752</v>
      </c>
      <c r="N25" s="8">
        <v>13448.895584742</v>
      </c>
      <c r="O25" s="30">
        <v>151554.40571887651</v>
      </c>
      <c r="P25" s="16">
        <f t="shared" si="0"/>
        <v>3849685168.6363668</v>
      </c>
    </row>
    <row r="26" spans="1:16">
      <c r="A26" s="2"/>
      <c r="B26" s="6" t="s">
        <v>39</v>
      </c>
      <c r="C26" s="8">
        <v>10882.749709014752</v>
      </c>
      <c r="D26" s="8">
        <v>6754.1156268345003</v>
      </c>
      <c r="E26" s="8">
        <v>4473.2164614120002</v>
      </c>
      <c r="F26" s="8">
        <v>5953.08094686</v>
      </c>
      <c r="G26" s="8">
        <v>3502.8351203962502</v>
      </c>
      <c r="H26" s="8">
        <v>2308.3896994515003</v>
      </c>
      <c r="I26" s="8">
        <v>4135.7613101602501</v>
      </c>
      <c r="J26" s="8">
        <v>2682.4546461622499</v>
      </c>
      <c r="K26" s="8">
        <v>906.41927282175016</v>
      </c>
      <c r="L26" s="8">
        <v>1391.5038262117503</v>
      </c>
      <c r="M26" s="8">
        <v>6562.60716061125</v>
      </c>
      <c r="N26" s="8">
        <v>13856.987021715002</v>
      </c>
      <c r="O26" s="30">
        <v>63410.120801651246</v>
      </c>
      <c r="P26" s="16">
        <f t="shared" si="0"/>
        <v>1610702113.433531</v>
      </c>
    </row>
    <row r="27" spans="1:16">
      <c r="A27" s="2"/>
      <c r="B27" s="6" t="s">
        <v>40</v>
      </c>
      <c r="C27" s="8">
        <v>8435.3571752062489</v>
      </c>
      <c r="D27" s="8">
        <v>11268.717370535251</v>
      </c>
      <c r="E27" s="8">
        <v>7637.9039430390012</v>
      </c>
      <c r="F27" s="8">
        <v>5549.5214253539998</v>
      </c>
      <c r="G27" s="8">
        <v>6870.9195711180009</v>
      </c>
      <c r="H27" s="8">
        <v>6726.4436051729999</v>
      </c>
      <c r="I27" s="8">
        <v>6711.4782767227498</v>
      </c>
      <c r="J27" s="8">
        <v>3515.9369921010007</v>
      </c>
      <c r="K27" s="8">
        <v>3358.1596755285004</v>
      </c>
      <c r="L27" s="8">
        <v>2136.9865985032502</v>
      </c>
      <c r="M27" s="8">
        <v>5758.9358708295003</v>
      </c>
      <c r="N27" s="8">
        <v>8325.5774321925001</v>
      </c>
      <c r="O27" s="30">
        <v>76295.937936303017</v>
      </c>
      <c r="P27" s="16">
        <f t="shared" si="0"/>
        <v>1938019150.993269</v>
      </c>
    </row>
    <row r="28" spans="1:16">
      <c r="A28" s="2"/>
      <c r="B28" s="6" t="s">
        <v>41</v>
      </c>
      <c r="C28" s="8">
        <v>16230.312248078251</v>
      </c>
      <c r="D28" s="8">
        <v>9494.4570328507507</v>
      </c>
      <c r="E28" s="8">
        <v>7663.9434421095002</v>
      </c>
      <c r="F28" s="8">
        <v>6258.0519771480012</v>
      </c>
      <c r="G28" s="8">
        <v>16908.331185706498</v>
      </c>
      <c r="H28" s="8">
        <v>15982.908307454252</v>
      </c>
      <c r="I28" s="8">
        <v>22187.678114004753</v>
      </c>
      <c r="J28" s="8">
        <v>31858.792413185249</v>
      </c>
      <c r="K28" s="8">
        <v>17007.736646848505</v>
      </c>
      <c r="L28" s="8">
        <v>3239.2134685530004</v>
      </c>
      <c r="M28" s="8">
        <v>29616.861673815754</v>
      </c>
      <c r="N28" s="8">
        <v>34534.031961433502</v>
      </c>
      <c r="O28" s="30">
        <v>210982.31847118805</v>
      </c>
      <c r="P28" s="16">
        <f t="shared" si="0"/>
        <v>5359233856.7158108</v>
      </c>
    </row>
    <row r="29" spans="1:16">
      <c r="A29" s="2"/>
      <c r="B29" s="6" t="s">
        <v>42</v>
      </c>
      <c r="C29" s="8">
        <v>30200.068834553254</v>
      </c>
      <c r="D29" s="8">
        <v>28394.509753912502</v>
      </c>
      <c r="E29" s="8">
        <v>25047.929737334252</v>
      </c>
      <c r="F29" s="8">
        <v>30098.120735616754</v>
      </c>
      <c r="G29" s="8">
        <v>31749.310176036754</v>
      </c>
      <c r="H29" s="8">
        <v>36845.992794210753</v>
      </c>
      <c r="I29" s="8">
        <v>40634.616804450758</v>
      </c>
      <c r="J29" s="8">
        <v>36963.241560351009</v>
      </c>
      <c r="K29" s="8">
        <v>21534.063318342003</v>
      </c>
      <c r="L29" s="8">
        <v>7327.4491911037512</v>
      </c>
      <c r="M29" s="8">
        <v>28496.524660769253</v>
      </c>
      <c r="N29" s="8">
        <v>34457.081992618499</v>
      </c>
      <c r="O29" s="30">
        <v>351748.90955929959</v>
      </c>
      <c r="P29" s="16">
        <f t="shared" si="0"/>
        <v>8934894065.2128525</v>
      </c>
    </row>
    <row r="30" spans="1:16">
      <c r="A30" s="2"/>
      <c r="B30" s="6" t="s">
        <v>43</v>
      </c>
      <c r="C30" s="8">
        <v>43348.228310396255</v>
      </c>
      <c r="D30" s="8">
        <v>31247.547342270751</v>
      </c>
      <c r="E30" s="8">
        <v>39839.053681334255</v>
      </c>
      <c r="F30" s="8">
        <v>33120.8565041205</v>
      </c>
      <c r="G30" s="8">
        <v>30001.574432999249</v>
      </c>
      <c r="H30" s="8">
        <v>23179.950642852004</v>
      </c>
      <c r="I30" s="8">
        <v>34322.839685156257</v>
      </c>
      <c r="J30" s="8">
        <v>26262.160065999</v>
      </c>
      <c r="K30" s="8">
        <v>12876.616026630001</v>
      </c>
      <c r="L30" s="8">
        <v>17357.658266250004</v>
      </c>
      <c r="M30" s="8">
        <v>28532.862618462004</v>
      </c>
      <c r="N30" s="8">
        <v>19494.025641549004</v>
      </c>
      <c r="O30" s="30">
        <v>339583.37321801926</v>
      </c>
      <c r="P30" s="16">
        <f t="shared" si="0"/>
        <v>8625873125.8387318</v>
      </c>
    </row>
    <row r="31" spans="1:16">
      <c r="A31" s="2"/>
      <c r="B31" s="6" t="s">
        <v>44</v>
      </c>
      <c r="C31" s="8">
        <v>13623.802853622752</v>
      </c>
      <c r="D31" s="8">
        <v>10580.390880219</v>
      </c>
      <c r="E31" s="8">
        <v>20223.211769280002</v>
      </c>
      <c r="F31" s="8">
        <v>34029.440282695512</v>
      </c>
      <c r="G31" s="8">
        <v>39927.507446481759</v>
      </c>
      <c r="H31" s="8">
        <v>16836.407873156255</v>
      </c>
      <c r="I31" s="8">
        <v>22133.3037500475</v>
      </c>
      <c r="J31" s="8">
        <v>14932.11058384275</v>
      </c>
      <c r="K31" s="8">
        <v>20412.51254277975</v>
      </c>
      <c r="L31" s="8">
        <v>8858.583342209251</v>
      </c>
      <c r="M31" s="8">
        <v>26416.727767885503</v>
      </c>
      <c r="N31" s="8">
        <v>12597.905115085501</v>
      </c>
      <c r="O31" s="30">
        <v>240571.90420730552</v>
      </c>
      <c r="P31" s="16">
        <f t="shared" si="0"/>
        <v>6110849019.6938</v>
      </c>
    </row>
    <row r="32" spans="1:16">
      <c r="A32" s="2"/>
      <c r="B32" s="248" t="s">
        <v>45</v>
      </c>
      <c r="C32" s="249">
        <v>12864.6723688403</v>
      </c>
      <c r="D32" s="249">
        <v>7510.7093396917498</v>
      </c>
      <c r="E32" s="249">
        <v>25161.575836180498</v>
      </c>
      <c r="F32" s="249">
        <v>17859.5999499758</v>
      </c>
      <c r="G32" s="249">
        <v>24663.115329329299</v>
      </c>
      <c r="H32" s="249">
        <v>31150.910610783001</v>
      </c>
      <c r="I32" s="249">
        <v>36685.796023098002</v>
      </c>
      <c r="J32" s="249">
        <v>26159.824859060202</v>
      </c>
      <c r="K32" s="249">
        <v>3457.3567211549998</v>
      </c>
      <c r="L32" s="249">
        <v>2048.0291953335</v>
      </c>
      <c r="M32" s="249">
        <v>5089.2848122117502</v>
      </c>
      <c r="N32" s="249">
        <v>7703.0934738997503</v>
      </c>
      <c r="O32" s="250">
        <v>200353.96851955901</v>
      </c>
    </row>
    <row r="33" spans="1:15">
      <c r="A33" s="9"/>
      <c r="B33" s="248" t="s">
        <v>307</v>
      </c>
      <c r="C33" s="249">
        <v>3005.5615662824998</v>
      </c>
      <c r="D33" s="249">
        <v>4217.6019966727499</v>
      </c>
      <c r="E33" s="249">
        <v>9148.1020981627498</v>
      </c>
      <c r="F33" s="249">
        <v>5954.5603269584999</v>
      </c>
      <c r="G33" s="249">
        <v>4695.7286842942503</v>
      </c>
      <c r="H33" s="249">
        <v>12108.470370070499</v>
      </c>
      <c r="I33" s="249">
        <v>6289.3371380580002</v>
      </c>
      <c r="J33" s="249">
        <v>5078.2418212455004</v>
      </c>
      <c r="K33" s="249">
        <v>10793.8525786358</v>
      </c>
      <c r="L33" s="249">
        <v>12533.840098917801</v>
      </c>
      <c r="M33" s="249">
        <v>6379.4028755700001</v>
      </c>
      <c r="N33" s="249">
        <v>12339.867258980999</v>
      </c>
      <c r="O33" s="250">
        <v>92544.566813849306</v>
      </c>
    </row>
    <row r="34" spans="1:15" ht="156">
      <c r="A34" s="1" t="s">
        <v>48</v>
      </c>
      <c r="B34" s="2"/>
      <c r="C34" s="2"/>
      <c r="D34" s="2"/>
      <c r="E34" s="2"/>
      <c r="F34" s="2"/>
      <c r="G34" s="2"/>
      <c r="H34" s="2"/>
      <c r="I34" s="2"/>
      <c r="J34" s="2"/>
      <c r="K34" s="2"/>
      <c r="L34" s="2"/>
      <c r="M34" s="2"/>
      <c r="N34" s="2"/>
      <c r="O34" s="24"/>
    </row>
    <row r="35" spans="1:15" ht="168">
      <c r="A35" s="1" t="s">
        <v>49</v>
      </c>
      <c r="B35" s="2"/>
      <c r="C35" s="2"/>
      <c r="D35" s="2"/>
      <c r="E35" s="2"/>
      <c r="F35" s="2"/>
      <c r="G35" s="2"/>
      <c r="H35" s="2"/>
      <c r="I35" s="2"/>
      <c r="J35" s="2"/>
      <c r="K35" s="2"/>
      <c r="L35" s="2"/>
      <c r="M35" s="2"/>
      <c r="N35" s="2"/>
      <c r="O35" s="24"/>
    </row>
    <row r="36" spans="1:15">
      <c r="A36" s="12" t="s">
        <v>50</v>
      </c>
      <c r="B36" s="2"/>
      <c r="C36" s="2"/>
      <c r="D36" s="2"/>
      <c r="E36" s="2"/>
      <c r="F36" s="2"/>
      <c r="G36" s="2"/>
      <c r="H36" s="2"/>
      <c r="I36" s="2"/>
      <c r="J36" s="2"/>
      <c r="K36" s="2"/>
      <c r="L36" s="2"/>
      <c r="M36" s="2"/>
      <c r="N36" s="2"/>
      <c r="O36" s="24"/>
    </row>
    <row r="77" spans="16:16">
      <c r="P77" s="13"/>
    </row>
    <row r="78" spans="16:16">
      <c r="P78" s="13"/>
    </row>
  </sheetData>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3022C4-0DDA-8E4F-992D-80F6EF307889}">
  <dimension ref="A1:AL19"/>
  <sheetViews>
    <sheetView topLeftCell="W1" workbookViewId="0">
      <selection activeCell="I12" sqref="I12"/>
    </sheetView>
  </sheetViews>
  <sheetFormatPr baseColWidth="10" defaultRowHeight="16"/>
  <cols>
    <col min="4" max="4" width="11.6640625" bestFit="1" customWidth="1"/>
    <col min="35" max="36" width="13.33203125" bestFit="1" customWidth="1"/>
  </cols>
  <sheetData>
    <row r="1" spans="1:38">
      <c r="A1" s="147">
        <v>43230.535626656747</v>
      </c>
      <c r="B1" s="146"/>
      <c r="C1" s="146"/>
      <c r="D1" s="146"/>
      <c r="E1" s="146"/>
      <c r="F1" s="146"/>
      <c r="G1" s="146"/>
      <c r="H1" s="146"/>
      <c r="I1" s="146"/>
      <c r="J1" s="146"/>
      <c r="K1" s="146"/>
      <c r="L1" s="146"/>
      <c r="M1" s="18"/>
      <c r="N1" s="18"/>
      <c r="O1" s="18"/>
      <c r="P1" s="18"/>
      <c r="Q1" s="18"/>
      <c r="R1" s="18"/>
      <c r="S1" s="18"/>
      <c r="T1" s="18"/>
      <c r="U1" s="18"/>
      <c r="V1" s="18"/>
      <c r="W1" s="18"/>
      <c r="X1" s="18"/>
      <c r="Y1" s="18"/>
      <c r="Z1" s="18"/>
      <c r="AA1" s="18"/>
      <c r="AB1" s="18"/>
      <c r="AC1" s="18"/>
      <c r="AD1" s="18"/>
      <c r="AE1" s="18"/>
      <c r="AF1" s="18"/>
      <c r="AG1" s="18"/>
      <c r="AH1" s="18"/>
      <c r="AI1" s="18"/>
      <c r="AJ1" s="18"/>
      <c r="AK1" s="18"/>
      <c r="AL1" s="18"/>
    </row>
    <row r="2" spans="1:38">
      <c r="A2" s="148" t="s">
        <v>65</v>
      </c>
      <c r="B2" s="146"/>
      <c r="C2" s="146"/>
      <c r="D2" s="146"/>
      <c r="E2" s="146"/>
      <c r="F2" s="146"/>
      <c r="G2" s="146"/>
      <c r="H2" s="146"/>
      <c r="I2" s="146"/>
      <c r="J2" s="146"/>
      <c r="K2" s="146"/>
      <c r="L2" s="146"/>
      <c r="M2" s="18"/>
      <c r="N2" s="18"/>
      <c r="O2" s="18"/>
      <c r="P2" s="18"/>
      <c r="Q2" s="18"/>
      <c r="R2" s="18"/>
      <c r="S2" s="18"/>
      <c r="T2" s="18"/>
      <c r="U2" s="18"/>
      <c r="V2" s="18"/>
      <c r="W2" s="18"/>
      <c r="X2" s="18"/>
      <c r="Y2" s="18"/>
      <c r="Z2" s="18"/>
      <c r="AA2" s="18"/>
      <c r="AB2" s="18"/>
      <c r="AC2" s="18"/>
      <c r="AD2" s="18"/>
      <c r="AE2" s="18"/>
      <c r="AF2" s="18"/>
      <c r="AG2" s="18"/>
      <c r="AH2" s="18"/>
      <c r="AI2" s="18"/>
      <c r="AJ2" s="18"/>
      <c r="AK2" s="18"/>
      <c r="AL2" s="18"/>
    </row>
    <row r="3" spans="1:38">
      <c r="A3" s="148" t="s">
        <v>66</v>
      </c>
      <c r="B3" s="146"/>
      <c r="C3" s="146"/>
      <c r="D3" s="146"/>
      <c r="E3" s="146"/>
      <c r="F3" s="146"/>
      <c r="G3" s="146"/>
      <c r="H3" s="146"/>
      <c r="I3" s="146"/>
      <c r="J3" s="146"/>
      <c r="K3" s="146"/>
      <c r="L3" s="146"/>
      <c r="M3" s="18"/>
      <c r="N3" s="18"/>
      <c r="O3" s="18"/>
      <c r="P3" s="18"/>
      <c r="Q3" s="18"/>
      <c r="R3" s="18"/>
      <c r="S3" s="18"/>
      <c r="T3" s="18"/>
      <c r="U3" s="18"/>
      <c r="V3" s="18"/>
      <c r="W3" s="18"/>
      <c r="X3" s="18"/>
      <c r="Y3" s="18"/>
      <c r="Z3" s="18"/>
      <c r="AA3" s="18"/>
      <c r="AB3" s="18"/>
      <c r="AC3" s="18"/>
      <c r="AD3" s="18"/>
      <c r="AE3" s="18"/>
      <c r="AF3" s="18"/>
      <c r="AG3" s="18"/>
      <c r="AH3" s="18"/>
      <c r="AI3" s="18"/>
      <c r="AJ3" s="18"/>
      <c r="AK3" s="18"/>
      <c r="AL3" s="18"/>
    </row>
    <row r="4" spans="1:38">
      <c r="A4" s="146"/>
      <c r="B4" s="146"/>
      <c r="C4" s="146"/>
      <c r="D4" s="146"/>
      <c r="E4" s="146"/>
      <c r="F4" s="146"/>
      <c r="G4" s="146"/>
      <c r="H4" s="146"/>
      <c r="I4" s="146"/>
      <c r="J4" s="146"/>
      <c r="K4" s="146"/>
      <c r="L4" s="146"/>
      <c r="M4" s="18"/>
      <c r="N4" s="18"/>
      <c r="O4" s="18"/>
      <c r="P4" s="18"/>
      <c r="Q4" s="18"/>
      <c r="R4" s="18"/>
      <c r="S4" s="18"/>
      <c r="T4" s="18"/>
      <c r="U4" s="18"/>
      <c r="V4" s="18"/>
      <c r="W4" s="18"/>
      <c r="X4" s="18"/>
      <c r="Y4" s="18"/>
      <c r="Z4" s="18"/>
      <c r="AA4" s="18"/>
      <c r="AB4" s="18"/>
      <c r="AC4" s="18"/>
      <c r="AD4" s="18"/>
      <c r="AE4" s="18"/>
      <c r="AF4" s="18"/>
      <c r="AG4" s="18"/>
      <c r="AH4" s="18"/>
      <c r="AI4" s="18"/>
      <c r="AJ4" s="18"/>
      <c r="AK4" s="18"/>
      <c r="AL4" s="18"/>
    </row>
    <row r="5" spans="1:38">
      <c r="A5" s="146"/>
      <c r="B5" s="146"/>
      <c r="C5" s="146"/>
      <c r="D5" s="146"/>
      <c r="E5" s="146"/>
      <c r="F5" s="146"/>
      <c r="G5" s="146"/>
      <c r="H5" s="146"/>
      <c r="I5" s="146"/>
      <c r="J5" s="146"/>
      <c r="K5" s="146"/>
      <c r="L5" s="146"/>
      <c r="M5" s="18"/>
      <c r="N5" s="18"/>
      <c r="O5" s="18"/>
      <c r="P5" s="18"/>
      <c r="Q5" s="18"/>
      <c r="R5" s="18"/>
      <c r="S5" s="18"/>
      <c r="T5" s="18"/>
      <c r="U5" s="18"/>
      <c r="V5" s="18"/>
      <c r="W5" s="18"/>
      <c r="X5" s="18"/>
      <c r="Y5" s="18"/>
      <c r="Z5" s="18"/>
      <c r="AA5" s="18"/>
      <c r="AB5" s="18"/>
      <c r="AC5" s="18"/>
      <c r="AD5" s="18"/>
      <c r="AE5" s="18"/>
      <c r="AF5" s="18"/>
      <c r="AG5" s="18"/>
      <c r="AH5" s="18"/>
      <c r="AI5" s="18"/>
      <c r="AJ5" s="18"/>
      <c r="AK5" s="18"/>
      <c r="AL5" s="18"/>
    </row>
    <row r="6" spans="1:38">
      <c r="A6" s="145" t="s">
        <v>67</v>
      </c>
      <c r="B6" s="146"/>
      <c r="C6" s="146"/>
      <c r="D6" s="146"/>
      <c r="E6" s="146"/>
      <c r="F6" s="146"/>
      <c r="G6" s="146"/>
      <c r="H6" s="146"/>
      <c r="I6" s="146"/>
      <c r="J6" s="146"/>
      <c r="K6" s="146"/>
      <c r="L6" s="146"/>
      <c r="M6" s="18"/>
      <c r="N6" s="18"/>
      <c r="O6" s="18"/>
      <c r="P6" s="18"/>
      <c r="Q6" s="18"/>
      <c r="R6" s="18"/>
      <c r="S6" s="18"/>
      <c r="T6" s="18"/>
      <c r="U6" s="18"/>
      <c r="V6" s="18"/>
      <c r="W6" s="18"/>
      <c r="X6" s="18"/>
      <c r="Y6" s="18"/>
      <c r="Z6" s="18"/>
      <c r="AA6" s="18"/>
      <c r="AB6" s="18"/>
      <c r="AC6" s="18"/>
      <c r="AD6" s="18"/>
      <c r="AE6" s="18"/>
      <c r="AF6" s="18"/>
      <c r="AG6" s="18"/>
      <c r="AH6" s="18"/>
      <c r="AI6" s="18"/>
      <c r="AJ6" s="18"/>
      <c r="AK6" s="18"/>
      <c r="AL6" s="18"/>
    </row>
    <row r="7" spans="1:38">
      <c r="A7" s="145" t="s">
        <v>240</v>
      </c>
      <c r="B7" s="146"/>
      <c r="C7" s="146"/>
      <c r="D7" s="146"/>
      <c r="E7" s="146"/>
      <c r="F7" s="146"/>
      <c r="G7" s="146"/>
      <c r="H7" s="146"/>
      <c r="I7" s="146"/>
      <c r="J7" s="146"/>
      <c r="K7" s="146"/>
      <c r="L7" s="146"/>
      <c r="M7" s="18"/>
      <c r="N7" s="18"/>
      <c r="O7" s="18"/>
      <c r="P7" s="18"/>
      <c r="Q7" s="18"/>
      <c r="R7" s="18"/>
      <c r="S7" s="18"/>
      <c r="T7" s="18"/>
      <c r="U7" s="18"/>
      <c r="V7" s="18"/>
      <c r="W7" s="18"/>
      <c r="X7" s="18"/>
      <c r="Y7" s="18"/>
      <c r="Z7" s="18"/>
      <c r="AA7" s="18"/>
      <c r="AB7" s="18"/>
      <c r="AC7" s="18"/>
      <c r="AD7" s="18"/>
      <c r="AE7" s="18"/>
      <c r="AF7" s="18"/>
      <c r="AG7" s="18"/>
      <c r="AH7" s="18"/>
      <c r="AI7" s="18"/>
      <c r="AJ7" s="18"/>
      <c r="AK7" s="18"/>
      <c r="AL7" s="18"/>
    </row>
    <row r="8" spans="1:38">
      <c r="A8" s="18"/>
      <c r="B8" s="18"/>
      <c r="C8" s="18"/>
      <c r="D8" s="18"/>
      <c r="E8" s="18"/>
      <c r="F8" s="18"/>
      <c r="G8" s="18"/>
      <c r="H8" s="18"/>
      <c r="I8" s="18"/>
      <c r="J8" s="18"/>
      <c r="K8" s="18"/>
      <c r="L8" s="18"/>
      <c r="M8" s="18"/>
      <c r="N8" s="18"/>
      <c r="O8" s="18"/>
      <c r="P8" s="18"/>
      <c r="Q8" s="18"/>
      <c r="R8" s="18"/>
      <c r="S8" s="18"/>
      <c r="T8" s="18"/>
      <c r="U8" s="18"/>
      <c r="V8" s="18"/>
      <c r="W8" s="18"/>
      <c r="X8" s="18"/>
      <c r="Y8" s="18"/>
      <c r="Z8" s="18"/>
      <c r="AA8" s="18"/>
      <c r="AB8" s="18"/>
      <c r="AC8" s="18"/>
      <c r="AD8" s="18"/>
      <c r="AE8" s="18"/>
      <c r="AF8" s="18"/>
      <c r="AG8" s="18"/>
      <c r="AH8" s="18"/>
      <c r="AI8" s="18"/>
      <c r="AJ8" s="18"/>
      <c r="AK8" s="18"/>
      <c r="AL8" s="18"/>
    </row>
    <row r="9" spans="1:38">
      <c r="A9" s="19"/>
      <c r="B9" s="19"/>
      <c r="C9" s="19"/>
      <c r="D9" s="19">
        <v>1987</v>
      </c>
      <c r="E9" s="19">
        <v>1988</v>
      </c>
      <c r="F9" s="19">
        <v>1989</v>
      </c>
      <c r="G9" s="19">
        <v>1990</v>
      </c>
      <c r="H9" s="19">
        <v>1991</v>
      </c>
      <c r="I9" s="19">
        <v>1992</v>
      </c>
      <c r="J9" s="19">
        <v>1993</v>
      </c>
      <c r="K9" s="19">
        <v>1994</v>
      </c>
      <c r="L9" s="19">
        <v>1995</v>
      </c>
      <c r="M9" s="19">
        <v>1996</v>
      </c>
      <c r="N9" s="19">
        <v>1997</v>
      </c>
      <c r="O9" s="19">
        <v>1998</v>
      </c>
      <c r="P9" s="19">
        <v>1999</v>
      </c>
      <c r="Q9" s="19">
        <v>2000</v>
      </c>
      <c r="R9" s="19">
        <v>2001</v>
      </c>
      <c r="S9" s="19">
        <v>2002</v>
      </c>
      <c r="T9" s="19">
        <v>2003</v>
      </c>
      <c r="U9" s="19">
        <v>2004</v>
      </c>
      <c r="V9" s="19">
        <v>2005</v>
      </c>
      <c r="W9" s="19">
        <v>2006</v>
      </c>
      <c r="X9" s="19">
        <v>2007</v>
      </c>
      <c r="Y9" s="19">
        <v>2008</v>
      </c>
      <c r="Z9" s="19">
        <v>2009</v>
      </c>
      <c r="AA9" s="19">
        <v>2010</v>
      </c>
      <c r="AB9" s="19">
        <v>2011</v>
      </c>
      <c r="AC9" s="19">
        <v>2012</v>
      </c>
      <c r="AD9" s="19">
        <v>2013</v>
      </c>
      <c r="AE9" s="19">
        <v>2014</v>
      </c>
      <c r="AF9" s="19">
        <v>2015</v>
      </c>
      <c r="AG9" s="19">
        <v>2016</v>
      </c>
      <c r="AH9" s="19">
        <v>2017</v>
      </c>
      <c r="AI9" s="19" t="s">
        <v>241</v>
      </c>
      <c r="AJ9" s="19" t="s">
        <v>242</v>
      </c>
      <c r="AK9" s="19" t="s">
        <v>68</v>
      </c>
      <c r="AL9" s="18"/>
    </row>
    <row r="10" spans="1:38">
      <c r="A10" s="19" t="s">
        <v>69</v>
      </c>
      <c r="B10" s="19" t="s">
        <v>70</v>
      </c>
      <c r="C10" s="19" t="s">
        <v>71</v>
      </c>
      <c r="D10" s="19" t="s">
        <v>72</v>
      </c>
      <c r="E10" s="19" t="s">
        <v>72</v>
      </c>
      <c r="F10" s="19" t="s">
        <v>72</v>
      </c>
      <c r="G10" s="19" t="s">
        <v>72</v>
      </c>
      <c r="H10" s="19" t="s">
        <v>72</v>
      </c>
      <c r="I10" s="19" t="s">
        <v>72</v>
      </c>
      <c r="J10" s="19" t="s">
        <v>72</v>
      </c>
      <c r="K10" s="19" t="s">
        <v>72</v>
      </c>
      <c r="L10" s="19" t="s">
        <v>72</v>
      </c>
      <c r="M10" s="19" t="s">
        <v>72</v>
      </c>
      <c r="N10" s="19" t="s">
        <v>72</v>
      </c>
      <c r="O10" s="19" t="s">
        <v>72</v>
      </c>
      <c r="P10" s="19" t="s">
        <v>72</v>
      </c>
      <c r="Q10" s="19" t="s">
        <v>72</v>
      </c>
      <c r="R10" s="19" t="s">
        <v>72</v>
      </c>
      <c r="S10" s="19" t="s">
        <v>72</v>
      </c>
      <c r="T10" s="19" t="s">
        <v>72</v>
      </c>
      <c r="U10" s="19" t="s">
        <v>72</v>
      </c>
      <c r="V10" s="19" t="s">
        <v>72</v>
      </c>
      <c r="W10" s="19" t="s">
        <v>72</v>
      </c>
      <c r="X10" s="19" t="s">
        <v>72</v>
      </c>
      <c r="Y10" s="19" t="s">
        <v>72</v>
      </c>
      <c r="Z10" s="19" t="s">
        <v>72</v>
      </c>
      <c r="AA10" s="19" t="s">
        <v>72</v>
      </c>
      <c r="AB10" s="19" t="s">
        <v>72</v>
      </c>
      <c r="AC10" s="19" t="s">
        <v>72</v>
      </c>
      <c r="AD10" s="19" t="s">
        <v>72</v>
      </c>
      <c r="AE10" s="19" t="s">
        <v>72</v>
      </c>
      <c r="AF10" s="19" t="s">
        <v>72</v>
      </c>
      <c r="AG10" s="19" t="s">
        <v>72</v>
      </c>
      <c r="AH10" s="19" t="s">
        <v>72</v>
      </c>
      <c r="AI10" s="19" t="s">
        <v>72</v>
      </c>
      <c r="AJ10" s="19" t="s">
        <v>72</v>
      </c>
      <c r="AK10" s="19" t="s">
        <v>73</v>
      </c>
      <c r="AL10" s="18"/>
    </row>
    <row r="11" spans="1:38">
      <c r="A11" s="20" t="s">
        <v>68</v>
      </c>
      <c r="B11" s="20" t="s">
        <v>68</v>
      </c>
      <c r="C11" s="20" t="s">
        <v>68</v>
      </c>
      <c r="D11" s="20" t="s">
        <v>68</v>
      </c>
      <c r="E11" s="20" t="s">
        <v>68</v>
      </c>
      <c r="F11" s="20" t="s">
        <v>68</v>
      </c>
      <c r="G11" s="20" t="s">
        <v>68</v>
      </c>
      <c r="H11" s="20" t="s">
        <v>68</v>
      </c>
      <c r="I11" s="20" t="s">
        <v>68</v>
      </c>
      <c r="J11" s="20" t="s">
        <v>68</v>
      </c>
      <c r="K11" s="20" t="s">
        <v>68</v>
      </c>
      <c r="L11" s="20" t="s">
        <v>68</v>
      </c>
      <c r="M11" s="20" t="s">
        <v>68</v>
      </c>
      <c r="N11" s="20" t="s">
        <v>68</v>
      </c>
      <c r="O11" s="20" t="s">
        <v>68</v>
      </c>
      <c r="P11" s="20" t="s">
        <v>68</v>
      </c>
      <c r="Q11" s="20" t="s">
        <v>68</v>
      </c>
      <c r="R11" s="20" t="s">
        <v>68</v>
      </c>
      <c r="S11" s="20" t="s">
        <v>68</v>
      </c>
      <c r="T11" s="20" t="s">
        <v>68</v>
      </c>
      <c r="U11" s="20" t="s">
        <v>68</v>
      </c>
      <c r="V11" s="20" t="s">
        <v>68</v>
      </c>
      <c r="W11" s="20" t="s">
        <v>68</v>
      </c>
      <c r="X11" s="20" t="s">
        <v>68</v>
      </c>
      <c r="Y11" s="20" t="s">
        <v>68</v>
      </c>
      <c r="Z11" s="20" t="s">
        <v>68</v>
      </c>
      <c r="AA11" s="20" t="s">
        <v>68</v>
      </c>
      <c r="AB11" s="20" t="s">
        <v>68</v>
      </c>
      <c r="AC11" s="20" t="s">
        <v>68</v>
      </c>
      <c r="AD11" s="20" t="s">
        <v>68</v>
      </c>
      <c r="AE11" s="20" t="s">
        <v>68</v>
      </c>
      <c r="AF11" s="20" t="s">
        <v>68</v>
      </c>
      <c r="AG11" s="20" t="s">
        <v>68</v>
      </c>
      <c r="AH11" s="20" t="s">
        <v>68</v>
      </c>
      <c r="AI11" s="20" t="s">
        <v>68</v>
      </c>
      <c r="AJ11" s="20" t="s">
        <v>68</v>
      </c>
      <c r="AK11" s="20" t="s">
        <v>68</v>
      </c>
      <c r="AL11" s="18"/>
    </row>
    <row r="12" spans="1:38">
      <c r="A12" s="20" t="s">
        <v>74</v>
      </c>
      <c r="B12" s="20" t="s">
        <v>239</v>
      </c>
      <c r="C12" s="20" t="s">
        <v>75</v>
      </c>
      <c r="D12" s="99">
        <v>4996491.2</v>
      </c>
      <c r="E12" s="99">
        <v>6480652.5999999996</v>
      </c>
      <c r="F12" s="99">
        <v>8357402.9000000004</v>
      </c>
      <c r="G12" s="99">
        <v>6764296.2999999998</v>
      </c>
      <c r="H12" s="99">
        <v>5919609.5999999996</v>
      </c>
      <c r="I12" s="99">
        <v>7595753</v>
      </c>
      <c r="J12" s="99">
        <v>6056324</v>
      </c>
      <c r="K12" s="99">
        <v>5802616</v>
      </c>
      <c r="L12" s="99">
        <v>5555350</v>
      </c>
      <c r="M12" s="99">
        <v>4771834</v>
      </c>
      <c r="N12" s="99">
        <v>5078757</v>
      </c>
      <c r="O12" s="99">
        <v>4906107</v>
      </c>
      <c r="P12" s="99">
        <v>5788233</v>
      </c>
      <c r="Q12" s="99">
        <v>6110911</v>
      </c>
      <c r="R12" s="99">
        <v>6104698</v>
      </c>
      <c r="S12" s="99">
        <v>5428161</v>
      </c>
      <c r="T12" s="99">
        <v>4796902</v>
      </c>
      <c r="U12" s="99">
        <v>4354962</v>
      </c>
      <c r="V12" s="99">
        <v>4610622</v>
      </c>
      <c r="W12" s="99">
        <v>4794052</v>
      </c>
      <c r="X12" s="99">
        <v>5610457</v>
      </c>
      <c r="Y12" s="99">
        <v>5270825</v>
      </c>
      <c r="Z12" s="99">
        <v>3730634</v>
      </c>
      <c r="AA12" s="99">
        <v>3810918</v>
      </c>
      <c r="AB12" s="99">
        <v>3375643</v>
      </c>
      <c r="AC12" s="99">
        <v>1709803</v>
      </c>
      <c r="AD12" s="99">
        <v>2067209</v>
      </c>
      <c r="AE12" s="99">
        <v>7199219</v>
      </c>
      <c r="AF12" s="99">
        <v>9766982</v>
      </c>
      <c r="AG12" s="99">
        <v>6830630</v>
      </c>
      <c r="AH12" s="99">
        <v>5639081</v>
      </c>
      <c r="AI12" s="99">
        <v>1987126</v>
      </c>
      <c r="AJ12" s="99">
        <v>2334762</v>
      </c>
      <c r="AK12" s="99">
        <v>17</v>
      </c>
      <c r="AL12" s="18"/>
    </row>
    <row r="13" spans="1:38">
      <c r="A13" s="20" t="s">
        <v>76</v>
      </c>
      <c r="B13" s="20" t="s">
        <v>68</v>
      </c>
      <c r="C13" s="20" t="s">
        <v>59</v>
      </c>
      <c r="D13" s="99">
        <v>4996491.2</v>
      </c>
      <c r="E13" s="99">
        <v>6480652.5999999996</v>
      </c>
      <c r="F13" s="99">
        <v>8357402.9000000004</v>
      </c>
      <c r="G13" s="99">
        <v>6764296.2999999998</v>
      </c>
      <c r="H13" s="99">
        <v>5919609.5999999996</v>
      </c>
      <c r="I13" s="99">
        <v>7595753</v>
      </c>
      <c r="J13" s="99">
        <v>6056324</v>
      </c>
      <c r="K13" s="99">
        <v>5802616</v>
      </c>
      <c r="L13" s="99">
        <v>5555350</v>
      </c>
      <c r="M13" s="99">
        <v>4771834</v>
      </c>
      <c r="N13" s="99">
        <v>5078757</v>
      </c>
      <c r="O13" s="99">
        <v>4906107</v>
      </c>
      <c r="P13" s="99">
        <v>5788233</v>
      </c>
      <c r="Q13" s="99">
        <v>6110911</v>
      </c>
      <c r="R13" s="99">
        <v>6104698</v>
      </c>
      <c r="S13" s="99">
        <v>5428161</v>
      </c>
      <c r="T13" s="99">
        <v>4796902</v>
      </c>
      <c r="U13" s="99">
        <v>4354962</v>
      </c>
      <c r="V13" s="99">
        <v>4610622</v>
      </c>
      <c r="W13" s="99">
        <v>4794052</v>
      </c>
      <c r="X13" s="99">
        <v>5610457</v>
      </c>
      <c r="Y13" s="99">
        <v>5270825</v>
      </c>
      <c r="Z13" s="99">
        <v>3730634</v>
      </c>
      <c r="AA13" s="99">
        <v>3810918</v>
      </c>
      <c r="AB13" s="99">
        <v>3375643</v>
      </c>
      <c r="AC13" s="99">
        <v>1709803</v>
      </c>
      <c r="AD13" s="99">
        <v>2067209</v>
      </c>
      <c r="AE13" s="99">
        <v>7199219</v>
      </c>
      <c r="AF13" s="99">
        <v>9766982</v>
      </c>
      <c r="AG13" s="99">
        <v>6830630</v>
      </c>
      <c r="AH13" s="99">
        <v>5639081</v>
      </c>
      <c r="AI13" s="99">
        <v>1987126</v>
      </c>
      <c r="AJ13" s="99">
        <v>2334762</v>
      </c>
      <c r="AK13" s="99">
        <v>17</v>
      </c>
      <c r="AL13" s="18"/>
    </row>
    <row r="14" spans="1:38">
      <c r="A14" s="18"/>
      <c r="B14" s="18"/>
      <c r="C14" s="18"/>
      <c r="D14" s="18"/>
      <c r="E14" s="18"/>
      <c r="F14" s="18"/>
      <c r="G14" s="18"/>
      <c r="H14" s="18"/>
      <c r="I14" s="18"/>
      <c r="J14" s="18"/>
      <c r="K14" s="18"/>
      <c r="L14" s="18"/>
      <c r="M14" s="18"/>
      <c r="N14" s="18"/>
      <c r="O14" s="18"/>
      <c r="P14" s="18"/>
      <c r="Q14" s="18"/>
      <c r="R14" s="18"/>
      <c r="S14" s="18"/>
      <c r="T14" s="18"/>
      <c r="U14" s="18"/>
      <c r="V14" s="18"/>
      <c r="W14" s="18"/>
      <c r="X14" s="18"/>
      <c r="Y14" s="18"/>
      <c r="Z14" s="18"/>
      <c r="AA14" s="18"/>
      <c r="AB14" s="18"/>
      <c r="AC14" s="18"/>
      <c r="AD14" s="18"/>
      <c r="AE14" s="18"/>
      <c r="AF14" s="18"/>
      <c r="AG14" s="18"/>
      <c r="AH14" s="18"/>
      <c r="AI14" s="18"/>
      <c r="AJ14" s="18"/>
      <c r="AK14" s="18"/>
      <c r="AL14" s="18"/>
    </row>
    <row r="15" spans="1:38">
      <c r="A15" s="145" t="s">
        <v>77</v>
      </c>
      <c r="B15" s="146"/>
      <c r="C15" s="146"/>
      <c r="D15" s="146"/>
      <c r="E15" s="146"/>
      <c r="F15" s="146"/>
      <c r="G15" s="146"/>
      <c r="H15" s="146"/>
      <c r="I15" s="146"/>
      <c r="J15" s="146"/>
      <c r="K15" s="146"/>
      <c r="L15" s="146"/>
      <c r="M15" s="146"/>
      <c r="N15" s="146"/>
      <c r="O15" s="146"/>
      <c r="P15" s="146"/>
      <c r="Q15" s="146"/>
      <c r="R15" s="146"/>
      <c r="S15" s="146"/>
      <c r="T15" s="146"/>
      <c r="U15" s="18"/>
      <c r="V15" s="18"/>
      <c r="W15" s="18"/>
      <c r="X15" s="18"/>
      <c r="Y15" s="18"/>
      <c r="Z15" s="18"/>
      <c r="AA15" s="18"/>
      <c r="AB15" s="18"/>
      <c r="AC15" s="18"/>
      <c r="AD15" s="18"/>
      <c r="AE15" s="18"/>
      <c r="AF15" s="18"/>
      <c r="AG15" s="18"/>
      <c r="AH15" s="18"/>
      <c r="AI15" s="18"/>
      <c r="AJ15" s="18"/>
      <c r="AK15" s="18"/>
      <c r="AL15" s="18"/>
    </row>
    <row r="16" spans="1:38">
      <c r="A16" s="145" t="s">
        <v>78</v>
      </c>
      <c r="B16" s="146"/>
      <c r="C16" s="146"/>
      <c r="D16" s="146"/>
      <c r="E16" s="146"/>
      <c r="F16" s="146"/>
      <c r="G16" s="146"/>
      <c r="H16" s="146"/>
      <c r="I16" s="146"/>
      <c r="J16" s="146"/>
      <c r="K16" s="146"/>
      <c r="L16" s="146"/>
      <c r="M16" s="146"/>
      <c r="N16" s="146"/>
      <c r="O16" s="146"/>
      <c r="P16" s="146"/>
      <c r="Q16" s="146"/>
      <c r="R16" s="146"/>
      <c r="S16" s="146"/>
      <c r="T16" s="146"/>
      <c r="U16" s="18"/>
      <c r="V16" s="18"/>
      <c r="W16" s="18"/>
      <c r="X16" s="18"/>
      <c r="Y16" s="18"/>
      <c r="Z16" s="18"/>
      <c r="AA16" s="18"/>
      <c r="AB16" s="18"/>
      <c r="AC16" s="18"/>
      <c r="AD16" s="18"/>
      <c r="AE16" s="18"/>
      <c r="AF16" s="18"/>
      <c r="AG16" s="18"/>
      <c r="AH16" s="18"/>
      <c r="AI16" s="18"/>
      <c r="AJ16" s="18"/>
      <c r="AK16" s="18"/>
      <c r="AL16" s="18"/>
    </row>
    <row r="17" spans="1:38">
      <c r="A17" s="145" t="s">
        <v>79</v>
      </c>
      <c r="B17" s="146"/>
      <c r="C17" s="146"/>
      <c r="D17" s="146"/>
      <c r="E17" s="146"/>
      <c r="F17" s="146"/>
      <c r="G17" s="146"/>
      <c r="H17" s="146"/>
      <c r="I17" s="146"/>
      <c r="J17" s="146"/>
      <c r="K17" s="146"/>
      <c r="L17" s="146"/>
      <c r="M17" s="146"/>
      <c r="N17" s="146"/>
      <c r="O17" s="146"/>
      <c r="P17" s="146"/>
      <c r="Q17" s="146"/>
      <c r="R17" s="146"/>
      <c r="S17" s="146"/>
      <c r="T17" s="146"/>
      <c r="U17" s="18"/>
      <c r="V17" s="18"/>
      <c r="W17" s="18"/>
      <c r="X17" s="18"/>
      <c r="Y17" s="18"/>
      <c r="Z17" s="18"/>
      <c r="AA17" s="18"/>
      <c r="AB17" s="18"/>
      <c r="AC17" s="18"/>
      <c r="AD17" s="18"/>
      <c r="AE17" s="18"/>
      <c r="AF17" s="18"/>
      <c r="AG17" s="18"/>
      <c r="AH17" s="18"/>
      <c r="AI17" s="18"/>
      <c r="AJ17" s="18"/>
      <c r="AK17" s="18"/>
      <c r="AL17" s="18"/>
    </row>
    <row r="18" spans="1:38">
      <c r="A18" s="145" t="s">
        <v>80</v>
      </c>
      <c r="B18" s="146"/>
      <c r="C18" s="146"/>
      <c r="D18" s="146"/>
      <c r="E18" s="146"/>
      <c r="F18" s="146"/>
      <c r="G18" s="146"/>
      <c r="H18" s="146"/>
      <c r="I18" s="146"/>
      <c r="J18" s="146"/>
      <c r="K18" s="146"/>
      <c r="L18" s="146"/>
      <c r="M18" s="146"/>
      <c r="N18" s="146"/>
      <c r="O18" s="146"/>
      <c r="P18" s="146"/>
      <c r="Q18" s="146"/>
      <c r="R18" s="146"/>
      <c r="S18" s="146"/>
      <c r="T18" s="146"/>
      <c r="U18" s="18"/>
      <c r="V18" s="18"/>
      <c r="W18" s="18"/>
      <c r="X18" s="18"/>
      <c r="Y18" s="18"/>
      <c r="Z18" s="18"/>
      <c r="AA18" s="18"/>
      <c r="AB18" s="18"/>
      <c r="AC18" s="18"/>
      <c r="AD18" s="18"/>
      <c r="AE18" s="18"/>
      <c r="AF18" s="18"/>
      <c r="AG18" s="18"/>
      <c r="AH18" s="18"/>
      <c r="AI18" s="18"/>
      <c r="AJ18" s="18"/>
      <c r="AK18" s="18"/>
      <c r="AL18" s="18"/>
    </row>
    <row r="19" spans="1:38">
      <c r="A19" s="18"/>
      <c r="B19" s="18"/>
      <c r="C19" s="18"/>
      <c r="D19" s="18"/>
      <c r="E19" s="18"/>
      <c r="F19" s="18"/>
      <c r="G19" s="18"/>
      <c r="H19" s="18"/>
      <c r="I19" s="18"/>
      <c r="J19" s="18"/>
      <c r="K19" s="18"/>
      <c r="L19" s="18"/>
      <c r="M19" s="18"/>
      <c r="N19" s="18"/>
      <c r="O19" s="18"/>
      <c r="P19" s="18"/>
      <c r="Q19" s="18"/>
      <c r="R19" s="18"/>
      <c r="S19" s="18"/>
      <c r="T19" s="18"/>
      <c r="U19" s="18"/>
      <c r="V19" s="18"/>
      <c r="W19" s="18"/>
      <c r="X19" s="18"/>
      <c r="Y19" s="18"/>
      <c r="Z19" s="18"/>
      <c r="AA19" s="18"/>
      <c r="AB19" s="18"/>
      <c r="AC19" s="18"/>
      <c r="AD19" s="18"/>
      <c r="AE19" s="18"/>
      <c r="AF19" s="18"/>
      <c r="AG19" s="18"/>
      <c r="AH19" s="18"/>
      <c r="AI19" s="18"/>
      <c r="AJ19" s="18"/>
      <c r="AK19" s="18"/>
      <c r="AL19" s="18"/>
    </row>
  </sheetData>
  <mergeCells count="11">
    <mergeCell ref="A6:L6"/>
    <mergeCell ref="A1:L1"/>
    <mergeCell ref="A2:L2"/>
    <mergeCell ref="A3:L3"/>
    <mergeCell ref="A4:L4"/>
    <mergeCell ref="A5:L5"/>
    <mergeCell ref="A7:L7"/>
    <mergeCell ref="A15:T15"/>
    <mergeCell ref="A16:T16"/>
    <mergeCell ref="A17:T17"/>
    <mergeCell ref="A18:T18"/>
  </mergeCells>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4352A2-7035-C145-B5E8-6C3263D27FC4}">
  <dimension ref="A1:N265"/>
  <sheetViews>
    <sheetView tabSelected="1" topLeftCell="A124" zoomScaleNormal="100" workbookViewId="0">
      <selection activeCell="K219" sqref="K1:K1048576"/>
    </sheetView>
  </sheetViews>
  <sheetFormatPr baseColWidth="10" defaultRowHeight="16"/>
  <cols>
    <col min="11" max="11" width="10.83203125" style="27"/>
  </cols>
  <sheetData>
    <row r="1" spans="1:14">
      <c r="A1" s="159" t="s">
        <v>81</v>
      </c>
      <c r="B1" s="150"/>
      <c r="C1" s="150"/>
      <c r="D1" s="150"/>
      <c r="E1" s="150"/>
      <c r="F1" s="150"/>
      <c r="G1" s="150"/>
      <c r="H1" s="150"/>
      <c r="I1" s="150"/>
      <c r="J1" s="150"/>
      <c r="K1" s="150"/>
      <c r="L1" s="150"/>
      <c r="M1" s="150"/>
      <c r="N1" s="2"/>
    </row>
    <row r="2" spans="1:14">
      <c r="A2" s="2"/>
      <c r="B2" s="2"/>
      <c r="C2" s="2"/>
      <c r="D2" s="2"/>
      <c r="E2" s="2"/>
      <c r="F2" s="2"/>
      <c r="G2" s="2"/>
      <c r="H2" s="2"/>
      <c r="I2" s="2"/>
      <c r="J2" s="2"/>
      <c r="K2" s="24"/>
      <c r="L2" s="2"/>
      <c r="M2" s="2"/>
      <c r="N2" s="2"/>
    </row>
    <row r="3" spans="1:14">
      <c r="A3" s="160" t="s">
        <v>82</v>
      </c>
      <c r="B3" s="154"/>
      <c r="C3" s="162" t="s">
        <v>83</v>
      </c>
      <c r="D3" s="154"/>
      <c r="E3" s="154"/>
      <c r="F3" s="163"/>
      <c r="G3" s="162" t="s">
        <v>84</v>
      </c>
      <c r="H3" s="154"/>
      <c r="I3" s="154"/>
      <c r="J3" s="154"/>
      <c r="K3" s="154"/>
      <c r="L3" s="163"/>
      <c r="M3" s="162"/>
      <c r="N3" s="163"/>
    </row>
    <row r="4" spans="1:14">
      <c r="A4" s="150"/>
      <c r="B4" s="150"/>
      <c r="C4" s="155"/>
      <c r="D4" s="150"/>
      <c r="E4" s="150"/>
      <c r="F4" s="156"/>
      <c r="G4" s="162" t="s">
        <v>85</v>
      </c>
      <c r="H4" s="154"/>
      <c r="I4" s="154"/>
      <c r="J4" s="163"/>
      <c r="K4" s="155"/>
      <c r="L4" s="156"/>
      <c r="M4" s="155"/>
      <c r="N4" s="156"/>
    </row>
    <row r="5" spans="1:14" ht="25">
      <c r="A5" s="161"/>
      <c r="B5" s="161"/>
      <c r="C5" s="21" t="s">
        <v>86</v>
      </c>
      <c r="D5" s="21" t="s">
        <v>87</v>
      </c>
      <c r="E5" s="21" t="s">
        <v>88</v>
      </c>
      <c r="F5" s="21" t="s">
        <v>89</v>
      </c>
      <c r="G5" s="21" t="s">
        <v>90</v>
      </c>
      <c r="H5" s="21" t="s">
        <v>91</v>
      </c>
      <c r="I5" s="21" t="s">
        <v>92</v>
      </c>
      <c r="J5" s="21" t="s">
        <v>93</v>
      </c>
      <c r="K5" s="25" t="s">
        <v>94</v>
      </c>
      <c r="L5" s="21" t="s">
        <v>95</v>
      </c>
      <c r="M5" s="157" t="s">
        <v>96</v>
      </c>
      <c r="N5" s="158"/>
    </row>
    <row r="6" spans="1:14">
      <c r="A6" s="22" t="s">
        <v>97</v>
      </c>
      <c r="B6" s="22" t="s">
        <v>98</v>
      </c>
      <c r="C6" s="17">
        <v>496</v>
      </c>
      <c r="D6" s="17">
        <v>1019</v>
      </c>
      <c r="E6" s="17">
        <v>11</v>
      </c>
      <c r="F6" s="17">
        <v>1526</v>
      </c>
      <c r="G6" s="17">
        <v>580</v>
      </c>
      <c r="H6" s="23" t="s">
        <v>99</v>
      </c>
      <c r="I6" s="17">
        <v>109</v>
      </c>
      <c r="J6" s="17">
        <v>689</v>
      </c>
      <c r="K6" s="26">
        <v>345</v>
      </c>
      <c r="L6" s="17">
        <v>1034</v>
      </c>
      <c r="M6" s="152">
        <v>492</v>
      </c>
      <c r="N6" s="150"/>
    </row>
    <row r="7" spans="1:14">
      <c r="A7" s="22" t="s">
        <v>100</v>
      </c>
      <c r="B7" s="22" t="s">
        <v>98</v>
      </c>
      <c r="C7" s="17">
        <v>492</v>
      </c>
      <c r="D7" s="17">
        <v>988</v>
      </c>
      <c r="E7" s="17">
        <v>30</v>
      </c>
      <c r="F7" s="17">
        <v>1510</v>
      </c>
      <c r="G7" s="17">
        <v>585</v>
      </c>
      <c r="H7" s="23" t="s">
        <v>99</v>
      </c>
      <c r="I7" s="17">
        <v>110</v>
      </c>
      <c r="J7" s="17">
        <v>695</v>
      </c>
      <c r="K7" s="26">
        <v>485</v>
      </c>
      <c r="L7" s="17">
        <v>1180</v>
      </c>
      <c r="M7" s="152">
        <v>330</v>
      </c>
      <c r="N7" s="150"/>
    </row>
    <row r="8" spans="1:14">
      <c r="A8" s="22" t="s">
        <v>101</v>
      </c>
      <c r="B8" s="22" t="s">
        <v>98</v>
      </c>
      <c r="C8" s="17">
        <v>330</v>
      </c>
      <c r="D8" s="17">
        <v>1306</v>
      </c>
      <c r="E8" s="17">
        <v>24</v>
      </c>
      <c r="F8" s="17">
        <v>1660</v>
      </c>
      <c r="G8" s="17">
        <v>578</v>
      </c>
      <c r="H8" s="23" t="s">
        <v>99</v>
      </c>
      <c r="I8" s="17">
        <v>78</v>
      </c>
      <c r="J8" s="17">
        <v>656</v>
      </c>
      <c r="K8" s="26">
        <v>332</v>
      </c>
      <c r="L8" s="17">
        <v>988</v>
      </c>
      <c r="M8" s="152">
        <v>672</v>
      </c>
      <c r="N8" s="150"/>
    </row>
    <row r="9" spans="1:14">
      <c r="A9" s="22" t="s">
        <v>102</v>
      </c>
      <c r="B9" s="22" t="s">
        <v>98</v>
      </c>
      <c r="C9" s="17">
        <v>672</v>
      </c>
      <c r="D9" s="17">
        <v>1173</v>
      </c>
      <c r="E9" s="17">
        <v>6</v>
      </c>
      <c r="F9" s="17">
        <v>1851</v>
      </c>
      <c r="G9" s="17">
        <v>556</v>
      </c>
      <c r="H9" s="23" t="s">
        <v>99</v>
      </c>
      <c r="I9" s="17">
        <v>87</v>
      </c>
      <c r="J9" s="17">
        <v>643</v>
      </c>
      <c r="K9" s="26">
        <v>214</v>
      </c>
      <c r="L9" s="17">
        <v>857</v>
      </c>
      <c r="M9" s="152">
        <v>994</v>
      </c>
      <c r="N9" s="150"/>
    </row>
    <row r="10" spans="1:14">
      <c r="A10" s="22" t="s">
        <v>103</v>
      </c>
      <c r="B10" s="22" t="s">
        <v>98</v>
      </c>
      <c r="C10" s="17">
        <v>994</v>
      </c>
      <c r="D10" s="17">
        <v>984</v>
      </c>
      <c r="E10" s="17">
        <v>3</v>
      </c>
      <c r="F10" s="17">
        <v>1981</v>
      </c>
      <c r="G10" s="17">
        <v>552</v>
      </c>
      <c r="H10" s="23" t="s">
        <v>99</v>
      </c>
      <c r="I10" s="17">
        <v>53</v>
      </c>
      <c r="J10" s="17">
        <v>605</v>
      </c>
      <c r="K10" s="26">
        <v>267</v>
      </c>
      <c r="L10" s="17">
        <v>872</v>
      </c>
      <c r="M10" s="152">
        <v>1109</v>
      </c>
      <c r="N10" s="150"/>
    </row>
    <row r="11" spans="1:14">
      <c r="A11" s="22" t="s">
        <v>104</v>
      </c>
      <c r="B11" s="22" t="s">
        <v>98</v>
      </c>
      <c r="C11" s="17">
        <v>1109</v>
      </c>
      <c r="D11" s="17">
        <v>937</v>
      </c>
      <c r="E11" s="17">
        <v>10</v>
      </c>
      <c r="F11" s="17">
        <v>2056</v>
      </c>
      <c r="G11" s="17">
        <v>553</v>
      </c>
      <c r="H11" s="23" t="s">
        <v>99</v>
      </c>
      <c r="I11" s="17">
        <v>51</v>
      </c>
      <c r="J11" s="17">
        <v>604</v>
      </c>
      <c r="K11" s="26">
        <v>322</v>
      </c>
      <c r="L11" s="17">
        <v>926</v>
      </c>
      <c r="M11" s="152">
        <v>1130</v>
      </c>
      <c r="N11" s="150"/>
    </row>
    <row r="12" spans="1:14">
      <c r="A12" s="22" t="s">
        <v>105</v>
      </c>
      <c r="B12" s="22" t="s">
        <v>98</v>
      </c>
      <c r="C12" s="17">
        <v>1130</v>
      </c>
      <c r="D12" s="17">
        <v>1005</v>
      </c>
      <c r="E12" s="17">
        <v>8</v>
      </c>
      <c r="F12" s="17">
        <v>2143</v>
      </c>
      <c r="G12" s="17">
        <v>541</v>
      </c>
      <c r="H12" s="23" t="s">
        <v>99</v>
      </c>
      <c r="I12" s="17">
        <v>57</v>
      </c>
      <c r="J12" s="17">
        <v>598</v>
      </c>
      <c r="K12" s="26">
        <v>541</v>
      </c>
      <c r="L12" s="17">
        <v>1139</v>
      </c>
      <c r="M12" s="152">
        <v>1004</v>
      </c>
      <c r="N12" s="150"/>
    </row>
    <row r="13" spans="1:14">
      <c r="A13" s="22" t="s">
        <v>106</v>
      </c>
      <c r="B13" s="22" t="s">
        <v>98</v>
      </c>
      <c r="C13" s="17">
        <v>1004</v>
      </c>
      <c r="D13" s="17">
        <v>956</v>
      </c>
      <c r="E13" s="17">
        <v>10</v>
      </c>
      <c r="F13" s="17">
        <v>1970</v>
      </c>
      <c r="G13" s="17">
        <v>547</v>
      </c>
      <c r="H13" s="23" t="s">
        <v>99</v>
      </c>
      <c r="I13" s="17">
        <v>43</v>
      </c>
      <c r="J13" s="17">
        <v>590</v>
      </c>
      <c r="K13" s="26">
        <v>418</v>
      </c>
      <c r="L13" s="17">
        <v>1008</v>
      </c>
      <c r="M13" s="152">
        <v>962</v>
      </c>
      <c r="N13" s="150"/>
    </row>
    <row r="14" spans="1:14">
      <c r="A14" s="22" t="s">
        <v>107</v>
      </c>
      <c r="B14" s="22" t="s">
        <v>98</v>
      </c>
      <c r="C14" s="17">
        <v>962</v>
      </c>
      <c r="D14" s="17">
        <v>1457</v>
      </c>
      <c r="E14" s="17">
        <v>8</v>
      </c>
      <c r="F14" s="17">
        <v>2427</v>
      </c>
      <c r="G14" s="17">
        <v>561</v>
      </c>
      <c r="H14" s="23" t="s">
        <v>99</v>
      </c>
      <c r="I14" s="17">
        <v>48</v>
      </c>
      <c r="J14" s="17">
        <v>609</v>
      </c>
      <c r="K14" s="26">
        <v>450</v>
      </c>
      <c r="L14" s="17">
        <v>1059</v>
      </c>
      <c r="M14" s="152">
        <v>1368</v>
      </c>
      <c r="N14" s="150"/>
    </row>
    <row r="15" spans="1:14">
      <c r="A15" s="22" t="s">
        <v>108</v>
      </c>
      <c r="B15" s="22" t="s">
        <v>98</v>
      </c>
      <c r="C15" s="17">
        <v>1368</v>
      </c>
      <c r="D15" s="17">
        <v>1118</v>
      </c>
      <c r="E15" s="17">
        <v>7</v>
      </c>
      <c r="F15" s="17">
        <v>2493</v>
      </c>
      <c r="G15" s="17">
        <v>558</v>
      </c>
      <c r="H15" s="23" t="s">
        <v>99</v>
      </c>
      <c r="I15" s="17">
        <v>49</v>
      </c>
      <c r="J15" s="17">
        <v>607</v>
      </c>
      <c r="K15" s="26">
        <v>502</v>
      </c>
      <c r="L15" s="17">
        <v>1109</v>
      </c>
      <c r="M15" s="152">
        <v>1384</v>
      </c>
      <c r="N15" s="150"/>
    </row>
    <row r="16" spans="1:14">
      <c r="A16" s="22" t="s">
        <v>109</v>
      </c>
      <c r="B16" s="22" t="s">
        <v>98</v>
      </c>
      <c r="C16" s="17">
        <v>1384.2</v>
      </c>
      <c r="D16" s="17">
        <v>1354.7</v>
      </c>
      <c r="E16" s="17">
        <v>8.1</v>
      </c>
      <c r="F16" s="17">
        <v>2747</v>
      </c>
      <c r="G16" s="17">
        <v>496.5</v>
      </c>
      <c r="H16" s="17">
        <v>64.3</v>
      </c>
      <c r="I16" s="17">
        <v>30.3</v>
      </c>
      <c r="J16" s="17">
        <v>591.1</v>
      </c>
      <c r="K16" s="26">
        <v>653.5</v>
      </c>
      <c r="L16" s="17">
        <v>1244.5999999999999</v>
      </c>
      <c r="M16" s="152">
        <v>1502.4</v>
      </c>
      <c r="N16" s="150"/>
    </row>
    <row r="17" spans="1:14">
      <c r="A17" s="22" t="s">
        <v>110</v>
      </c>
      <c r="B17" s="22" t="s">
        <v>98</v>
      </c>
      <c r="C17" s="17">
        <v>1502.4</v>
      </c>
      <c r="D17" s="17">
        <v>1232.4000000000001</v>
      </c>
      <c r="E17" s="17">
        <v>5.9</v>
      </c>
      <c r="F17" s="17">
        <v>2740.7</v>
      </c>
      <c r="G17" s="17">
        <v>504</v>
      </c>
      <c r="H17" s="17">
        <v>56.3</v>
      </c>
      <c r="I17" s="17">
        <v>44.1</v>
      </c>
      <c r="J17" s="17">
        <v>604.4</v>
      </c>
      <c r="K17" s="26">
        <v>715.7</v>
      </c>
      <c r="L17" s="17">
        <v>1320.1</v>
      </c>
      <c r="M17" s="152">
        <v>1420.6</v>
      </c>
      <c r="N17" s="150"/>
    </row>
    <row r="18" spans="1:14">
      <c r="A18" s="22" t="s">
        <v>111</v>
      </c>
      <c r="B18" s="22" t="s">
        <v>98</v>
      </c>
      <c r="C18" s="17">
        <v>1420.6</v>
      </c>
      <c r="D18" s="17">
        <v>1092</v>
      </c>
      <c r="E18" s="17">
        <v>5.3</v>
      </c>
      <c r="F18" s="17">
        <v>2517.8999999999996</v>
      </c>
      <c r="G18" s="17">
        <v>502.7</v>
      </c>
      <c r="H18" s="17">
        <v>61.4</v>
      </c>
      <c r="I18" s="17">
        <v>34.700000000000003</v>
      </c>
      <c r="J18" s="17">
        <v>598.79999999999995</v>
      </c>
      <c r="K18" s="26">
        <v>649.4</v>
      </c>
      <c r="L18" s="17">
        <v>1248.2</v>
      </c>
      <c r="M18" s="152">
        <v>1269.7</v>
      </c>
      <c r="N18" s="150"/>
    </row>
    <row r="19" spans="1:14">
      <c r="A19" s="22" t="s">
        <v>112</v>
      </c>
      <c r="B19" s="22" t="s">
        <v>98</v>
      </c>
      <c r="C19" s="17">
        <v>1269.7</v>
      </c>
      <c r="D19" s="17">
        <v>1146.8</v>
      </c>
      <c r="E19" s="17">
        <v>4</v>
      </c>
      <c r="F19" s="17">
        <v>2420.5</v>
      </c>
      <c r="G19" s="17">
        <v>487.9</v>
      </c>
      <c r="H19" s="17">
        <v>64.900000000000006</v>
      </c>
      <c r="I19" s="17">
        <v>28.6</v>
      </c>
      <c r="J19" s="17">
        <v>581.4</v>
      </c>
      <c r="K19" s="26">
        <v>845.6</v>
      </c>
      <c r="L19" s="17">
        <v>1427</v>
      </c>
      <c r="M19" s="152">
        <v>993.5</v>
      </c>
      <c r="N19" s="150"/>
    </row>
    <row r="20" spans="1:14">
      <c r="A20" s="22" t="s">
        <v>113</v>
      </c>
      <c r="B20" s="22" t="s">
        <v>98</v>
      </c>
      <c r="C20" s="17">
        <v>993.5</v>
      </c>
      <c r="D20" s="17">
        <v>1283.4000000000001</v>
      </c>
      <c r="E20" s="17">
        <v>1.8</v>
      </c>
      <c r="F20" s="17">
        <v>2278.6999999999998</v>
      </c>
      <c r="G20" s="17">
        <v>514.4</v>
      </c>
      <c r="H20" s="17">
        <v>65.5</v>
      </c>
      <c r="I20" s="17">
        <v>55</v>
      </c>
      <c r="J20" s="17">
        <v>634.9</v>
      </c>
      <c r="K20" s="26">
        <v>722.7</v>
      </c>
      <c r="L20" s="17">
        <v>1357.6</v>
      </c>
      <c r="M20" s="152">
        <v>921.1</v>
      </c>
      <c r="N20" s="150"/>
    </row>
    <row r="21" spans="1:14">
      <c r="A21" s="22" t="s">
        <v>114</v>
      </c>
      <c r="B21" s="22" t="s">
        <v>98</v>
      </c>
      <c r="C21" s="17">
        <v>921.1</v>
      </c>
      <c r="D21" s="17">
        <v>1315.6</v>
      </c>
      <c r="E21" s="17">
        <v>0.9</v>
      </c>
      <c r="F21" s="17">
        <v>2237.6</v>
      </c>
      <c r="G21" s="17">
        <v>517.9</v>
      </c>
      <c r="H21" s="17">
        <v>61.5</v>
      </c>
      <c r="I21" s="17">
        <v>145.9</v>
      </c>
      <c r="J21" s="17">
        <v>725.3</v>
      </c>
      <c r="K21" s="26">
        <v>851.8</v>
      </c>
      <c r="L21" s="17">
        <v>1577.1</v>
      </c>
      <c r="M21" s="152">
        <v>660.5</v>
      </c>
      <c r="N21" s="150"/>
    </row>
    <row r="22" spans="1:14">
      <c r="A22" s="22" t="s">
        <v>115</v>
      </c>
      <c r="B22" s="22" t="s">
        <v>98</v>
      </c>
      <c r="C22" s="17">
        <v>660.5</v>
      </c>
      <c r="D22" s="17">
        <v>1304.9000000000001</v>
      </c>
      <c r="E22" s="17">
        <v>1.7</v>
      </c>
      <c r="F22" s="17">
        <v>1967.1</v>
      </c>
      <c r="G22" s="17">
        <v>505.1</v>
      </c>
      <c r="H22" s="17">
        <v>77.400000000000006</v>
      </c>
      <c r="I22" s="17">
        <v>100.5</v>
      </c>
      <c r="J22" s="17">
        <v>683</v>
      </c>
      <c r="K22" s="26">
        <v>771.3</v>
      </c>
      <c r="L22" s="17">
        <v>1454.3</v>
      </c>
      <c r="M22" s="152">
        <v>512.79999999999995</v>
      </c>
      <c r="N22" s="150"/>
    </row>
    <row r="23" spans="1:14">
      <c r="A23" s="22" t="s">
        <v>116</v>
      </c>
      <c r="B23" s="22" t="s">
        <v>98</v>
      </c>
      <c r="C23" s="17">
        <v>512.79999999999995</v>
      </c>
      <c r="D23" s="17">
        <v>1507.6</v>
      </c>
      <c r="E23" s="17">
        <v>1</v>
      </c>
      <c r="F23" s="17">
        <v>2021.4</v>
      </c>
      <c r="G23" s="17">
        <v>517.79999999999995</v>
      </c>
      <c r="H23" s="17">
        <v>71.3</v>
      </c>
      <c r="I23" s="17">
        <v>36.799999999999997</v>
      </c>
      <c r="J23" s="17">
        <v>625.9</v>
      </c>
      <c r="K23" s="26">
        <v>765.3</v>
      </c>
      <c r="L23" s="17">
        <v>1391.2</v>
      </c>
      <c r="M23" s="152">
        <v>630.20000000000005</v>
      </c>
      <c r="N23" s="150"/>
    </row>
    <row r="24" spans="1:14">
      <c r="A24" s="22" t="s">
        <v>117</v>
      </c>
      <c r="B24" s="22" t="s">
        <v>98</v>
      </c>
      <c r="C24" s="17">
        <v>630.20000000000005</v>
      </c>
      <c r="D24" s="17">
        <v>1556.6</v>
      </c>
      <c r="E24" s="17">
        <v>1.1000000000000001</v>
      </c>
      <c r="F24" s="17">
        <v>2187.9</v>
      </c>
      <c r="G24" s="17">
        <v>522.4</v>
      </c>
      <c r="H24" s="17">
        <v>60.8</v>
      </c>
      <c r="I24" s="17">
        <v>156.5</v>
      </c>
      <c r="J24" s="17">
        <v>739.7</v>
      </c>
      <c r="K24" s="26">
        <v>544.20000000000005</v>
      </c>
      <c r="L24" s="17">
        <v>1283.9000000000001</v>
      </c>
      <c r="M24" s="152">
        <v>904</v>
      </c>
      <c r="N24" s="150"/>
    </row>
    <row r="25" spans="1:14">
      <c r="A25" s="22" t="s">
        <v>118</v>
      </c>
      <c r="B25" s="22" t="s">
        <v>98</v>
      </c>
      <c r="C25" s="17">
        <v>904</v>
      </c>
      <c r="D25" s="17">
        <v>1442.7</v>
      </c>
      <c r="E25" s="17">
        <v>2.9</v>
      </c>
      <c r="F25" s="17">
        <v>2349.6000000000004</v>
      </c>
      <c r="G25" s="17">
        <v>520.1</v>
      </c>
      <c r="H25" s="17">
        <v>55.5</v>
      </c>
      <c r="I25" s="17">
        <v>188.4</v>
      </c>
      <c r="J25" s="17">
        <v>764</v>
      </c>
      <c r="K25" s="26">
        <v>603</v>
      </c>
      <c r="L25" s="17">
        <v>1367</v>
      </c>
      <c r="M25" s="152">
        <v>982.6</v>
      </c>
      <c r="N25" s="150"/>
    </row>
    <row r="26" spans="1:14">
      <c r="A26" s="22" t="s">
        <v>119</v>
      </c>
      <c r="B26" s="22" t="s">
        <v>98</v>
      </c>
      <c r="C26" s="17">
        <v>982.6</v>
      </c>
      <c r="D26" s="17">
        <v>1351.6</v>
      </c>
      <c r="E26" s="17">
        <v>1.4</v>
      </c>
      <c r="F26" s="17">
        <v>2335.6</v>
      </c>
      <c r="G26" s="17">
        <v>517.1</v>
      </c>
      <c r="H26" s="17">
        <v>62.1</v>
      </c>
      <c r="I26" s="17">
        <v>192.8</v>
      </c>
      <c r="J26" s="17">
        <v>772</v>
      </c>
      <c r="K26" s="26">
        <v>740.8</v>
      </c>
      <c r="L26" s="17">
        <v>1512.8</v>
      </c>
      <c r="M26" s="152">
        <v>822.8</v>
      </c>
      <c r="N26" s="150"/>
    </row>
    <row r="27" spans="1:14">
      <c r="A27" s="22" t="s">
        <v>120</v>
      </c>
      <c r="B27" s="22" t="s">
        <v>98</v>
      </c>
      <c r="C27" s="17">
        <v>822.8</v>
      </c>
      <c r="D27" s="17">
        <v>1618.6</v>
      </c>
      <c r="E27" s="17">
        <v>1.1000000000000001</v>
      </c>
      <c r="F27" s="17">
        <v>2442.5</v>
      </c>
      <c r="G27" s="17">
        <v>523.70000000000005</v>
      </c>
      <c r="H27" s="17">
        <v>63.2</v>
      </c>
      <c r="I27" s="17">
        <v>262.39999999999998</v>
      </c>
      <c r="J27" s="17">
        <v>849.3</v>
      </c>
      <c r="K27" s="26">
        <v>609.79999999999995</v>
      </c>
      <c r="L27" s="17">
        <v>1459.1</v>
      </c>
      <c r="M27" s="152">
        <v>983.4</v>
      </c>
      <c r="N27" s="150"/>
    </row>
    <row r="28" spans="1:14">
      <c r="A28" s="22" t="s">
        <v>121</v>
      </c>
      <c r="B28" s="22" t="s">
        <v>98</v>
      </c>
      <c r="C28" s="17">
        <v>983.4</v>
      </c>
      <c r="D28" s="17">
        <v>1546.2</v>
      </c>
      <c r="E28" s="17">
        <v>1.3</v>
      </c>
      <c r="F28" s="17">
        <v>2530.9</v>
      </c>
      <c r="G28" s="17">
        <v>531.79999999999995</v>
      </c>
      <c r="H28" s="17">
        <v>67.400000000000006</v>
      </c>
      <c r="I28" s="17">
        <v>199.5</v>
      </c>
      <c r="J28" s="17">
        <v>798.7</v>
      </c>
      <c r="K28" s="26">
        <v>1135.0999999999999</v>
      </c>
      <c r="L28" s="17">
        <v>1933.8</v>
      </c>
      <c r="M28" s="152">
        <v>597.1</v>
      </c>
      <c r="N28" s="150"/>
    </row>
    <row r="29" spans="1:14">
      <c r="A29" s="22" t="s">
        <v>122</v>
      </c>
      <c r="B29" s="22" t="s">
        <v>98</v>
      </c>
      <c r="C29" s="17">
        <v>597.1</v>
      </c>
      <c r="D29" s="17">
        <v>1710.8</v>
      </c>
      <c r="E29" s="17">
        <v>2.6</v>
      </c>
      <c r="F29" s="17">
        <v>2310.5</v>
      </c>
      <c r="G29" s="17">
        <v>544.29999999999995</v>
      </c>
      <c r="H29" s="17">
        <v>84</v>
      </c>
      <c r="I29" s="17">
        <v>125.1</v>
      </c>
      <c r="J29" s="17">
        <v>753.4</v>
      </c>
      <c r="K29" s="26">
        <v>1217</v>
      </c>
      <c r="L29" s="17">
        <v>1970.4</v>
      </c>
      <c r="M29" s="152">
        <v>340.1</v>
      </c>
      <c r="N29" s="150"/>
    </row>
    <row r="30" spans="1:14">
      <c r="A30" s="22" t="s">
        <v>123</v>
      </c>
      <c r="B30" s="22" t="s">
        <v>98</v>
      </c>
      <c r="C30" s="17">
        <v>340.1</v>
      </c>
      <c r="D30" s="17">
        <v>1781.9</v>
      </c>
      <c r="E30" s="17">
        <v>3.4</v>
      </c>
      <c r="F30" s="17">
        <v>2125.4</v>
      </c>
      <c r="G30" s="17">
        <v>545</v>
      </c>
      <c r="H30" s="17">
        <v>92</v>
      </c>
      <c r="I30" s="17">
        <v>34.9</v>
      </c>
      <c r="J30" s="17">
        <v>671.9</v>
      </c>
      <c r="K30" s="26">
        <v>1018.5</v>
      </c>
      <c r="L30" s="17">
        <v>1690.4</v>
      </c>
      <c r="M30" s="152">
        <v>435</v>
      </c>
      <c r="N30" s="150"/>
    </row>
    <row r="31" spans="1:14">
      <c r="A31" s="151" t="s">
        <v>124</v>
      </c>
      <c r="B31" s="22" t="s">
        <v>125</v>
      </c>
      <c r="C31" s="17">
        <v>435</v>
      </c>
      <c r="D31" s="17">
        <v>2126.9270000000001</v>
      </c>
      <c r="E31" s="17">
        <v>0.7</v>
      </c>
      <c r="F31" s="17">
        <v>2562.627</v>
      </c>
      <c r="G31" s="17">
        <v>140</v>
      </c>
      <c r="H31" s="17">
        <v>1</v>
      </c>
      <c r="I31" s="17">
        <v>20.852</v>
      </c>
      <c r="J31" s="17">
        <v>161.852</v>
      </c>
      <c r="K31" s="26">
        <v>300.07499999999999</v>
      </c>
      <c r="L31" s="17">
        <v>461.92700000000002</v>
      </c>
      <c r="M31" s="152">
        <v>2100.6999999999998</v>
      </c>
      <c r="N31" s="150"/>
    </row>
    <row r="32" spans="1:14">
      <c r="A32" s="150"/>
      <c r="B32" s="22" t="s">
        <v>126</v>
      </c>
      <c r="C32" s="17">
        <v>2100.6999999999998</v>
      </c>
      <c r="D32" s="23" t="s">
        <v>99</v>
      </c>
      <c r="E32" s="17">
        <v>0.8</v>
      </c>
      <c r="F32" s="17">
        <v>2101.5</v>
      </c>
      <c r="G32" s="17">
        <v>156.4</v>
      </c>
      <c r="H32" s="17">
        <v>68</v>
      </c>
      <c r="I32" s="17">
        <v>-47.847000000000001</v>
      </c>
      <c r="J32" s="17">
        <v>176.553</v>
      </c>
      <c r="K32" s="26">
        <v>376.64699999999999</v>
      </c>
      <c r="L32" s="17">
        <v>553.20000000000005</v>
      </c>
      <c r="M32" s="152">
        <v>1548.3</v>
      </c>
      <c r="N32" s="150"/>
    </row>
    <row r="33" spans="1:14">
      <c r="A33" s="150"/>
      <c r="B33" s="22" t="s">
        <v>127</v>
      </c>
      <c r="C33" s="17">
        <v>1548.3</v>
      </c>
      <c r="D33" s="23" t="s">
        <v>99</v>
      </c>
      <c r="E33" s="17">
        <v>0.3</v>
      </c>
      <c r="F33" s="17">
        <v>1548.6</v>
      </c>
      <c r="G33" s="17">
        <v>144.80000000000001</v>
      </c>
      <c r="H33" s="17">
        <v>2</v>
      </c>
      <c r="I33" s="17">
        <v>52.81</v>
      </c>
      <c r="J33" s="17">
        <v>199.61</v>
      </c>
      <c r="K33" s="26">
        <v>263.49</v>
      </c>
      <c r="L33" s="17">
        <v>463.1</v>
      </c>
      <c r="M33" s="152">
        <v>1085.5</v>
      </c>
      <c r="N33" s="150"/>
    </row>
    <row r="34" spans="1:14">
      <c r="A34" s="150"/>
      <c r="B34" s="22" t="s">
        <v>128</v>
      </c>
      <c r="C34" s="17">
        <v>1085.5</v>
      </c>
      <c r="D34" s="23" t="s">
        <v>99</v>
      </c>
      <c r="E34" s="17">
        <v>0.6</v>
      </c>
      <c r="F34" s="17">
        <v>1086.0999999999999</v>
      </c>
      <c r="G34" s="17">
        <v>147.30000000000001</v>
      </c>
      <c r="H34" s="17">
        <v>29</v>
      </c>
      <c r="I34" s="17">
        <v>11.502000000000001</v>
      </c>
      <c r="J34" s="17">
        <v>187.80199999999999</v>
      </c>
      <c r="K34" s="26">
        <v>232.66900000000001</v>
      </c>
      <c r="L34" s="17">
        <v>420.471</v>
      </c>
      <c r="M34" s="152">
        <v>665.62900000000002</v>
      </c>
      <c r="N34" s="150"/>
    </row>
    <row r="35" spans="1:14">
      <c r="A35" s="150"/>
      <c r="B35" s="22" t="s">
        <v>98</v>
      </c>
      <c r="C35" s="17">
        <v>435</v>
      </c>
      <c r="D35" s="17">
        <v>2126.9270000000001</v>
      </c>
      <c r="E35" s="17">
        <v>2.4</v>
      </c>
      <c r="F35" s="17">
        <v>2564.3270000000002</v>
      </c>
      <c r="G35" s="17">
        <v>588.5</v>
      </c>
      <c r="H35" s="17">
        <v>100</v>
      </c>
      <c r="I35" s="17">
        <v>37.317</v>
      </c>
      <c r="J35" s="17">
        <v>725.81700000000001</v>
      </c>
      <c r="K35" s="26">
        <v>1172.8810000000001</v>
      </c>
      <c r="L35" s="17">
        <v>1898.6980000000001</v>
      </c>
      <c r="M35" s="152">
        <v>665.62900000000002</v>
      </c>
      <c r="N35" s="150"/>
    </row>
    <row r="36" spans="1:14">
      <c r="A36" s="151" t="s">
        <v>129</v>
      </c>
      <c r="B36" s="22" t="s">
        <v>125</v>
      </c>
      <c r="C36" s="17">
        <v>665.62900000000002</v>
      </c>
      <c r="D36" s="17">
        <v>2148.7800000000002</v>
      </c>
      <c r="E36" s="17">
        <v>0.8</v>
      </c>
      <c r="F36" s="17">
        <v>2815.2090000000003</v>
      </c>
      <c r="G36" s="17">
        <v>150</v>
      </c>
      <c r="H36" s="17">
        <v>1</v>
      </c>
      <c r="I36" s="17">
        <v>-2.9550000000000001</v>
      </c>
      <c r="J36" s="17">
        <v>148.04499999999999</v>
      </c>
      <c r="K36" s="26">
        <v>281.964</v>
      </c>
      <c r="L36" s="17">
        <v>430.00900000000001</v>
      </c>
      <c r="M36" s="152">
        <v>2385.1999999999998</v>
      </c>
      <c r="N36" s="150"/>
    </row>
    <row r="37" spans="1:14">
      <c r="A37" s="150"/>
      <c r="B37" s="22" t="s">
        <v>126</v>
      </c>
      <c r="C37" s="17">
        <v>2385.1999999999998</v>
      </c>
      <c r="D37" s="23" t="s">
        <v>99</v>
      </c>
      <c r="E37" s="17">
        <v>0.5</v>
      </c>
      <c r="F37" s="17">
        <v>2385.6999999999998</v>
      </c>
      <c r="G37" s="17">
        <v>153</v>
      </c>
      <c r="H37" s="17">
        <v>64</v>
      </c>
      <c r="I37" s="17">
        <v>-2.7949999999999999</v>
      </c>
      <c r="J37" s="17">
        <v>214.20500000000001</v>
      </c>
      <c r="K37" s="26">
        <v>277.29500000000002</v>
      </c>
      <c r="L37" s="17">
        <v>491.5</v>
      </c>
      <c r="M37" s="152">
        <v>1894.2</v>
      </c>
      <c r="N37" s="150"/>
    </row>
    <row r="38" spans="1:14">
      <c r="A38" s="150"/>
      <c r="B38" s="22" t="s">
        <v>127</v>
      </c>
      <c r="C38" s="17">
        <v>1894.2</v>
      </c>
      <c r="D38" s="23" t="s">
        <v>99</v>
      </c>
      <c r="E38" s="17">
        <v>0.4</v>
      </c>
      <c r="F38" s="17">
        <v>1894.6</v>
      </c>
      <c r="G38" s="17">
        <v>144.80000000000001</v>
      </c>
      <c r="H38" s="17">
        <v>1</v>
      </c>
      <c r="I38" s="17">
        <v>44.970999999999997</v>
      </c>
      <c r="J38" s="17">
        <v>190.77099999999999</v>
      </c>
      <c r="K38" s="26">
        <v>178.929</v>
      </c>
      <c r="L38" s="17">
        <v>369.7</v>
      </c>
      <c r="M38" s="152">
        <v>1524.9</v>
      </c>
      <c r="N38" s="150"/>
    </row>
    <row r="39" spans="1:14">
      <c r="A39" s="150"/>
      <c r="B39" s="22" t="s">
        <v>128</v>
      </c>
      <c r="C39" s="17">
        <v>1524.9</v>
      </c>
      <c r="D39" s="23" t="s">
        <v>99</v>
      </c>
      <c r="E39" s="17">
        <v>1</v>
      </c>
      <c r="F39" s="17">
        <v>1525.9</v>
      </c>
      <c r="G39" s="17">
        <v>140.19999999999999</v>
      </c>
      <c r="H39" s="17">
        <v>26</v>
      </c>
      <c r="I39" s="17">
        <v>35.106999999999999</v>
      </c>
      <c r="J39" s="17">
        <v>201.30699999999999</v>
      </c>
      <c r="K39" s="26">
        <v>211.34399999999999</v>
      </c>
      <c r="L39" s="17">
        <v>412.65100000000001</v>
      </c>
      <c r="M39" s="152">
        <v>1113.249</v>
      </c>
      <c r="N39" s="150"/>
    </row>
    <row r="40" spans="1:14">
      <c r="A40" s="150"/>
      <c r="B40" s="22" t="s">
        <v>98</v>
      </c>
      <c r="C40" s="17">
        <v>665.62900000000002</v>
      </c>
      <c r="D40" s="17">
        <v>2148.7800000000002</v>
      </c>
      <c r="E40" s="17">
        <v>2.7</v>
      </c>
      <c r="F40" s="17">
        <v>2817.1090000000004</v>
      </c>
      <c r="G40" s="17">
        <v>588</v>
      </c>
      <c r="H40" s="17">
        <v>92</v>
      </c>
      <c r="I40" s="17">
        <v>74.328000000000003</v>
      </c>
      <c r="J40" s="17">
        <v>754.32799999999997</v>
      </c>
      <c r="K40" s="26">
        <v>949.53200000000004</v>
      </c>
      <c r="L40" s="17">
        <v>1703.86</v>
      </c>
      <c r="M40" s="152">
        <v>1113.249</v>
      </c>
      <c r="N40" s="150"/>
    </row>
    <row r="41" spans="1:14">
      <c r="A41" s="151" t="s">
        <v>130</v>
      </c>
      <c r="B41" s="22" t="s">
        <v>125</v>
      </c>
      <c r="C41" s="17">
        <v>1113.249</v>
      </c>
      <c r="D41" s="17">
        <v>2045.527</v>
      </c>
      <c r="E41" s="17">
        <v>0.7</v>
      </c>
      <c r="F41" s="17">
        <v>3159.4759999999997</v>
      </c>
      <c r="G41" s="17">
        <v>142.69999999999999</v>
      </c>
      <c r="H41" s="17">
        <v>1</v>
      </c>
      <c r="I41" s="17">
        <v>117.131</v>
      </c>
      <c r="J41" s="17">
        <v>260.83100000000002</v>
      </c>
      <c r="K41" s="26">
        <v>266.94499999999999</v>
      </c>
      <c r="L41" s="17">
        <v>527.77599999999995</v>
      </c>
      <c r="M41" s="152">
        <v>2631.7</v>
      </c>
      <c r="N41" s="150"/>
    </row>
    <row r="42" spans="1:14">
      <c r="A42" s="150"/>
      <c r="B42" s="22" t="s">
        <v>126</v>
      </c>
      <c r="C42" s="17">
        <v>2631.7</v>
      </c>
      <c r="D42" s="23" t="s">
        <v>99</v>
      </c>
      <c r="E42" s="17">
        <v>0.5</v>
      </c>
      <c r="F42" s="17">
        <v>2632.2</v>
      </c>
      <c r="G42" s="17">
        <v>154.30000000000001</v>
      </c>
      <c r="H42" s="17">
        <v>54</v>
      </c>
      <c r="I42" s="17">
        <v>36.997999999999998</v>
      </c>
      <c r="J42" s="17">
        <v>245.298</v>
      </c>
      <c r="K42" s="26">
        <v>247.50200000000001</v>
      </c>
      <c r="L42" s="17">
        <v>492.8</v>
      </c>
      <c r="M42" s="152">
        <v>2139.4</v>
      </c>
      <c r="N42" s="150"/>
    </row>
    <row r="43" spans="1:14">
      <c r="A43" s="150"/>
      <c r="B43" s="22" t="s">
        <v>127</v>
      </c>
      <c r="C43" s="17">
        <v>2139.4</v>
      </c>
      <c r="D43" s="23" t="s">
        <v>99</v>
      </c>
      <c r="E43" s="17">
        <v>0.4</v>
      </c>
      <c r="F43" s="17">
        <v>2139.8000000000002</v>
      </c>
      <c r="G43" s="17">
        <v>143.69999999999999</v>
      </c>
      <c r="H43" s="17">
        <v>1</v>
      </c>
      <c r="I43" s="17">
        <v>28.309000000000001</v>
      </c>
      <c r="J43" s="17">
        <v>173.00899999999999</v>
      </c>
      <c r="K43" s="26">
        <v>260.19099999999997</v>
      </c>
      <c r="L43" s="17">
        <v>433.2</v>
      </c>
      <c r="M43" s="152">
        <v>1706.6</v>
      </c>
      <c r="N43" s="150"/>
    </row>
    <row r="44" spans="1:14">
      <c r="A44" s="150"/>
      <c r="B44" s="22" t="s">
        <v>128</v>
      </c>
      <c r="C44" s="17">
        <v>1706.6</v>
      </c>
      <c r="D44" s="23" t="s">
        <v>99</v>
      </c>
      <c r="E44" s="17">
        <v>0.3</v>
      </c>
      <c r="F44" s="17">
        <v>1706.9</v>
      </c>
      <c r="G44" s="17">
        <v>145.80000000000001</v>
      </c>
      <c r="H44" s="17">
        <v>24</v>
      </c>
      <c r="I44" s="17">
        <v>10.063000000000001</v>
      </c>
      <c r="J44" s="17">
        <v>179.863</v>
      </c>
      <c r="K44" s="26">
        <v>349.22899999999998</v>
      </c>
      <c r="L44" s="17">
        <v>529.09199999999998</v>
      </c>
      <c r="M44" s="152">
        <v>1177.808</v>
      </c>
      <c r="N44" s="150"/>
    </row>
    <row r="45" spans="1:14">
      <c r="A45" s="150"/>
      <c r="B45" s="22" t="s">
        <v>98</v>
      </c>
      <c r="C45" s="17">
        <v>1113.249</v>
      </c>
      <c r="D45" s="17">
        <v>2045.527</v>
      </c>
      <c r="E45" s="17">
        <v>1.9</v>
      </c>
      <c r="F45" s="17">
        <v>3160.6760000000004</v>
      </c>
      <c r="G45" s="17">
        <v>586.5</v>
      </c>
      <c r="H45" s="17">
        <v>80</v>
      </c>
      <c r="I45" s="17">
        <v>192.501</v>
      </c>
      <c r="J45" s="17">
        <v>859.00099999999998</v>
      </c>
      <c r="K45" s="26">
        <v>1123.867</v>
      </c>
      <c r="L45" s="17">
        <v>1982.8679999999999</v>
      </c>
      <c r="M45" s="152">
        <v>1177.808</v>
      </c>
      <c r="N45" s="150"/>
    </row>
    <row r="46" spans="1:14">
      <c r="A46" s="151" t="s">
        <v>131</v>
      </c>
      <c r="B46" s="22" t="s">
        <v>125</v>
      </c>
      <c r="C46" s="17">
        <v>1177.808</v>
      </c>
      <c r="D46" s="17">
        <v>1775.5239999999999</v>
      </c>
      <c r="E46" s="17">
        <v>0.6</v>
      </c>
      <c r="F46" s="17">
        <v>2953.9319999999998</v>
      </c>
      <c r="G46" s="17">
        <v>145.19999999999999</v>
      </c>
      <c r="H46" s="17">
        <v>1</v>
      </c>
      <c r="I46" s="17">
        <v>80.861999999999995</v>
      </c>
      <c r="J46" s="17">
        <v>227.06200000000001</v>
      </c>
      <c r="K46" s="26">
        <v>366.77</v>
      </c>
      <c r="L46" s="17">
        <v>593.83199999999999</v>
      </c>
      <c r="M46" s="152">
        <v>2360.1</v>
      </c>
      <c r="N46" s="150"/>
    </row>
    <row r="47" spans="1:14">
      <c r="A47" s="150"/>
      <c r="B47" s="22" t="s">
        <v>126</v>
      </c>
      <c r="C47" s="17">
        <v>2360.1</v>
      </c>
      <c r="D47" s="23" t="s">
        <v>99</v>
      </c>
      <c r="E47" s="17">
        <v>0.5</v>
      </c>
      <c r="F47" s="17">
        <v>2360.6</v>
      </c>
      <c r="G47" s="17">
        <v>151.80000000000001</v>
      </c>
      <c r="H47" s="17">
        <v>58</v>
      </c>
      <c r="I47" s="17">
        <v>33.021000000000001</v>
      </c>
      <c r="J47" s="17">
        <v>242.821</v>
      </c>
      <c r="K47" s="26">
        <v>342.17899999999997</v>
      </c>
      <c r="L47" s="17">
        <v>585</v>
      </c>
      <c r="M47" s="152">
        <v>1775.6</v>
      </c>
      <c r="N47" s="150"/>
    </row>
    <row r="48" spans="1:14">
      <c r="A48" s="150"/>
      <c r="B48" s="22" t="s">
        <v>127</v>
      </c>
      <c r="C48" s="17">
        <v>1775.6</v>
      </c>
      <c r="D48" s="23" t="s">
        <v>99</v>
      </c>
      <c r="E48" s="17">
        <v>0.4</v>
      </c>
      <c r="F48" s="17">
        <v>1776</v>
      </c>
      <c r="G48" s="17">
        <v>145.9</v>
      </c>
      <c r="H48" s="17">
        <v>2</v>
      </c>
      <c r="I48" s="17">
        <v>21.975000000000001</v>
      </c>
      <c r="J48" s="17">
        <v>169.875</v>
      </c>
      <c r="K48" s="26">
        <v>238.02500000000001</v>
      </c>
      <c r="L48" s="17">
        <v>407.9</v>
      </c>
      <c r="M48" s="152">
        <v>1368.1</v>
      </c>
      <c r="N48" s="150"/>
    </row>
    <row r="49" spans="1:14">
      <c r="A49" s="150"/>
      <c r="B49" s="22" t="s">
        <v>128</v>
      </c>
      <c r="C49" s="17">
        <v>1368.1</v>
      </c>
      <c r="D49" s="23" t="s">
        <v>99</v>
      </c>
      <c r="E49" s="17">
        <v>0.4</v>
      </c>
      <c r="F49" s="17">
        <v>1368.5</v>
      </c>
      <c r="G49" s="17">
        <v>149.5</v>
      </c>
      <c r="H49" s="17">
        <v>26</v>
      </c>
      <c r="I49" s="17">
        <v>21.745999999999999</v>
      </c>
      <c r="J49" s="17">
        <v>197.24600000000001</v>
      </c>
      <c r="K49" s="26">
        <v>247.155</v>
      </c>
      <c r="L49" s="17">
        <v>444.40100000000001</v>
      </c>
      <c r="M49" s="152">
        <v>924.09900000000005</v>
      </c>
      <c r="N49" s="150"/>
    </row>
    <row r="50" spans="1:14">
      <c r="A50" s="150"/>
      <c r="B50" s="22" t="s">
        <v>98</v>
      </c>
      <c r="C50" s="17">
        <v>1177.808</v>
      </c>
      <c r="D50" s="17">
        <v>1775.5239999999999</v>
      </c>
      <c r="E50" s="17">
        <v>1.9</v>
      </c>
      <c r="F50" s="17">
        <v>2955.232</v>
      </c>
      <c r="G50" s="17">
        <v>592.4</v>
      </c>
      <c r="H50" s="17">
        <v>87</v>
      </c>
      <c r="I50" s="17">
        <v>157.60400000000001</v>
      </c>
      <c r="J50" s="17">
        <v>837.00400000000002</v>
      </c>
      <c r="K50" s="26">
        <v>1194.1289999999999</v>
      </c>
      <c r="L50" s="17">
        <v>2031.133</v>
      </c>
      <c r="M50" s="152">
        <v>924.09900000000005</v>
      </c>
      <c r="N50" s="150"/>
    </row>
    <row r="51" spans="1:14">
      <c r="A51" s="151" t="s">
        <v>132</v>
      </c>
      <c r="B51" s="22" t="s">
        <v>125</v>
      </c>
      <c r="C51" s="17">
        <v>924.09900000000005</v>
      </c>
      <c r="D51" s="17">
        <v>2134.06</v>
      </c>
      <c r="E51" s="17">
        <v>0.6</v>
      </c>
      <c r="F51" s="17">
        <v>3058.759</v>
      </c>
      <c r="G51" s="17">
        <v>150.1</v>
      </c>
      <c r="H51" s="17">
        <v>1</v>
      </c>
      <c r="I51" s="17">
        <v>38.098999999999997</v>
      </c>
      <c r="J51" s="17">
        <v>189.19900000000001</v>
      </c>
      <c r="K51" s="26">
        <v>374.56</v>
      </c>
      <c r="L51" s="17">
        <v>563.75900000000001</v>
      </c>
      <c r="M51" s="152">
        <v>2495</v>
      </c>
      <c r="N51" s="150"/>
    </row>
    <row r="52" spans="1:14">
      <c r="A52" s="150"/>
      <c r="B52" s="22" t="s">
        <v>126</v>
      </c>
      <c r="C52" s="17">
        <v>2495</v>
      </c>
      <c r="D52" s="23" t="s">
        <v>99</v>
      </c>
      <c r="E52" s="17">
        <v>0.6</v>
      </c>
      <c r="F52" s="17">
        <v>2495.6</v>
      </c>
      <c r="G52" s="17">
        <v>159.30000000000001</v>
      </c>
      <c r="H52" s="17">
        <v>66</v>
      </c>
      <c r="I52" s="17">
        <v>-8.4760000000000009</v>
      </c>
      <c r="J52" s="17">
        <v>216.82400000000001</v>
      </c>
      <c r="K52" s="26">
        <v>402.77600000000001</v>
      </c>
      <c r="L52" s="17">
        <v>619.6</v>
      </c>
      <c r="M52" s="152">
        <v>1876</v>
      </c>
      <c r="N52" s="150"/>
    </row>
    <row r="53" spans="1:14">
      <c r="A53" s="150"/>
      <c r="B53" s="22" t="s">
        <v>127</v>
      </c>
      <c r="C53" s="17">
        <v>1876</v>
      </c>
      <c r="D53" s="23" t="s">
        <v>99</v>
      </c>
      <c r="E53" s="17">
        <v>0.5</v>
      </c>
      <c r="F53" s="17">
        <v>1876.5</v>
      </c>
      <c r="G53" s="17">
        <v>148.4</v>
      </c>
      <c r="H53" s="17">
        <v>3</v>
      </c>
      <c r="I53" s="17">
        <v>31.126999999999999</v>
      </c>
      <c r="J53" s="17">
        <v>182.52699999999999</v>
      </c>
      <c r="K53" s="26">
        <v>301.47300000000001</v>
      </c>
      <c r="L53" s="17">
        <v>484</v>
      </c>
      <c r="M53" s="152">
        <v>1392.5</v>
      </c>
      <c r="N53" s="150"/>
    </row>
    <row r="54" spans="1:14">
      <c r="A54" s="150"/>
      <c r="B54" s="22" t="s">
        <v>128</v>
      </c>
      <c r="C54" s="17">
        <v>1392.5</v>
      </c>
      <c r="D54" s="23" t="s">
        <v>99</v>
      </c>
      <c r="E54" s="17">
        <v>0.4</v>
      </c>
      <c r="F54" s="17">
        <v>1392.9</v>
      </c>
      <c r="G54" s="17">
        <v>138.30000000000001</v>
      </c>
      <c r="H54" s="17">
        <v>31</v>
      </c>
      <c r="I54" s="17">
        <v>25.234999999999999</v>
      </c>
      <c r="J54" s="17">
        <v>194.535</v>
      </c>
      <c r="K54" s="26">
        <v>296.36599999999999</v>
      </c>
      <c r="L54" s="17">
        <v>490.90100000000001</v>
      </c>
      <c r="M54" s="152">
        <v>901.99900000000002</v>
      </c>
      <c r="N54" s="150"/>
    </row>
    <row r="55" spans="1:14">
      <c r="A55" s="150"/>
      <c r="B55" s="22" t="s">
        <v>98</v>
      </c>
      <c r="C55" s="17">
        <v>924.09900000000005</v>
      </c>
      <c r="D55" s="17">
        <v>2134.06</v>
      </c>
      <c r="E55" s="17">
        <v>2.1</v>
      </c>
      <c r="F55" s="17">
        <v>3060.259</v>
      </c>
      <c r="G55" s="17">
        <v>596.1</v>
      </c>
      <c r="H55" s="17">
        <v>101</v>
      </c>
      <c r="I55" s="17">
        <v>85.984999999999999</v>
      </c>
      <c r="J55" s="17">
        <v>783.08500000000004</v>
      </c>
      <c r="K55" s="26">
        <v>1375.175</v>
      </c>
      <c r="L55" s="17">
        <v>2158.2600000000002</v>
      </c>
      <c r="M55" s="152">
        <v>901.99900000000002</v>
      </c>
      <c r="N55" s="150"/>
    </row>
    <row r="56" spans="1:14">
      <c r="A56" s="151" t="s">
        <v>133</v>
      </c>
      <c r="B56" s="22" t="s">
        <v>125</v>
      </c>
      <c r="C56" s="17">
        <v>901.99900000000002</v>
      </c>
      <c r="D56" s="17">
        <v>2380.9340000000002</v>
      </c>
      <c r="E56" s="17">
        <v>0.8</v>
      </c>
      <c r="F56" s="17">
        <v>3283.7330000000002</v>
      </c>
      <c r="G56" s="17">
        <v>144.19999999999999</v>
      </c>
      <c r="H56" s="17">
        <v>2</v>
      </c>
      <c r="I56" s="17">
        <v>48.113</v>
      </c>
      <c r="J56" s="17">
        <v>194.31299999999999</v>
      </c>
      <c r="K56" s="26">
        <v>375.42</v>
      </c>
      <c r="L56" s="17">
        <v>569.73299999999995</v>
      </c>
      <c r="M56" s="152">
        <v>2714</v>
      </c>
      <c r="N56" s="150"/>
    </row>
    <row r="57" spans="1:14">
      <c r="A57" s="150"/>
      <c r="B57" s="22" t="s">
        <v>126</v>
      </c>
      <c r="C57" s="17">
        <v>2714</v>
      </c>
      <c r="D57" s="23" t="s">
        <v>99</v>
      </c>
      <c r="E57" s="17">
        <v>0.6</v>
      </c>
      <c r="F57" s="17">
        <v>2714.6</v>
      </c>
      <c r="G57" s="17">
        <v>162.1</v>
      </c>
      <c r="H57" s="17">
        <v>76</v>
      </c>
      <c r="I57" s="17">
        <v>4.8650000000000002</v>
      </c>
      <c r="J57" s="17">
        <v>242.965</v>
      </c>
      <c r="K57" s="26">
        <v>379.33499999999998</v>
      </c>
      <c r="L57" s="17">
        <v>622.29999999999995</v>
      </c>
      <c r="M57" s="152">
        <v>2092.3000000000002</v>
      </c>
      <c r="N57" s="150"/>
    </row>
    <row r="58" spans="1:14">
      <c r="A58" s="150"/>
      <c r="B58" s="22" t="s">
        <v>127</v>
      </c>
      <c r="C58" s="17">
        <v>2092.3000000000002</v>
      </c>
      <c r="D58" s="23" t="s">
        <v>99</v>
      </c>
      <c r="E58" s="17">
        <v>0.6</v>
      </c>
      <c r="F58" s="17">
        <v>2092.9</v>
      </c>
      <c r="G58" s="17">
        <v>158.80000000000001</v>
      </c>
      <c r="H58" s="17">
        <v>4</v>
      </c>
      <c r="I58" s="17">
        <v>8.1300000000000008</v>
      </c>
      <c r="J58" s="17">
        <v>170.93</v>
      </c>
      <c r="K58" s="26">
        <v>399.17</v>
      </c>
      <c r="L58" s="17">
        <v>570.1</v>
      </c>
      <c r="M58" s="152">
        <v>1522.8</v>
      </c>
      <c r="N58" s="150"/>
    </row>
    <row r="59" spans="1:14">
      <c r="A59" s="150"/>
      <c r="B59" s="22" t="s">
        <v>128</v>
      </c>
      <c r="C59" s="17">
        <v>1522.8</v>
      </c>
      <c r="D59" s="23" t="s">
        <v>99</v>
      </c>
      <c r="E59" s="17">
        <v>0.5</v>
      </c>
      <c r="F59" s="17">
        <v>1523.3</v>
      </c>
      <c r="G59" s="17">
        <v>145.4</v>
      </c>
      <c r="H59" s="17">
        <v>31</v>
      </c>
      <c r="I59" s="17">
        <v>-2.1219999999999999</v>
      </c>
      <c r="J59" s="17">
        <v>174.27799999999999</v>
      </c>
      <c r="K59" s="26">
        <v>359.90899999999999</v>
      </c>
      <c r="L59" s="17">
        <v>534.18700000000001</v>
      </c>
      <c r="M59" s="152">
        <v>989.11300000000006</v>
      </c>
      <c r="N59" s="150"/>
    </row>
    <row r="60" spans="1:14">
      <c r="A60" s="150"/>
      <c r="B60" s="22" t="s">
        <v>98</v>
      </c>
      <c r="C60" s="17">
        <v>901.99900000000002</v>
      </c>
      <c r="D60" s="17">
        <v>2380.9340000000002</v>
      </c>
      <c r="E60" s="17">
        <v>2.5</v>
      </c>
      <c r="F60" s="17">
        <v>3285.433</v>
      </c>
      <c r="G60" s="17">
        <v>610.5</v>
      </c>
      <c r="H60" s="17">
        <v>113</v>
      </c>
      <c r="I60" s="17">
        <v>58.985999999999997</v>
      </c>
      <c r="J60" s="17">
        <v>782.48599999999999</v>
      </c>
      <c r="K60" s="26">
        <v>1513.8340000000001</v>
      </c>
      <c r="L60" s="17">
        <v>2296.3200000000002</v>
      </c>
      <c r="M60" s="152">
        <v>989.11300000000006</v>
      </c>
      <c r="N60" s="150"/>
    </row>
    <row r="61" spans="1:14">
      <c r="A61" s="151" t="s">
        <v>134</v>
      </c>
      <c r="B61" s="22" t="s">
        <v>125</v>
      </c>
      <c r="C61" s="17">
        <v>989.11300000000006</v>
      </c>
      <c r="D61" s="17">
        <v>2785.357</v>
      </c>
      <c r="E61" s="17">
        <v>0.7</v>
      </c>
      <c r="F61" s="17">
        <v>3775.17</v>
      </c>
      <c r="G61" s="17">
        <v>149.19999999999999</v>
      </c>
      <c r="H61" s="17">
        <v>1</v>
      </c>
      <c r="I61" s="17">
        <v>144.85599999999999</v>
      </c>
      <c r="J61" s="17">
        <v>295.05599999999998</v>
      </c>
      <c r="K61" s="26">
        <v>424.11399999999998</v>
      </c>
      <c r="L61" s="17">
        <v>719.17</v>
      </c>
      <c r="M61" s="152">
        <v>3056</v>
      </c>
      <c r="N61" s="150"/>
    </row>
    <row r="62" spans="1:14">
      <c r="A62" s="150"/>
      <c r="B62" s="22" t="s">
        <v>126</v>
      </c>
      <c r="C62" s="17">
        <v>3056</v>
      </c>
      <c r="D62" s="23" t="s">
        <v>99</v>
      </c>
      <c r="E62" s="17">
        <v>0.8</v>
      </c>
      <c r="F62" s="17">
        <v>3056.8</v>
      </c>
      <c r="G62" s="17">
        <v>161.69999999999999</v>
      </c>
      <c r="H62" s="17">
        <v>78</v>
      </c>
      <c r="I62" s="17">
        <v>-7.125</v>
      </c>
      <c r="J62" s="17">
        <v>232.57499999999999</v>
      </c>
      <c r="K62" s="26">
        <v>485.82499999999999</v>
      </c>
      <c r="L62" s="17">
        <v>718.4</v>
      </c>
      <c r="M62" s="152">
        <v>2338.4</v>
      </c>
      <c r="N62" s="150"/>
    </row>
    <row r="63" spans="1:14">
      <c r="A63" s="150"/>
      <c r="B63" s="22" t="s">
        <v>127</v>
      </c>
      <c r="C63" s="17">
        <v>2338.4</v>
      </c>
      <c r="D63" s="23" t="s">
        <v>99</v>
      </c>
      <c r="E63" s="17">
        <v>0.7</v>
      </c>
      <c r="F63" s="17">
        <v>2339.1</v>
      </c>
      <c r="G63" s="17">
        <v>150.1</v>
      </c>
      <c r="H63" s="17">
        <v>4</v>
      </c>
      <c r="I63" s="17">
        <v>-7.6340000000000003</v>
      </c>
      <c r="J63" s="17">
        <v>146.46600000000001</v>
      </c>
      <c r="K63" s="26">
        <v>415.03399999999999</v>
      </c>
      <c r="L63" s="17">
        <v>561.5</v>
      </c>
      <c r="M63" s="152">
        <v>1777.6</v>
      </c>
      <c r="N63" s="150"/>
    </row>
    <row r="64" spans="1:14">
      <c r="A64" s="150"/>
      <c r="B64" s="22" t="s">
        <v>128</v>
      </c>
      <c r="C64" s="17">
        <v>1777.6</v>
      </c>
      <c r="D64" s="23" t="s">
        <v>99</v>
      </c>
      <c r="E64" s="17">
        <v>0.6</v>
      </c>
      <c r="F64" s="17">
        <v>1778.1999999999998</v>
      </c>
      <c r="G64" s="17">
        <v>141.4</v>
      </c>
      <c r="H64" s="17">
        <v>27</v>
      </c>
      <c r="I64" s="17">
        <v>4.6790000000000003</v>
      </c>
      <c r="J64" s="17">
        <v>173.07900000000001</v>
      </c>
      <c r="K64" s="26">
        <v>445.75700000000001</v>
      </c>
      <c r="L64" s="17">
        <v>618.83600000000001</v>
      </c>
      <c r="M64" s="152">
        <v>1159.364</v>
      </c>
      <c r="N64" s="150"/>
    </row>
    <row r="65" spans="1:14">
      <c r="A65" s="150"/>
      <c r="B65" s="22" t="s">
        <v>98</v>
      </c>
      <c r="C65" s="17">
        <v>989.11300000000006</v>
      </c>
      <c r="D65" s="17">
        <v>2785.357</v>
      </c>
      <c r="E65" s="17">
        <v>2.8</v>
      </c>
      <c r="F65" s="17">
        <v>3777.2700000000004</v>
      </c>
      <c r="G65" s="17">
        <v>602.4</v>
      </c>
      <c r="H65" s="17">
        <v>110</v>
      </c>
      <c r="I65" s="17">
        <v>134.77600000000001</v>
      </c>
      <c r="J65" s="17">
        <v>847.17600000000004</v>
      </c>
      <c r="K65" s="26">
        <v>1770.73</v>
      </c>
      <c r="L65" s="17">
        <v>2617.9059999999999</v>
      </c>
      <c r="M65" s="152">
        <v>1159.364</v>
      </c>
      <c r="N65" s="150"/>
    </row>
    <row r="66" spans="1:14">
      <c r="A66" s="151" t="s">
        <v>135</v>
      </c>
      <c r="B66" s="22" t="s">
        <v>125</v>
      </c>
      <c r="C66" s="17">
        <v>1159.364</v>
      </c>
      <c r="D66" s="17">
        <v>2764.9670000000001</v>
      </c>
      <c r="E66" s="17">
        <v>1.2</v>
      </c>
      <c r="F66" s="17">
        <v>3925.5309999999999</v>
      </c>
      <c r="G66" s="17">
        <v>152.9</v>
      </c>
      <c r="H66" s="17">
        <v>1</v>
      </c>
      <c r="I66" s="17">
        <v>131.22900000000001</v>
      </c>
      <c r="J66" s="17">
        <v>285.12900000000002</v>
      </c>
      <c r="K66" s="26">
        <v>411.10199999999998</v>
      </c>
      <c r="L66" s="17">
        <v>696.23099999999999</v>
      </c>
      <c r="M66" s="152">
        <v>3229.3</v>
      </c>
      <c r="N66" s="150"/>
    </row>
    <row r="67" spans="1:14">
      <c r="A67" s="150"/>
      <c r="B67" s="22" t="s">
        <v>126</v>
      </c>
      <c r="C67" s="17">
        <v>3229.3</v>
      </c>
      <c r="D67" s="23" t="s">
        <v>99</v>
      </c>
      <c r="E67" s="17">
        <v>3</v>
      </c>
      <c r="F67" s="17">
        <v>3232.3</v>
      </c>
      <c r="G67" s="17">
        <v>159.5</v>
      </c>
      <c r="H67" s="17">
        <v>74</v>
      </c>
      <c r="I67" s="17">
        <v>18.837</v>
      </c>
      <c r="J67" s="17">
        <v>252.33699999999999</v>
      </c>
      <c r="K67" s="26">
        <v>337.16300000000001</v>
      </c>
      <c r="L67" s="17">
        <v>589.5</v>
      </c>
      <c r="M67" s="152">
        <v>2642.8</v>
      </c>
      <c r="N67" s="150"/>
    </row>
    <row r="68" spans="1:14">
      <c r="A68" s="150"/>
      <c r="B68" s="22" t="s">
        <v>127</v>
      </c>
      <c r="C68" s="17">
        <v>2642.8</v>
      </c>
      <c r="D68" s="23" t="s">
        <v>99</v>
      </c>
      <c r="E68" s="17">
        <v>2.6</v>
      </c>
      <c r="F68" s="17">
        <v>2645.4</v>
      </c>
      <c r="G68" s="17">
        <v>152.4</v>
      </c>
      <c r="H68" s="17">
        <v>3</v>
      </c>
      <c r="I68" s="17">
        <v>24.187000000000001</v>
      </c>
      <c r="J68" s="17">
        <v>179.58699999999999</v>
      </c>
      <c r="K68" s="26">
        <v>393.81299999999999</v>
      </c>
      <c r="L68" s="17">
        <v>573.4</v>
      </c>
      <c r="M68" s="152">
        <v>2072</v>
      </c>
      <c r="N68" s="150"/>
    </row>
    <row r="69" spans="1:14">
      <c r="A69" s="150"/>
      <c r="B69" s="22" t="s">
        <v>128</v>
      </c>
      <c r="C69" s="17">
        <v>2072</v>
      </c>
      <c r="D69" s="23" t="s">
        <v>99</v>
      </c>
      <c r="E69" s="17">
        <v>0.8</v>
      </c>
      <c r="F69" s="17">
        <v>2072.8000000000002</v>
      </c>
      <c r="G69" s="17">
        <v>151.6</v>
      </c>
      <c r="H69" s="17">
        <v>19</v>
      </c>
      <c r="I69" s="17">
        <v>20.582999999999998</v>
      </c>
      <c r="J69" s="17">
        <v>191.18299999999999</v>
      </c>
      <c r="K69" s="26">
        <v>366.55399999999997</v>
      </c>
      <c r="L69" s="17">
        <v>557.73699999999997</v>
      </c>
      <c r="M69" s="152">
        <v>1515.0630000000001</v>
      </c>
      <c r="N69" s="150"/>
    </row>
    <row r="70" spans="1:14">
      <c r="A70" s="150"/>
      <c r="B70" s="22" t="s">
        <v>98</v>
      </c>
      <c r="C70" s="17">
        <v>1159.364</v>
      </c>
      <c r="D70" s="17">
        <v>2764.9670000000001</v>
      </c>
      <c r="E70" s="17">
        <v>7.6</v>
      </c>
      <c r="F70" s="17">
        <v>3931.931</v>
      </c>
      <c r="G70" s="17">
        <v>616.4</v>
      </c>
      <c r="H70" s="17">
        <v>97</v>
      </c>
      <c r="I70" s="17">
        <v>194.83600000000001</v>
      </c>
      <c r="J70" s="17">
        <v>908.23599999999999</v>
      </c>
      <c r="K70" s="26">
        <v>1508.6320000000001</v>
      </c>
      <c r="L70" s="17">
        <v>2416.8679999999999</v>
      </c>
      <c r="M70" s="152">
        <v>1515.0630000000001</v>
      </c>
      <c r="N70" s="150"/>
    </row>
    <row r="71" spans="1:14">
      <c r="A71" s="151" t="s">
        <v>136</v>
      </c>
      <c r="B71" s="22" t="s">
        <v>125</v>
      </c>
      <c r="C71" s="17">
        <v>1515.0630000000001</v>
      </c>
      <c r="D71" s="17">
        <v>2419.8240000000001</v>
      </c>
      <c r="E71" s="17">
        <v>0.69899999999999995</v>
      </c>
      <c r="F71" s="17">
        <v>3935.5860000000002</v>
      </c>
      <c r="G71" s="17">
        <v>158.69999999999999</v>
      </c>
      <c r="H71" s="17">
        <v>1</v>
      </c>
      <c r="I71" s="17">
        <v>196.09100000000001</v>
      </c>
      <c r="J71" s="17">
        <v>355.791</v>
      </c>
      <c r="K71" s="26">
        <v>346.69499999999999</v>
      </c>
      <c r="L71" s="17">
        <v>702.48599999999999</v>
      </c>
      <c r="M71" s="152">
        <v>3233.1</v>
      </c>
      <c r="N71" s="150"/>
    </row>
    <row r="72" spans="1:14">
      <c r="A72" s="150"/>
      <c r="B72" s="22" t="s">
        <v>126</v>
      </c>
      <c r="C72" s="17">
        <v>3233.1</v>
      </c>
      <c r="D72" s="23" t="s">
        <v>99</v>
      </c>
      <c r="E72" s="17">
        <v>0.93</v>
      </c>
      <c r="F72" s="17">
        <v>3234.03</v>
      </c>
      <c r="G72" s="17">
        <v>163.1</v>
      </c>
      <c r="H72" s="17">
        <v>75</v>
      </c>
      <c r="I72" s="17">
        <v>100.515</v>
      </c>
      <c r="J72" s="17">
        <v>338.61500000000001</v>
      </c>
      <c r="K72" s="26">
        <v>359.71499999999997</v>
      </c>
      <c r="L72" s="17">
        <v>698.33</v>
      </c>
      <c r="M72" s="152">
        <v>2535.6999999999998</v>
      </c>
      <c r="N72" s="150"/>
    </row>
    <row r="73" spans="1:14">
      <c r="A73" s="150"/>
      <c r="B73" s="22" t="s">
        <v>127</v>
      </c>
      <c r="C73" s="17">
        <v>2535.6999999999998</v>
      </c>
      <c r="D73" s="23" t="s">
        <v>99</v>
      </c>
      <c r="E73" s="17">
        <v>1.0860000000000001</v>
      </c>
      <c r="F73" s="17">
        <v>2536.7859999999996</v>
      </c>
      <c r="G73" s="17">
        <v>166.8</v>
      </c>
      <c r="H73" s="17">
        <v>3</v>
      </c>
      <c r="I73" s="17">
        <v>48.341999999999999</v>
      </c>
      <c r="J73" s="17">
        <v>218.142</v>
      </c>
      <c r="K73" s="26">
        <v>367.14400000000001</v>
      </c>
      <c r="L73" s="17">
        <v>585.28599999999994</v>
      </c>
      <c r="M73" s="152">
        <v>1951.5</v>
      </c>
      <c r="N73" s="150"/>
    </row>
    <row r="74" spans="1:14">
      <c r="A74" s="150"/>
      <c r="B74" s="22" t="s">
        <v>128</v>
      </c>
      <c r="C74" s="17">
        <v>1951.5</v>
      </c>
      <c r="D74" s="23" t="s">
        <v>99</v>
      </c>
      <c r="E74" s="17">
        <v>1.125</v>
      </c>
      <c r="F74" s="17">
        <v>1952.625</v>
      </c>
      <c r="G74" s="17">
        <v>154</v>
      </c>
      <c r="H74" s="17">
        <v>21</v>
      </c>
      <c r="I74" s="17">
        <v>26.155000000000001</v>
      </c>
      <c r="J74" s="17">
        <v>201.155</v>
      </c>
      <c r="K74" s="26">
        <v>352.82400000000001</v>
      </c>
      <c r="L74" s="17">
        <v>553.97900000000004</v>
      </c>
      <c r="M74" s="152">
        <v>1398.646</v>
      </c>
      <c r="N74" s="150"/>
    </row>
    <row r="75" spans="1:14">
      <c r="A75" s="150"/>
      <c r="B75" s="22" t="s">
        <v>98</v>
      </c>
      <c r="C75" s="17">
        <v>1515.0630000000001</v>
      </c>
      <c r="D75" s="17">
        <v>2419.8240000000001</v>
      </c>
      <c r="E75" s="17">
        <v>3.84</v>
      </c>
      <c r="F75" s="17">
        <v>3938.7270000000003</v>
      </c>
      <c r="G75" s="17">
        <v>642.6</v>
      </c>
      <c r="H75" s="17">
        <v>100</v>
      </c>
      <c r="I75" s="17">
        <v>371.10300000000001</v>
      </c>
      <c r="J75" s="17">
        <v>1113.703</v>
      </c>
      <c r="K75" s="26">
        <v>1426.3779999999999</v>
      </c>
      <c r="L75" s="17">
        <v>2540.0810000000001</v>
      </c>
      <c r="M75" s="152">
        <v>1398.646</v>
      </c>
      <c r="N75" s="150"/>
    </row>
    <row r="76" spans="1:14">
      <c r="A76" s="151" t="s">
        <v>137</v>
      </c>
      <c r="B76" s="22" t="s">
        <v>125</v>
      </c>
      <c r="C76" s="17">
        <v>1398.646</v>
      </c>
      <c r="D76" s="17">
        <v>2594.777</v>
      </c>
      <c r="E76" s="17">
        <v>3.8039999999999998</v>
      </c>
      <c r="F76" s="17">
        <v>3997.2269999999999</v>
      </c>
      <c r="G76" s="17">
        <v>157.80000000000001</v>
      </c>
      <c r="H76" s="17">
        <v>1</v>
      </c>
      <c r="I76" s="17">
        <v>279.661</v>
      </c>
      <c r="J76" s="17">
        <v>438.46100000000001</v>
      </c>
      <c r="K76" s="26">
        <v>398.666</v>
      </c>
      <c r="L76" s="17">
        <v>837.12699999999995</v>
      </c>
      <c r="M76" s="152">
        <v>3160.1</v>
      </c>
      <c r="N76" s="150"/>
    </row>
    <row r="77" spans="1:14">
      <c r="A77" s="150"/>
      <c r="B77" s="22" t="s">
        <v>126</v>
      </c>
      <c r="C77" s="17">
        <v>3160.1</v>
      </c>
      <c r="D77" s="23" t="s">
        <v>99</v>
      </c>
      <c r="E77" s="17">
        <v>2.1909999999999998</v>
      </c>
      <c r="F77" s="17">
        <v>3162.2909999999997</v>
      </c>
      <c r="G77" s="17">
        <v>168.5</v>
      </c>
      <c r="H77" s="17">
        <v>69</v>
      </c>
      <c r="I77" s="17">
        <v>101.506</v>
      </c>
      <c r="J77" s="17">
        <v>339.00599999999997</v>
      </c>
      <c r="K77" s="26">
        <v>484.78500000000003</v>
      </c>
      <c r="L77" s="17">
        <v>823.79100000000005</v>
      </c>
      <c r="M77" s="152">
        <v>2338.5</v>
      </c>
      <c r="N77" s="150"/>
    </row>
    <row r="78" spans="1:14">
      <c r="A78" s="150"/>
      <c r="B78" s="22" t="s">
        <v>127</v>
      </c>
      <c r="C78" s="17">
        <v>2338.5</v>
      </c>
      <c r="D78" s="23" t="s">
        <v>99</v>
      </c>
      <c r="E78" s="17">
        <v>1.119</v>
      </c>
      <c r="F78" s="17">
        <v>2339.6190000000001</v>
      </c>
      <c r="G78" s="17">
        <v>164.2</v>
      </c>
      <c r="H78" s="17">
        <v>4</v>
      </c>
      <c r="I78" s="17">
        <v>35.534999999999997</v>
      </c>
      <c r="J78" s="17">
        <v>203.73500000000001</v>
      </c>
      <c r="K78" s="26">
        <v>335.084</v>
      </c>
      <c r="L78" s="17">
        <v>538.81899999999996</v>
      </c>
      <c r="M78" s="152">
        <v>1800.8</v>
      </c>
      <c r="N78" s="150"/>
    </row>
    <row r="79" spans="1:14">
      <c r="A79" s="150"/>
      <c r="B79" s="22" t="s">
        <v>128</v>
      </c>
      <c r="C79" s="17">
        <v>1800.8</v>
      </c>
      <c r="D79" s="23" t="s">
        <v>99</v>
      </c>
      <c r="E79" s="17">
        <v>2.3260000000000001</v>
      </c>
      <c r="F79" s="17">
        <v>1803.126</v>
      </c>
      <c r="G79" s="17">
        <v>160.5</v>
      </c>
      <c r="H79" s="17">
        <v>24</v>
      </c>
      <c r="I79" s="17">
        <v>-9.5210000000000008</v>
      </c>
      <c r="J79" s="17">
        <v>174.97900000000001</v>
      </c>
      <c r="K79" s="26">
        <v>202.90700000000001</v>
      </c>
      <c r="L79" s="17">
        <v>377.88600000000002</v>
      </c>
      <c r="M79" s="152">
        <v>1425.24</v>
      </c>
      <c r="N79" s="150"/>
    </row>
    <row r="80" spans="1:14">
      <c r="A80" s="150"/>
      <c r="B80" s="22" t="s">
        <v>98</v>
      </c>
      <c r="C80" s="17">
        <v>1398.646</v>
      </c>
      <c r="D80" s="17">
        <v>2594.777</v>
      </c>
      <c r="E80" s="17">
        <v>9.44</v>
      </c>
      <c r="F80" s="17">
        <v>4002.8630000000003</v>
      </c>
      <c r="G80" s="17">
        <v>651</v>
      </c>
      <c r="H80" s="17">
        <v>98</v>
      </c>
      <c r="I80" s="17">
        <v>407.18099999999998</v>
      </c>
      <c r="J80" s="17">
        <v>1156.181</v>
      </c>
      <c r="K80" s="26">
        <v>1421.442</v>
      </c>
      <c r="L80" s="17">
        <v>2577.623</v>
      </c>
      <c r="M80" s="152">
        <v>1425.24</v>
      </c>
      <c r="N80" s="150"/>
    </row>
    <row r="81" spans="1:14">
      <c r="A81" s="151" t="s">
        <v>138</v>
      </c>
      <c r="B81" s="22" t="s">
        <v>125</v>
      </c>
      <c r="C81" s="17">
        <v>1425.24</v>
      </c>
      <c r="D81" s="17">
        <v>2424.1149999999998</v>
      </c>
      <c r="E81" s="17">
        <v>5.0679999999999996</v>
      </c>
      <c r="F81" s="17">
        <v>3854.4229999999998</v>
      </c>
      <c r="G81" s="17">
        <v>165.83</v>
      </c>
      <c r="H81" s="17">
        <v>1</v>
      </c>
      <c r="I81" s="17">
        <v>235.46199999999999</v>
      </c>
      <c r="J81" s="17">
        <v>402.29199999999997</v>
      </c>
      <c r="K81" s="26">
        <v>248.631</v>
      </c>
      <c r="L81" s="17">
        <v>650.923</v>
      </c>
      <c r="M81" s="152">
        <v>3203.5</v>
      </c>
      <c r="N81" s="150"/>
    </row>
    <row r="82" spans="1:14">
      <c r="A82" s="150"/>
      <c r="B82" s="22" t="s">
        <v>126</v>
      </c>
      <c r="C82" s="17">
        <v>3203.5</v>
      </c>
      <c r="D82" s="23" t="s">
        <v>99</v>
      </c>
      <c r="E82" s="17">
        <v>5.0659999999999998</v>
      </c>
      <c r="F82" s="17">
        <v>3208.5659999999998</v>
      </c>
      <c r="G82" s="17">
        <v>185.57</v>
      </c>
      <c r="H82" s="17">
        <v>63</v>
      </c>
      <c r="I82" s="17">
        <v>65.867000000000004</v>
      </c>
      <c r="J82" s="17">
        <v>314.43700000000001</v>
      </c>
      <c r="K82" s="26">
        <v>250.72900000000001</v>
      </c>
      <c r="L82" s="17">
        <v>565.16600000000005</v>
      </c>
      <c r="M82" s="152">
        <v>2643.4</v>
      </c>
      <c r="N82" s="150"/>
    </row>
    <row r="83" spans="1:14">
      <c r="A83" s="150"/>
      <c r="B83" s="22" t="s">
        <v>127</v>
      </c>
      <c r="C83" s="17">
        <v>2643.4</v>
      </c>
      <c r="D83" s="23" t="s">
        <v>99</v>
      </c>
      <c r="E83" s="17">
        <v>2.6920000000000002</v>
      </c>
      <c r="F83" s="17">
        <v>2646.0920000000001</v>
      </c>
      <c r="G83" s="17">
        <v>162.16</v>
      </c>
      <c r="H83" s="17">
        <v>4</v>
      </c>
      <c r="I83" s="17">
        <v>1.7929999999999999</v>
      </c>
      <c r="J83" s="17">
        <v>167.953</v>
      </c>
      <c r="K83" s="26">
        <v>222.339</v>
      </c>
      <c r="L83" s="17">
        <v>390.29199999999997</v>
      </c>
      <c r="M83" s="152">
        <v>2255.8000000000002</v>
      </c>
      <c r="N83" s="150"/>
    </row>
    <row r="84" spans="1:14">
      <c r="A84" s="150"/>
      <c r="B84" s="22" t="s">
        <v>128</v>
      </c>
      <c r="C84" s="17">
        <v>2255.8000000000002</v>
      </c>
      <c r="D84" s="23" t="s">
        <v>99</v>
      </c>
      <c r="E84" s="17">
        <v>3.46</v>
      </c>
      <c r="F84" s="17">
        <v>2259.2600000000002</v>
      </c>
      <c r="G84" s="17">
        <v>160.76</v>
      </c>
      <c r="H84" s="17">
        <v>25</v>
      </c>
      <c r="I84" s="17">
        <v>-18.913</v>
      </c>
      <c r="J84" s="17">
        <v>166.84700000000001</v>
      </c>
      <c r="K84" s="26">
        <v>187.43199999999999</v>
      </c>
      <c r="L84" s="17">
        <v>354.279</v>
      </c>
      <c r="M84" s="152">
        <v>1904.981</v>
      </c>
      <c r="N84" s="150"/>
    </row>
    <row r="85" spans="1:14">
      <c r="A85" s="150"/>
      <c r="B85" s="22" t="s">
        <v>98</v>
      </c>
      <c r="C85" s="17">
        <v>1425.24</v>
      </c>
      <c r="D85" s="17">
        <v>2424.1149999999998</v>
      </c>
      <c r="E85" s="17">
        <v>16.286000000000001</v>
      </c>
      <c r="F85" s="17">
        <v>3865.6409999999996</v>
      </c>
      <c r="G85" s="17">
        <v>674.32</v>
      </c>
      <c r="H85" s="17">
        <v>93</v>
      </c>
      <c r="I85" s="17">
        <v>284.209</v>
      </c>
      <c r="J85" s="17">
        <v>1051.529</v>
      </c>
      <c r="K85" s="26">
        <v>909.13099999999997</v>
      </c>
      <c r="L85" s="17">
        <v>1960.66</v>
      </c>
      <c r="M85" s="152">
        <v>1904.981</v>
      </c>
      <c r="N85" s="150"/>
    </row>
    <row r="86" spans="1:14">
      <c r="A86" s="151" t="s">
        <v>139</v>
      </c>
      <c r="B86" s="22" t="s">
        <v>125</v>
      </c>
      <c r="C86" s="17">
        <v>1904.981</v>
      </c>
      <c r="D86" s="17">
        <v>2090.5700000000002</v>
      </c>
      <c r="E86" s="17">
        <v>4.3010000000000002</v>
      </c>
      <c r="F86" s="17">
        <v>3999.8519999999999</v>
      </c>
      <c r="G86" s="17">
        <v>171.17400000000001</v>
      </c>
      <c r="H86" s="17">
        <v>1</v>
      </c>
      <c r="I86" s="17">
        <v>352.27</v>
      </c>
      <c r="J86" s="17">
        <v>524.44399999999996</v>
      </c>
      <c r="K86" s="26">
        <v>318.90300000000002</v>
      </c>
      <c r="L86" s="17">
        <v>843.34699999999998</v>
      </c>
      <c r="M86" s="152">
        <v>3156.5050000000001</v>
      </c>
      <c r="N86" s="150"/>
    </row>
    <row r="87" spans="1:14">
      <c r="A87" s="150"/>
      <c r="B87" s="22" t="s">
        <v>126</v>
      </c>
      <c r="C87" s="17">
        <v>3156.5050000000001</v>
      </c>
      <c r="D87" s="23" t="s">
        <v>99</v>
      </c>
      <c r="E87" s="17">
        <v>3.6389999999999998</v>
      </c>
      <c r="F87" s="17">
        <v>3160.1440000000002</v>
      </c>
      <c r="G87" s="17">
        <v>192.78299999999999</v>
      </c>
      <c r="H87" s="17">
        <v>57</v>
      </c>
      <c r="I87" s="17">
        <v>-20.792000000000002</v>
      </c>
      <c r="J87" s="17">
        <v>228.99100000000001</v>
      </c>
      <c r="K87" s="26">
        <v>257.66300000000001</v>
      </c>
      <c r="L87" s="17">
        <v>486.654</v>
      </c>
      <c r="M87" s="152">
        <v>2673.49</v>
      </c>
      <c r="N87" s="150"/>
    </row>
    <row r="88" spans="1:14">
      <c r="A88" s="150"/>
      <c r="B88" s="22" t="s">
        <v>127</v>
      </c>
      <c r="C88" s="17">
        <v>2673.49</v>
      </c>
      <c r="D88" s="23" t="s">
        <v>99</v>
      </c>
      <c r="E88" s="17">
        <v>6.0229999999999997</v>
      </c>
      <c r="F88" s="17">
        <v>2679.5129999999999</v>
      </c>
      <c r="G88" s="17">
        <v>171.66800000000001</v>
      </c>
      <c r="H88" s="17">
        <v>3</v>
      </c>
      <c r="I88" s="17">
        <v>48.741</v>
      </c>
      <c r="J88" s="17">
        <v>223.40899999999999</v>
      </c>
      <c r="K88" s="26">
        <v>205.67400000000001</v>
      </c>
      <c r="L88" s="17">
        <v>429.08300000000003</v>
      </c>
      <c r="M88" s="152">
        <v>2250.4299999999998</v>
      </c>
      <c r="N88" s="150"/>
    </row>
    <row r="89" spans="1:14">
      <c r="A89" s="150"/>
      <c r="B89" s="22" t="s">
        <v>128</v>
      </c>
      <c r="C89" s="17">
        <v>2250.4299999999998</v>
      </c>
      <c r="D89" s="23" t="s">
        <v>99</v>
      </c>
      <c r="E89" s="17">
        <v>7.2869999999999999</v>
      </c>
      <c r="F89" s="17">
        <v>2257.7169999999996</v>
      </c>
      <c r="G89" s="17">
        <v>176.59299999999999</v>
      </c>
      <c r="H89" s="17">
        <v>23</v>
      </c>
      <c r="I89" s="17">
        <v>20.95</v>
      </c>
      <c r="J89" s="17">
        <v>220.54300000000001</v>
      </c>
      <c r="K89" s="26">
        <v>216.27</v>
      </c>
      <c r="L89" s="17">
        <v>436.81299999999999</v>
      </c>
      <c r="M89" s="152">
        <v>1820.904</v>
      </c>
      <c r="N89" s="150"/>
    </row>
    <row r="90" spans="1:14">
      <c r="A90" s="150"/>
      <c r="B90" s="22" t="s">
        <v>98</v>
      </c>
      <c r="C90" s="17">
        <v>1904.981</v>
      </c>
      <c r="D90" s="17">
        <v>2090.5700000000002</v>
      </c>
      <c r="E90" s="17">
        <v>21.25</v>
      </c>
      <c r="F90" s="17">
        <v>4016.8010000000004</v>
      </c>
      <c r="G90" s="17">
        <v>712.21799999999996</v>
      </c>
      <c r="H90" s="17">
        <v>84</v>
      </c>
      <c r="I90" s="17">
        <v>401.16899999999998</v>
      </c>
      <c r="J90" s="17">
        <v>1197.3869999999999</v>
      </c>
      <c r="K90" s="26">
        <v>998.51</v>
      </c>
      <c r="L90" s="17">
        <v>2195.8969999999999</v>
      </c>
      <c r="M90" s="152">
        <v>1820.904</v>
      </c>
      <c r="N90" s="150"/>
    </row>
    <row r="91" spans="1:14">
      <c r="A91" s="151" t="s">
        <v>140</v>
      </c>
      <c r="B91" s="22" t="s">
        <v>125</v>
      </c>
      <c r="C91" s="17">
        <v>1820.904</v>
      </c>
      <c r="D91" s="17">
        <v>2107.6849999999999</v>
      </c>
      <c r="E91" s="17">
        <v>2.7080000000000002</v>
      </c>
      <c r="F91" s="17">
        <v>3931.297</v>
      </c>
      <c r="G91" s="17">
        <v>181.03</v>
      </c>
      <c r="H91" s="17">
        <v>1</v>
      </c>
      <c r="I91" s="17">
        <v>363.80500000000001</v>
      </c>
      <c r="J91" s="17">
        <v>545.83500000000004</v>
      </c>
      <c r="K91" s="26">
        <v>409</v>
      </c>
      <c r="L91" s="17">
        <v>954.83500000000004</v>
      </c>
      <c r="M91" s="152">
        <v>2976.462</v>
      </c>
      <c r="N91" s="150"/>
    </row>
    <row r="92" spans="1:14">
      <c r="A92" s="150"/>
      <c r="B92" s="22" t="s">
        <v>126</v>
      </c>
      <c r="C92" s="17">
        <v>2976.462</v>
      </c>
      <c r="D92" s="23" t="s">
        <v>99</v>
      </c>
      <c r="E92" s="17">
        <v>4.5250000000000004</v>
      </c>
      <c r="F92" s="17">
        <v>2980.9870000000001</v>
      </c>
      <c r="G92" s="17">
        <v>193.048</v>
      </c>
      <c r="H92" s="17">
        <v>58</v>
      </c>
      <c r="I92" s="17">
        <v>-79.081999999999994</v>
      </c>
      <c r="J92" s="17">
        <v>171.96600000000001</v>
      </c>
      <c r="K92" s="26">
        <v>308.45299999999997</v>
      </c>
      <c r="L92" s="17">
        <v>480.41899999999998</v>
      </c>
      <c r="M92" s="152">
        <v>2500.5680000000002</v>
      </c>
      <c r="N92" s="150"/>
    </row>
    <row r="93" spans="1:14">
      <c r="A93" s="150"/>
      <c r="B93" s="22" t="s">
        <v>127</v>
      </c>
      <c r="C93" s="17">
        <v>2500.5680000000002</v>
      </c>
      <c r="D93" s="23" t="s">
        <v>99</v>
      </c>
      <c r="E93" s="17">
        <v>3.7229999999999999</v>
      </c>
      <c r="F93" s="17">
        <v>2504.2910000000002</v>
      </c>
      <c r="G93" s="17">
        <v>172.05799999999999</v>
      </c>
      <c r="H93" s="17">
        <v>3</v>
      </c>
      <c r="I93" s="17">
        <v>-7.3479999999999999</v>
      </c>
      <c r="J93" s="17">
        <v>167.71</v>
      </c>
      <c r="K93" s="26">
        <v>413.04500000000002</v>
      </c>
      <c r="L93" s="17">
        <v>580.755</v>
      </c>
      <c r="M93" s="152">
        <v>1923.5360000000001</v>
      </c>
      <c r="N93" s="150"/>
    </row>
    <row r="94" spans="1:14">
      <c r="A94" s="150"/>
      <c r="B94" s="22" t="s">
        <v>128</v>
      </c>
      <c r="C94" s="17">
        <v>1923.5360000000001</v>
      </c>
      <c r="D94" s="23" t="s">
        <v>99</v>
      </c>
      <c r="E94" s="17">
        <v>5.1289999999999996</v>
      </c>
      <c r="F94" s="17">
        <v>1928.665</v>
      </c>
      <c r="G94" s="17">
        <v>174.60300000000001</v>
      </c>
      <c r="H94" s="17">
        <v>23</v>
      </c>
      <c r="I94" s="17">
        <v>12.839</v>
      </c>
      <c r="J94" s="17">
        <v>210.44200000000001</v>
      </c>
      <c r="K94" s="26">
        <v>457.37900000000002</v>
      </c>
      <c r="L94" s="17">
        <v>667.82100000000003</v>
      </c>
      <c r="M94" s="152">
        <v>1260.8440000000001</v>
      </c>
      <c r="N94" s="150"/>
    </row>
    <row r="95" spans="1:14">
      <c r="A95" s="150"/>
      <c r="B95" s="22" t="s">
        <v>98</v>
      </c>
      <c r="C95" s="17">
        <v>1820.904</v>
      </c>
      <c r="D95" s="17">
        <v>2107.6849999999999</v>
      </c>
      <c r="E95" s="17">
        <v>16.085000000000001</v>
      </c>
      <c r="F95" s="17">
        <v>3944.674</v>
      </c>
      <c r="G95" s="17">
        <v>720.73900000000003</v>
      </c>
      <c r="H95" s="17">
        <v>85</v>
      </c>
      <c r="I95" s="17">
        <v>290.214</v>
      </c>
      <c r="J95" s="17">
        <v>1095.953</v>
      </c>
      <c r="K95" s="26">
        <v>1587.877</v>
      </c>
      <c r="L95" s="17">
        <v>2683.83</v>
      </c>
      <c r="M95" s="152">
        <v>1260.8440000000001</v>
      </c>
      <c r="N95" s="150"/>
    </row>
    <row r="96" spans="1:14">
      <c r="A96" s="151" t="s">
        <v>16</v>
      </c>
      <c r="B96" s="22" t="s">
        <v>125</v>
      </c>
      <c r="C96" s="17">
        <v>1260.8440000000001</v>
      </c>
      <c r="D96" s="17">
        <v>1812.201</v>
      </c>
      <c r="E96" s="17">
        <v>8.5839999999999996</v>
      </c>
      <c r="F96" s="17">
        <v>3081.6289999999999</v>
      </c>
      <c r="G96" s="17">
        <v>183.27199999999999</v>
      </c>
      <c r="H96" s="17">
        <v>1</v>
      </c>
      <c r="I96" s="17">
        <v>282.17099999999999</v>
      </c>
      <c r="J96" s="17">
        <v>466.44299999999998</v>
      </c>
      <c r="K96" s="26">
        <v>361.63400000000001</v>
      </c>
      <c r="L96" s="17">
        <v>828.077</v>
      </c>
      <c r="M96" s="152">
        <v>2253.5520000000001</v>
      </c>
      <c r="N96" s="150"/>
    </row>
    <row r="97" spans="1:14">
      <c r="A97" s="150"/>
      <c r="B97" s="22" t="s">
        <v>126</v>
      </c>
      <c r="C97" s="17">
        <v>2253.5520000000001</v>
      </c>
      <c r="D97" s="23" t="s">
        <v>99</v>
      </c>
      <c r="E97" s="17">
        <v>6.2670000000000003</v>
      </c>
      <c r="F97" s="17">
        <v>2259.819</v>
      </c>
      <c r="G97" s="17">
        <v>197.303</v>
      </c>
      <c r="H97" s="17">
        <v>67</v>
      </c>
      <c r="I97" s="17">
        <v>-49.406999999999996</v>
      </c>
      <c r="J97" s="17">
        <v>214.89599999999999</v>
      </c>
      <c r="K97" s="26">
        <v>329.02100000000002</v>
      </c>
      <c r="L97" s="17">
        <v>543.91700000000003</v>
      </c>
      <c r="M97" s="152">
        <v>1715.902</v>
      </c>
      <c r="N97" s="150"/>
    </row>
    <row r="98" spans="1:14">
      <c r="A98" s="150"/>
      <c r="B98" s="22" t="s">
        <v>127</v>
      </c>
      <c r="C98" s="17">
        <v>1715.902</v>
      </c>
      <c r="D98" s="23" t="s">
        <v>99</v>
      </c>
      <c r="E98" s="17">
        <v>3.6619999999999999</v>
      </c>
      <c r="F98" s="17">
        <v>1719.5640000000001</v>
      </c>
      <c r="G98" s="17">
        <v>173.4</v>
      </c>
      <c r="H98" s="17">
        <v>3</v>
      </c>
      <c r="I98" s="17">
        <v>-44.505000000000003</v>
      </c>
      <c r="J98" s="17">
        <v>131.89500000000001</v>
      </c>
      <c r="K98" s="26">
        <v>359.95800000000003</v>
      </c>
      <c r="L98" s="17">
        <v>491.85300000000001</v>
      </c>
      <c r="M98" s="152">
        <v>1227.711</v>
      </c>
      <c r="N98" s="150"/>
    </row>
    <row r="99" spans="1:14">
      <c r="A99" s="150"/>
      <c r="B99" s="22" t="s">
        <v>128</v>
      </c>
      <c r="C99" s="17">
        <v>1227.711</v>
      </c>
      <c r="D99" s="23" t="s">
        <v>99</v>
      </c>
      <c r="E99" s="17">
        <v>4.1559999999999997</v>
      </c>
      <c r="F99" s="17">
        <v>1231.867</v>
      </c>
      <c r="G99" s="17">
        <v>171.8</v>
      </c>
      <c r="H99" s="17">
        <v>32</v>
      </c>
      <c r="I99" s="17">
        <v>-37.799999999999997</v>
      </c>
      <c r="J99" s="17">
        <v>166</v>
      </c>
      <c r="K99" s="26">
        <v>364.24099999999999</v>
      </c>
      <c r="L99" s="17">
        <v>530.24099999999999</v>
      </c>
      <c r="M99" s="152">
        <v>701.62599999999998</v>
      </c>
      <c r="N99" s="150"/>
    </row>
    <row r="100" spans="1:14">
      <c r="A100" s="150"/>
      <c r="B100" s="22" t="s">
        <v>98</v>
      </c>
      <c r="C100" s="17">
        <v>1260.8440000000001</v>
      </c>
      <c r="D100" s="17">
        <v>1812.201</v>
      </c>
      <c r="E100" s="17">
        <v>22.669</v>
      </c>
      <c r="F100" s="17">
        <v>3095.7139999999999</v>
      </c>
      <c r="G100" s="17">
        <v>725.77499999999998</v>
      </c>
      <c r="H100" s="17">
        <v>103</v>
      </c>
      <c r="I100" s="17">
        <v>150.459</v>
      </c>
      <c r="J100" s="17">
        <v>979.23400000000004</v>
      </c>
      <c r="K100" s="26">
        <v>1414.854</v>
      </c>
      <c r="L100" s="17">
        <v>2394.0880000000002</v>
      </c>
      <c r="M100" s="152">
        <v>701.62599999999998</v>
      </c>
      <c r="N100" s="150"/>
    </row>
    <row r="101" spans="1:14">
      <c r="A101" s="151" t="s">
        <v>17</v>
      </c>
      <c r="B101" s="22" t="s">
        <v>125</v>
      </c>
      <c r="C101" s="17">
        <v>701.62599999999998</v>
      </c>
      <c r="D101" s="17">
        <v>2036.6179999999999</v>
      </c>
      <c r="E101" s="17">
        <v>5.8689999999999998</v>
      </c>
      <c r="F101" s="17">
        <v>2744.1129999999998</v>
      </c>
      <c r="G101" s="17">
        <v>190.703</v>
      </c>
      <c r="H101" s="17">
        <v>1.734</v>
      </c>
      <c r="I101" s="17">
        <v>264.93</v>
      </c>
      <c r="J101" s="17">
        <v>457.36700000000002</v>
      </c>
      <c r="K101" s="26">
        <v>368.7</v>
      </c>
      <c r="L101" s="17">
        <v>826.06700000000001</v>
      </c>
      <c r="M101" s="152">
        <v>1918.046</v>
      </c>
      <c r="N101" s="150"/>
    </row>
    <row r="102" spans="1:14">
      <c r="A102" s="150"/>
      <c r="B102" s="22" t="s">
        <v>126</v>
      </c>
      <c r="C102" s="17">
        <v>1918.046</v>
      </c>
      <c r="D102" s="23" t="s">
        <v>99</v>
      </c>
      <c r="E102" s="17">
        <v>7.1059999999999999</v>
      </c>
      <c r="F102" s="17">
        <v>1925.152</v>
      </c>
      <c r="G102" s="17">
        <v>191.65600000000001</v>
      </c>
      <c r="H102" s="17">
        <v>70.257000000000005</v>
      </c>
      <c r="I102" s="17">
        <v>-87.837000000000003</v>
      </c>
      <c r="J102" s="17">
        <v>174.07599999999999</v>
      </c>
      <c r="K102" s="26">
        <v>328.58600000000001</v>
      </c>
      <c r="L102" s="17">
        <v>502.66199999999998</v>
      </c>
      <c r="M102" s="152">
        <v>1422.49</v>
      </c>
      <c r="N102" s="150"/>
    </row>
    <row r="103" spans="1:14">
      <c r="A103" s="150"/>
      <c r="B103" s="22" t="s">
        <v>127</v>
      </c>
      <c r="C103" s="17">
        <v>1422.49</v>
      </c>
      <c r="D103" s="23" t="s">
        <v>99</v>
      </c>
      <c r="E103" s="17">
        <v>4.6520000000000001</v>
      </c>
      <c r="F103" s="17">
        <v>1427.1420000000001</v>
      </c>
      <c r="G103" s="17">
        <v>184.31800000000001</v>
      </c>
      <c r="H103" s="17">
        <v>2.68</v>
      </c>
      <c r="I103" s="17">
        <v>37.426000000000002</v>
      </c>
      <c r="J103" s="17">
        <v>224.42400000000001</v>
      </c>
      <c r="K103" s="26">
        <v>259.60899999999998</v>
      </c>
      <c r="L103" s="17">
        <v>484.03300000000002</v>
      </c>
      <c r="M103" s="152">
        <v>943.10900000000004</v>
      </c>
      <c r="N103" s="150"/>
    </row>
    <row r="104" spans="1:14">
      <c r="A104" s="150"/>
      <c r="B104" s="22" t="s">
        <v>128</v>
      </c>
      <c r="C104" s="17">
        <v>943.10900000000004</v>
      </c>
      <c r="D104" s="23" t="s">
        <v>99</v>
      </c>
      <c r="E104" s="17">
        <v>4.84</v>
      </c>
      <c r="F104" s="17">
        <v>947.94900000000007</v>
      </c>
      <c r="G104" s="17">
        <v>182.24100000000001</v>
      </c>
      <c r="H104" s="17">
        <v>29.606999999999999</v>
      </c>
      <c r="I104" s="17">
        <v>-75.417000000000002</v>
      </c>
      <c r="J104" s="17">
        <v>136.43100000000001</v>
      </c>
      <c r="K104" s="26">
        <v>275.06299999999999</v>
      </c>
      <c r="L104" s="17">
        <v>411.49400000000003</v>
      </c>
      <c r="M104" s="152">
        <v>536.45500000000004</v>
      </c>
      <c r="N104" s="150"/>
    </row>
    <row r="105" spans="1:14">
      <c r="A105" s="150"/>
      <c r="B105" s="22" t="s">
        <v>98</v>
      </c>
      <c r="C105" s="17">
        <v>701.62599999999998</v>
      </c>
      <c r="D105" s="17">
        <v>2036.6179999999999</v>
      </c>
      <c r="E105" s="17">
        <v>22.466999999999999</v>
      </c>
      <c r="F105" s="17">
        <v>2760.7110000000002</v>
      </c>
      <c r="G105" s="17">
        <v>748.91800000000001</v>
      </c>
      <c r="H105" s="17">
        <v>104.27800000000001</v>
      </c>
      <c r="I105" s="17">
        <v>139.102</v>
      </c>
      <c r="J105" s="17">
        <v>992.298</v>
      </c>
      <c r="K105" s="26">
        <v>1231.9580000000001</v>
      </c>
      <c r="L105" s="17">
        <v>2224.2559999999999</v>
      </c>
      <c r="M105" s="152">
        <v>536.45500000000004</v>
      </c>
      <c r="N105" s="150"/>
    </row>
    <row r="106" spans="1:14">
      <c r="A106" s="151" t="s">
        <v>18</v>
      </c>
      <c r="B106" s="22" t="s">
        <v>125</v>
      </c>
      <c r="C106" s="17">
        <v>536.45500000000004</v>
      </c>
      <c r="D106" s="17">
        <v>2729.7779999999998</v>
      </c>
      <c r="E106" s="17">
        <v>7.9980000000000002</v>
      </c>
      <c r="F106" s="17">
        <v>3274.2309999999998</v>
      </c>
      <c r="G106" s="17">
        <v>194.07</v>
      </c>
      <c r="H106" s="17">
        <v>1.659</v>
      </c>
      <c r="I106" s="17">
        <v>399.72300000000001</v>
      </c>
      <c r="J106" s="17">
        <v>595.452</v>
      </c>
      <c r="K106" s="26">
        <v>267.69099999999997</v>
      </c>
      <c r="L106" s="17">
        <v>863.14300000000003</v>
      </c>
      <c r="M106" s="152">
        <v>2411.0880000000002</v>
      </c>
      <c r="N106" s="150"/>
    </row>
    <row r="107" spans="1:14">
      <c r="A107" s="150"/>
      <c r="B107" s="22" t="s">
        <v>126</v>
      </c>
      <c r="C107" s="17">
        <v>2411.0880000000002</v>
      </c>
      <c r="D107" s="23" t="s">
        <v>99</v>
      </c>
      <c r="E107" s="17">
        <v>13.388999999999999</v>
      </c>
      <c r="F107" s="17">
        <v>2424.4770000000003</v>
      </c>
      <c r="G107" s="17">
        <v>210.607</v>
      </c>
      <c r="H107" s="17">
        <v>62.869</v>
      </c>
      <c r="I107" s="17">
        <v>-38.308</v>
      </c>
      <c r="J107" s="17">
        <v>235.16800000000001</v>
      </c>
      <c r="K107" s="26">
        <v>279.375</v>
      </c>
      <c r="L107" s="17">
        <v>514.54300000000001</v>
      </c>
      <c r="M107" s="152">
        <v>1909.934</v>
      </c>
      <c r="N107" s="150"/>
    </row>
    <row r="108" spans="1:14">
      <c r="A108" s="150"/>
      <c r="B108" s="22" t="s">
        <v>127</v>
      </c>
      <c r="C108" s="17">
        <v>1909.934</v>
      </c>
      <c r="D108" s="23" t="s">
        <v>99</v>
      </c>
      <c r="E108" s="17">
        <v>7.7809999999999997</v>
      </c>
      <c r="F108" s="17">
        <v>1917.7149999999999</v>
      </c>
      <c r="G108" s="17">
        <v>190.99700000000001</v>
      </c>
      <c r="H108" s="17">
        <v>2.0659999999999998</v>
      </c>
      <c r="I108" s="17">
        <v>101.492</v>
      </c>
      <c r="J108" s="17">
        <v>294.55500000000001</v>
      </c>
      <c r="K108" s="26">
        <v>225.47900000000001</v>
      </c>
      <c r="L108" s="17">
        <v>520.03399999999999</v>
      </c>
      <c r="M108" s="152">
        <v>1397.681</v>
      </c>
      <c r="N108" s="150"/>
    </row>
    <row r="109" spans="1:14">
      <c r="A109" s="150"/>
      <c r="B109" s="22" t="s">
        <v>128</v>
      </c>
      <c r="C109" s="17">
        <v>1397.681</v>
      </c>
      <c r="D109" s="23" t="s">
        <v>99</v>
      </c>
      <c r="E109" s="17">
        <v>7.2389999999999999</v>
      </c>
      <c r="F109" s="17">
        <v>1404.92</v>
      </c>
      <c r="G109" s="17">
        <v>194.12299999999999</v>
      </c>
      <c r="H109" s="17">
        <v>26.266999999999999</v>
      </c>
      <c r="I109" s="17">
        <v>19.489000000000001</v>
      </c>
      <c r="J109" s="17">
        <v>239.87899999999999</v>
      </c>
      <c r="K109" s="26">
        <v>296.90699999999998</v>
      </c>
      <c r="L109" s="17">
        <v>536.78599999999994</v>
      </c>
      <c r="M109" s="152">
        <v>868.13400000000001</v>
      </c>
      <c r="N109" s="150"/>
    </row>
    <row r="110" spans="1:14">
      <c r="A110" s="150"/>
      <c r="B110" s="22" t="s">
        <v>98</v>
      </c>
      <c r="C110" s="17">
        <v>536.45500000000004</v>
      </c>
      <c r="D110" s="17">
        <v>2729.7779999999998</v>
      </c>
      <c r="E110" s="17">
        <v>36.406999999999996</v>
      </c>
      <c r="F110" s="17">
        <v>3302.64</v>
      </c>
      <c r="G110" s="17">
        <v>789.79700000000003</v>
      </c>
      <c r="H110" s="17">
        <v>92.861000000000004</v>
      </c>
      <c r="I110" s="17">
        <v>482.39600000000002</v>
      </c>
      <c r="J110" s="17">
        <v>1365.0540000000001</v>
      </c>
      <c r="K110" s="26">
        <v>1069.452</v>
      </c>
      <c r="L110" s="17">
        <v>2434.5059999999999</v>
      </c>
      <c r="M110" s="152">
        <v>868.13400000000001</v>
      </c>
      <c r="N110" s="150"/>
    </row>
    <row r="111" spans="1:14">
      <c r="A111" s="151" t="s">
        <v>19</v>
      </c>
      <c r="B111" s="22" t="s">
        <v>125</v>
      </c>
      <c r="C111" s="17">
        <v>868.13400000000001</v>
      </c>
      <c r="D111" s="17">
        <v>1980.1389999999999</v>
      </c>
      <c r="E111" s="17">
        <v>7.8109999999999999</v>
      </c>
      <c r="F111" s="17">
        <v>2856.0840000000003</v>
      </c>
      <c r="G111" s="17">
        <v>189.35400000000001</v>
      </c>
      <c r="H111" s="17">
        <v>1.165</v>
      </c>
      <c r="I111" s="17">
        <v>359.12799999999999</v>
      </c>
      <c r="J111" s="17">
        <v>549.64700000000005</v>
      </c>
      <c r="K111" s="26">
        <v>251.70099999999999</v>
      </c>
      <c r="L111" s="17">
        <v>801.34799999999996</v>
      </c>
      <c r="M111" s="152">
        <v>2054.7359999999999</v>
      </c>
      <c r="N111" s="150"/>
    </row>
    <row r="112" spans="1:14">
      <c r="A112" s="150"/>
      <c r="B112" s="22" t="s">
        <v>126</v>
      </c>
      <c r="C112" s="17">
        <v>2054.7359999999999</v>
      </c>
      <c r="D112" s="23" t="s">
        <v>99</v>
      </c>
      <c r="E112" s="17">
        <v>7.2889999999999997</v>
      </c>
      <c r="F112" s="17">
        <v>2062.0250000000001</v>
      </c>
      <c r="G112" s="17">
        <v>213.001</v>
      </c>
      <c r="H112" s="17">
        <v>62.222999999999999</v>
      </c>
      <c r="I112" s="17">
        <v>-26.925999999999998</v>
      </c>
      <c r="J112" s="17">
        <v>248.298</v>
      </c>
      <c r="K112" s="26">
        <v>365.92700000000002</v>
      </c>
      <c r="L112" s="17">
        <v>614.22500000000002</v>
      </c>
      <c r="M112" s="152">
        <v>1447.8</v>
      </c>
      <c r="N112" s="150"/>
    </row>
    <row r="113" spans="1:14">
      <c r="A113" s="150"/>
      <c r="B113" s="22" t="s">
        <v>127</v>
      </c>
      <c r="C113" s="17">
        <v>1447.8</v>
      </c>
      <c r="D113" s="23" t="s">
        <v>99</v>
      </c>
      <c r="E113" s="17">
        <v>10.659000000000001</v>
      </c>
      <c r="F113" s="17">
        <v>1458.4590000000001</v>
      </c>
      <c r="G113" s="17">
        <v>192.88900000000001</v>
      </c>
      <c r="H113" s="17">
        <v>2.4119999999999999</v>
      </c>
      <c r="I113" s="17">
        <v>-0.48599999999999999</v>
      </c>
      <c r="J113" s="17">
        <v>194.815</v>
      </c>
      <c r="K113" s="26">
        <v>371.66899999999998</v>
      </c>
      <c r="L113" s="17">
        <v>566.48400000000004</v>
      </c>
      <c r="M113" s="152">
        <v>891.97500000000002</v>
      </c>
      <c r="N113" s="150"/>
    </row>
    <row r="114" spans="1:14">
      <c r="A114" s="150"/>
      <c r="B114" s="22" t="s">
        <v>128</v>
      </c>
      <c r="C114" s="17">
        <v>891.97500000000002</v>
      </c>
      <c r="D114" s="23" t="s">
        <v>99</v>
      </c>
      <c r="E114" s="17">
        <v>14.935</v>
      </c>
      <c r="F114" s="17">
        <v>906.91</v>
      </c>
      <c r="G114" s="17">
        <v>194.23500000000001</v>
      </c>
      <c r="H114" s="17">
        <v>31.904</v>
      </c>
      <c r="I114" s="17">
        <v>-87.257999999999996</v>
      </c>
      <c r="J114" s="17">
        <v>138.881</v>
      </c>
      <c r="K114" s="26">
        <v>293.00799999999998</v>
      </c>
      <c r="L114" s="17">
        <v>431.88900000000001</v>
      </c>
      <c r="M114" s="152">
        <v>475.02100000000002</v>
      </c>
      <c r="N114" s="150"/>
    </row>
    <row r="115" spans="1:14">
      <c r="A115" s="150"/>
      <c r="B115" s="22" t="s">
        <v>98</v>
      </c>
      <c r="C115" s="17">
        <v>868.13400000000001</v>
      </c>
      <c r="D115" s="17">
        <v>1980.1389999999999</v>
      </c>
      <c r="E115" s="17">
        <v>40.694000000000003</v>
      </c>
      <c r="F115" s="17">
        <v>2888.9669999999996</v>
      </c>
      <c r="G115" s="17">
        <v>789.47900000000004</v>
      </c>
      <c r="H115" s="17">
        <v>97.703999999999994</v>
      </c>
      <c r="I115" s="17">
        <v>244.458</v>
      </c>
      <c r="J115" s="17">
        <v>1131.6410000000001</v>
      </c>
      <c r="K115" s="26">
        <v>1282.3050000000001</v>
      </c>
      <c r="L115" s="17">
        <v>2413.9459999999999</v>
      </c>
      <c r="M115" s="152">
        <v>475.02100000000002</v>
      </c>
      <c r="N115" s="150"/>
    </row>
    <row r="116" spans="1:14">
      <c r="A116" s="151" t="s">
        <v>20</v>
      </c>
      <c r="B116" s="22" t="s">
        <v>125</v>
      </c>
      <c r="C116" s="17">
        <v>475.02100000000002</v>
      </c>
      <c r="D116" s="17">
        <v>2466.7979999999998</v>
      </c>
      <c r="E116" s="17">
        <v>20.137</v>
      </c>
      <c r="F116" s="17">
        <v>2961.9560000000001</v>
      </c>
      <c r="G116" s="17">
        <v>211.46700000000001</v>
      </c>
      <c r="H116" s="17">
        <v>1.425</v>
      </c>
      <c r="I116" s="17">
        <v>345.91</v>
      </c>
      <c r="J116" s="17">
        <v>558.80200000000002</v>
      </c>
      <c r="K116" s="26">
        <v>282.589</v>
      </c>
      <c r="L116" s="17">
        <v>841.39099999999996</v>
      </c>
      <c r="M116" s="152">
        <v>2120.5650000000001</v>
      </c>
      <c r="N116" s="150"/>
    </row>
    <row r="117" spans="1:14">
      <c r="A117" s="150"/>
      <c r="B117" s="22" t="s">
        <v>126</v>
      </c>
      <c r="C117" s="17">
        <v>2120.5650000000001</v>
      </c>
      <c r="D117" s="23" t="s">
        <v>99</v>
      </c>
      <c r="E117" s="17">
        <v>16.433</v>
      </c>
      <c r="F117" s="17">
        <v>2136.998</v>
      </c>
      <c r="G117" s="17">
        <v>218.81399999999999</v>
      </c>
      <c r="H117" s="17">
        <v>63.356999999999999</v>
      </c>
      <c r="I117" s="17">
        <v>-81.872</v>
      </c>
      <c r="J117" s="17">
        <v>200.29900000000001</v>
      </c>
      <c r="K117" s="26">
        <v>344.964</v>
      </c>
      <c r="L117" s="17">
        <v>545.26300000000003</v>
      </c>
      <c r="M117" s="152">
        <v>1591.7349999999999</v>
      </c>
      <c r="N117" s="150"/>
    </row>
    <row r="118" spans="1:14">
      <c r="A118" s="150"/>
      <c r="B118" s="22" t="s">
        <v>127</v>
      </c>
      <c r="C118" s="17">
        <v>1591.7349999999999</v>
      </c>
      <c r="D118" s="23" t="s">
        <v>99</v>
      </c>
      <c r="E118" s="17">
        <v>17.353999999999999</v>
      </c>
      <c r="F118" s="17">
        <v>1609.0889999999999</v>
      </c>
      <c r="G118" s="17">
        <v>197.03899999999999</v>
      </c>
      <c r="H118" s="17">
        <v>2.5979999999999999</v>
      </c>
      <c r="I118" s="17">
        <v>4.8360000000000003</v>
      </c>
      <c r="J118" s="17">
        <v>204.47300000000001</v>
      </c>
      <c r="K118" s="26">
        <v>356.32499999999999</v>
      </c>
      <c r="L118" s="17">
        <v>560.798</v>
      </c>
      <c r="M118" s="152">
        <v>1048.2909999999999</v>
      </c>
      <c r="N118" s="150"/>
    </row>
    <row r="119" spans="1:14">
      <c r="A119" s="150"/>
      <c r="B119" s="22" t="s">
        <v>128</v>
      </c>
      <c r="C119" s="17">
        <v>1048.2909999999999</v>
      </c>
      <c r="D119" s="23" t="s">
        <v>99</v>
      </c>
      <c r="E119" s="17">
        <v>16.077000000000002</v>
      </c>
      <c r="F119" s="17">
        <v>1064.3679999999999</v>
      </c>
      <c r="G119" s="17">
        <v>207.52199999999999</v>
      </c>
      <c r="H119" s="17">
        <v>31.716999999999999</v>
      </c>
      <c r="I119" s="17">
        <v>-75.224999999999994</v>
      </c>
      <c r="J119" s="17">
        <v>164.01400000000001</v>
      </c>
      <c r="K119" s="26">
        <v>369.702</v>
      </c>
      <c r="L119" s="17">
        <v>533.71600000000001</v>
      </c>
      <c r="M119" s="152">
        <v>530.65200000000004</v>
      </c>
      <c r="N119" s="150"/>
    </row>
    <row r="120" spans="1:14">
      <c r="A120" s="150"/>
      <c r="B120" s="22" t="s">
        <v>98</v>
      </c>
      <c r="C120" s="17">
        <v>475.02100000000002</v>
      </c>
      <c r="D120" s="17">
        <v>2466.7979999999998</v>
      </c>
      <c r="E120" s="17">
        <v>70.001000000000005</v>
      </c>
      <c r="F120" s="17">
        <v>3011.82</v>
      </c>
      <c r="G120" s="17">
        <v>834.84199999999998</v>
      </c>
      <c r="H120" s="17">
        <v>99.096999999999994</v>
      </c>
      <c r="I120" s="17">
        <v>193.649</v>
      </c>
      <c r="J120" s="17">
        <v>1127.588</v>
      </c>
      <c r="K120" s="26">
        <v>1353.58</v>
      </c>
      <c r="L120" s="17">
        <v>2481.1680000000001</v>
      </c>
      <c r="M120" s="152">
        <v>530.65200000000004</v>
      </c>
      <c r="N120" s="150"/>
    </row>
    <row r="121" spans="1:14">
      <c r="A121" s="151" t="s">
        <v>21</v>
      </c>
      <c r="B121" s="22" t="s">
        <v>125</v>
      </c>
      <c r="C121" s="17">
        <v>530.65200000000004</v>
      </c>
      <c r="D121" s="17">
        <v>2396.44</v>
      </c>
      <c r="E121" s="17">
        <v>14.595000000000001</v>
      </c>
      <c r="F121" s="17">
        <v>2941.6869999999999</v>
      </c>
      <c r="G121" s="17">
        <v>211.279</v>
      </c>
      <c r="H121" s="17">
        <v>1.2889999999999999</v>
      </c>
      <c r="I121" s="17">
        <v>295.84899999999999</v>
      </c>
      <c r="J121" s="17">
        <v>508.41699999999997</v>
      </c>
      <c r="K121" s="26">
        <v>300.66300000000001</v>
      </c>
      <c r="L121" s="17">
        <v>809.08</v>
      </c>
      <c r="M121" s="152">
        <v>2132.607</v>
      </c>
      <c r="N121" s="150"/>
    </row>
    <row r="122" spans="1:14">
      <c r="A122" s="150"/>
      <c r="B122" s="22" t="s">
        <v>126</v>
      </c>
      <c r="C122" s="17">
        <v>2132.607</v>
      </c>
      <c r="D122" s="23" t="s">
        <v>99</v>
      </c>
      <c r="E122" s="17">
        <v>30.120999999999999</v>
      </c>
      <c r="F122" s="17">
        <v>2162.7280000000001</v>
      </c>
      <c r="G122" s="17">
        <v>225.30600000000001</v>
      </c>
      <c r="H122" s="17">
        <v>60.908000000000001</v>
      </c>
      <c r="I122" s="17">
        <v>-38.466999999999999</v>
      </c>
      <c r="J122" s="17">
        <v>247.74700000000001</v>
      </c>
      <c r="K122" s="26">
        <v>329.24700000000001</v>
      </c>
      <c r="L122" s="17">
        <v>576.99400000000003</v>
      </c>
      <c r="M122" s="152">
        <v>1585.7339999999999</v>
      </c>
      <c r="N122" s="150"/>
    </row>
    <row r="123" spans="1:14">
      <c r="A123" s="150"/>
      <c r="B123" s="22" t="s">
        <v>127</v>
      </c>
      <c r="C123" s="17">
        <v>1585.7339999999999</v>
      </c>
      <c r="D123" s="23" t="s">
        <v>99</v>
      </c>
      <c r="E123" s="17">
        <v>26.856999999999999</v>
      </c>
      <c r="F123" s="17">
        <v>1612.5909999999999</v>
      </c>
      <c r="G123" s="17">
        <v>211.00700000000001</v>
      </c>
      <c r="H123" s="17">
        <v>2.2589999999999999</v>
      </c>
      <c r="I123" s="17">
        <v>39.006999999999998</v>
      </c>
      <c r="J123" s="17">
        <v>252.273</v>
      </c>
      <c r="K123" s="26">
        <v>332.33100000000002</v>
      </c>
      <c r="L123" s="17">
        <v>584.60400000000004</v>
      </c>
      <c r="M123" s="152">
        <v>1027.9870000000001</v>
      </c>
      <c r="N123" s="150"/>
    </row>
    <row r="124" spans="1:14">
      <c r="A124" s="150"/>
      <c r="B124" s="22" t="s">
        <v>128</v>
      </c>
      <c r="C124" s="17">
        <v>1027.9870000000001</v>
      </c>
      <c r="D124" s="23" t="s">
        <v>99</v>
      </c>
      <c r="E124" s="17">
        <v>37.244</v>
      </c>
      <c r="F124" s="17">
        <v>1065.231</v>
      </c>
      <c r="G124" s="17">
        <v>224.072</v>
      </c>
      <c r="H124" s="17">
        <v>31.795999999999999</v>
      </c>
      <c r="I124" s="17">
        <v>-24.640999999999998</v>
      </c>
      <c r="J124" s="17">
        <v>231.227</v>
      </c>
      <c r="K124" s="26">
        <v>265.52</v>
      </c>
      <c r="L124" s="17">
        <v>496.74700000000001</v>
      </c>
      <c r="M124" s="152">
        <v>568.48400000000004</v>
      </c>
      <c r="N124" s="150"/>
    </row>
    <row r="125" spans="1:14">
      <c r="A125" s="150"/>
      <c r="B125" s="22" t="s">
        <v>98</v>
      </c>
      <c r="C125" s="17">
        <v>530.65200000000004</v>
      </c>
      <c r="D125" s="17">
        <v>2396.44</v>
      </c>
      <c r="E125" s="17">
        <v>108.81699999999999</v>
      </c>
      <c r="F125" s="17">
        <v>3035.9090000000001</v>
      </c>
      <c r="G125" s="17">
        <v>871.66399999999999</v>
      </c>
      <c r="H125" s="17">
        <v>96.251999999999995</v>
      </c>
      <c r="I125" s="17">
        <v>271.74799999999999</v>
      </c>
      <c r="J125" s="17">
        <v>1239.664</v>
      </c>
      <c r="K125" s="26">
        <v>1227.761</v>
      </c>
      <c r="L125" s="17">
        <v>2467.4250000000002</v>
      </c>
      <c r="M125" s="152">
        <v>568.48400000000004</v>
      </c>
      <c r="N125" s="150"/>
    </row>
    <row r="126" spans="1:14">
      <c r="A126" s="151" t="s">
        <v>22</v>
      </c>
      <c r="B126" s="22" t="s">
        <v>125</v>
      </c>
      <c r="C126" s="17">
        <v>568.48400000000004</v>
      </c>
      <c r="D126" s="17">
        <v>2320.9810000000002</v>
      </c>
      <c r="E126" s="17">
        <v>30.722000000000001</v>
      </c>
      <c r="F126" s="17">
        <v>2920.1870000000004</v>
      </c>
      <c r="G126" s="17">
        <v>213.18899999999999</v>
      </c>
      <c r="H126" s="17">
        <v>1.585</v>
      </c>
      <c r="I126" s="17">
        <v>376.27199999999999</v>
      </c>
      <c r="J126" s="17">
        <v>591.04600000000005</v>
      </c>
      <c r="K126" s="26">
        <v>259.64699999999999</v>
      </c>
      <c r="L126" s="17">
        <v>850.69299999999998</v>
      </c>
      <c r="M126" s="152">
        <v>2069.4940000000001</v>
      </c>
      <c r="N126" s="150"/>
    </row>
    <row r="127" spans="1:14">
      <c r="A127" s="150"/>
      <c r="B127" s="22" t="s">
        <v>126</v>
      </c>
      <c r="C127" s="17">
        <v>2069.4940000000001</v>
      </c>
      <c r="D127" s="23" t="s">
        <v>99</v>
      </c>
      <c r="E127" s="17">
        <v>21.422999999999998</v>
      </c>
      <c r="F127" s="17">
        <v>2090.9169999999999</v>
      </c>
      <c r="G127" s="17">
        <v>229.297</v>
      </c>
      <c r="H127" s="17">
        <v>60.954000000000001</v>
      </c>
      <c r="I127" s="17">
        <v>-28.64</v>
      </c>
      <c r="J127" s="17">
        <v>261.61099999999999</v>
      </c>
      <c r="K127" s="26">
        <v>338.202</v>
      </c>
      <c r="L127" s="17">
        <v>599.81299999999999</v>
      </c>
      <c r="M127" s="152">
        <v>1491.104</v>
      </c>
      <c r="N127" s="150"/>
    </row>
    <row r="128" spans="1:14">
      <c r="A128" s="150"/>
      <c r="B128" s="22" t="s">
        <v>127</v>
      </c>
      <c r="C128" s="17">
        <v>1491.104</v>
      </c>
      <c r="D128" s="23" t="s">
        <v>99</v>
      </c>
      <c r="E128" s="17">
        <v>17.652000000000001</v>
      </c>
      <c r="F128" s="17">
        <v>1508.7560000000001</v>
      </c>
      <c r="G128" s="17">
        <v>201.63800000000001</v>
      </c>
      <c r="H128" s="17">
        <v>2.2029999999999998</v>
      </c>
      <c r="I128" s="17">
        <v>25.344000000000001</v>
      </c>
      <c r="J128" s="17">
        <v>229.185</v>
      </c>
      <c r="K128" s="26">
        <v>310.37200000000001</v>
      </c>
      <c r="L128" s="17">
        <v>539.55700000000002</v>
      </c>
      <c r="M128" s="152">
        <v>969.19899999999996</v>
      </c>
      <c r="N128" s="150"/>
    </row>
    <row r="129" spans="1:14">
      <c r="A129" s="150"/>
      <c r="B129" s="22" t="s">
        <v>128</v>
      </c>
      <c r="C129" s="17">
        <v>969.19899999999996</v>
      </c>
      <c r="D129" s="23" t="s">
        <v>99</v>
      </c>
      <c r="E129" s="17">
        <v>22.15</v>
      </c>
      <c r="F129" s="17">
        <v>991.34899999999993</v>
      </c>
      <c r="G129" s="17">
        <v>208.857</v>
      </c>
      <c r="H129" s="17">
        <v>24.302</v>
      </c>
      <c r="I129" s="17">
        <v>-28.451000000000001</v>
      </c>
      <c r="J129" s="17">
        <v>204.708</v>
      </c>
      <c r="K129" s="26">
        <v>280.05599999999998</v>
      </c>
      <c r="L129" s="17">
        <v>484.76400000000001</v>
      </c>
      <c r="M129" s="152">
        <v>506.58499999999998</v>
      </c>
      <c r="N129" s="150"/>
    </row>
    <row r="130" spans="1:14">
      <c r="A130" s="150"/>
      <c r="B130" s="22" t="s">
        <v>98</v>
      </c>
      <c r="C130" s="17">
        <v>568.48400000000004</v>
      </c>
      <c r="D130" s="17">
        <v>2320.9810000000002</v>
      </c>
      <c r="E130" s="17">
        <v>91.947000000000003</v>
      </c>
      <c r="F130" s="17">
        <v>2981.4120000000003</v>
      </c>
      <c r="G130" s="17">
        <v>852.98099999999999</v>
      </c>
      <c r="H130" s="17">
        <v>89.043999999999997</v>
      </c>
      <c r="I130" s="17">
        <v>344.52499999999998</v>
      </c>
      <c r="J130" s="17">
        <v>1286.55</v>
      </c>
      <c r="K130" s="26">
        <v>1188.277</v>
      </c>
      <c r="L130" s="17">
        <v>2474.8270000000002</v>
      </c>
      <c r="M130" s="152">
        <v>506.58499999999998</v>
      </c>
      <c r="N130" s="150"/>
    </row>
    <row r="131" spans="1:14">
      <c r="A131" s="151" t="s">
        <v>23</v>
      </c>
      <c r="B131" s="22" t="s">
        <v>125</v>
      </c>
      <c r="C131" s="17">
        <v>506.58499999999998</v>
      </c>
      <c r="D131" s="17">
        <v>2182.7080000000001</v>
      </c>
      <c r="E131" s="17">
        <v>22.722999999999999</v>
      </c>
      <c r="F131" s="17">
        <v>2712.0160000000001</v>
      </c>
      <c r="G131" s="17">
        <v>215.29599999999999</v>
      </c>
      <c r="H131" s="17">
        <v>7.98</v>
      </c>
      <c r="I131" s="17">
        <v>305.10500000000002</v>
      </c>
      <c r="J131" s="17">
        <v>528.38099999999997</v>
      </c>
      <c r="K131" s="26">
        <v>302.536</v>
      </c>
      <c r="L131" s="17">
        <v>830.91700000000003</v>
      </c>
      <c r="M131" s="152">
        <v>1881.0989999999999</v>
      </c>
      <c r="N131" s="150"/>
    </row>
    <row r="132" spans="1:14">
      <c r="A132" s="150"/>
      <c r="B132" s="22" t="s">
        <v>126</v>
      </c>
      <c r="C132" s="17">
        <v>1881.0989999999999</v>
      </c>
      <c r="D132" s="23" t="s">
        <v>99</v>
      </c>
      <c r="E132" s="17">
        <v>16.251999999999999</v>
      </c>
      <c r="F132" s="17">
        <v>1897.3509999999999</v>
      </c>
      <c r="G132" s="17">
        <v>232.15100000000001</v>
      </c>
      <c r="H132" s="17">
        <v>64.355999999999995</v>
      </c>
      <c r="I132" s="17">
        <v>-98.182000000000002</v>
      </c>
      <c r="J132" s="17">
        <v>198.32499999999999</v>
      </c>
      <c r="K132" s="26">
        <v>360.75900000000001</v>
      </c>
      <c r="L132" s="17">
        <v>559.08399999999995</v>
      </c>
      <c r="M132" s="152">
        <v>1338.2670000000001</v>
      </c>
      <c r="N132" s="150"/>
    </row>
    <row r="133" spans="1:14">
      <c r="A133" s="150"/>
      <c r="B133" s="22" t="s">
        <v>127</v>
      </c>
      <c r="C133" s="17">
        <v>1338.2670000000001</v>
      </c>
      <c r="D133" s="23" t="s">
        <v>99</v>
      </c>
      <c r="E133" s="17">
        <v>11.757999999999999</v>
      </c>
      <c r="F133" s="17">
        <v>1350.0250000000001</v>
      </c>
      <c r="G133" s="17">
        <v>215.846</v>
      </c>
      <c r="H133" s="17">
        <v>2.9460000000000002</v>
      </c>
      <c r="I133" s="17">
        <v>13.292</v>
      </c>
      <c r="J133" s="17">
        <v>232.084</v>
      </c>
      <c r="K133" s="26">
        <v>294.47699999999998</v>
      </c>
      <c r="L133" s="17">
        <v>526.56100000000004</v>
      </c>
      <c r="M133" s="152">
        <v>823.46400000000006</v>
      </c>
      <c r="N133" s="150"/>
    </row>
    <row r="134" spans="1:14">
      <c r="A134" s="150"/>
      <c r="B134" s="22" t="s">
        <v>128</v>
      </c>
      <c r="C134" s="17">
        <v>823.46400000000006</v>
      </c>
      <c r="D134" s="23" t="s">
        <v>99</v>
      </c>
      <c r="E134" s="17">
        <v>17.2</v>
      </c>
      <c r="F134" s="17">
        <v>840.6640000000001</v>
      </c>
      <c r="G134" s="17">
        <v>219.583</v>
      </c>
      <c r="H134" s="17">
        <v>28.177</v>
      </c>
      <c r="I134" s="17">
        <v>-66.486999999999995</v>
      </c>
      <c r="J134" s="17">
        <v>181.273</v>
      </c>
      <c r="K134" s="26">
        <v>283.37099999999998</v>
      </c>
      <c r="L134" s="17">
        <v>464.64400000000001</v>
      </c>
      <c r="M134" s="152">
        <v>376.02</v>
      </c>
      <c r="N134" s="150"/>
    </row>
    <row r="135" spans="1:14">
      <c r="A135" s="150"/>
      <c r="B135" s="22" t="s">
        <v>98</v>
      </c>
      <c r="C135" s="17">
        <v>506.58499999999998</v>
      </c>
      <c r="D135" s="17">
        <v>2182.7080000000001</v>
      </c>
      <c r="E135" s="17">
        <v>67.933000000000007</v>
      </c>
      <c r="F135" s="17">
        <v>2757.2260000000001</v>
      </c>
      <c r="G135" s="17">
        <v>882.87599999999998</v>
      </c>
      <c r="H135" s="17">
        <v>103.459</v>
      </c>
      <c r="I135" s="17">
        <v>153.72800000000001</v>
      </c>
      <c r="J135" s="17">
        <v>1140.0630000000001</v>
      </c>
      <c r="K135" s="26">
        <v>1241.143</v>
      </c>
      <c r="L135" s="17">
        <v>2381.2060000000001</v>
      </c>
      <c r="M135" s="152">
        <v>376.02</v>
      </c>
      <c r="N135" s="150"/>
    </row>
    <row r="136" spans="1:14">
      <c r="A136" s="151" t="s">
        <v>24</v>
      </c>
      <c r="B136" s="22" t="s">
        <v>125</v>
      </c>
      <c r="C136" s="17">
        <v>376.02</v>
      </c>
      <c r="D136" s="17">
        <v>2277.3879999999999</v>
      </c>
      <c r="E136" s="17">
        <v>14.851000000000001</v>
      </c>
      <c r="F136" s="17">
        <v>2668.259</v>
      </c>
      <c r="G136" s="17">
        <v>223.71899999999999</v>
      </c>
      <c r="H136" s="17">
        <v>8.7420000000000009</v>
      </c>
      <c r="I136" s="17">
        <v>377.53899999999999</v>
      </c>
      <c r="J136" s="17">
        <v>610</v>
      </c>
      <c r="K136" s="26">
        <v>334.06299999999999</v>
      </c>
      <c r="L136" s="17">
        <v>944.06299999999999</v>
      </c>
      <c r="M136" s="152">
        <v>1724.1959999999999</v>
      </c>
      <c r="N136" s="150"/>
    </row>
    <row r="137" spans="1:14">
      <c r="A137" s="150"/>
      <c r="B137" s="22" t="s">
        <v>126</v>
      </c>
      <c r="C137" s="17">
        <v>1724.1959999999999</v>
      </c>
      <c r="D137" s="23" t="s">
        <v>99</v>
      </c>
      <c r="E137" s="17">
        <v>20.667000000000002</v>
      </c>
      <c r="F137" s="17">
        <v>1744.8629999999998</v>
      </c>
      <c r="G137" s="17">
        <v>233.81299999999999</v>
      </c>
      <c r="H137" s="17">
        <v>59.927999999999997</v>
      </c>
      <c r="I137" s="17">
        <v>-75.978999999999999</v>
      </c>
      <c r="J137" s="17">
        <v>217.762</v>
      </c>
      <c r="K137" s="26">
        <v>308.291</v>
      </c>
      <c r="L137" s="17">
        <v>526.053</v>
      </c>
      <c r="M137" s="152">
        <v>1218.81</v>
      </c>
      <c r="N137" s="150"/>
    </row>
    <row r="138" spans="1:14">
      <c r="A138" s="150"/>
      <c r="B138" s="22" t="s">
        <v>127</v>
      </c>
      <c r="C138" s="17">
        <v>1218.81</v>
      </c>
      <c r="D138" s="23" t="s">
        <v>99</v>
      </c>
      <c r="E138" s="17">
        <v>27.082999999999998</v>
      </c>
      <c r="F138" s="17">
        <v>1245.893</v>
      </c>
      <c r="G138" s="17">
        <v>212.68</v>
      </c>
      <c r="H138" s="17">
        <v>1.79</v>
      </c>
      <c r="I138" s="17">
        <v>30.263999999999999</v>
      </c>
      <c r="J138" s="17">
        <v>244.73400000000001</v>
      </c>
      <c r="K138" s="26">
        <v>179.34</v>
      </c>
      <c r="L138" s="17">
        <v>424.07400000000001</v>
      </c>
      <c r="M138" s="152">
        <v>821.81899999999996</v>
      </c>
      <c r="N138" s="150"/>
    </row>
    <row r="139" spans="1:14">
      <c r="A139" s="150"/>
      <c r="B139" s="22" t="s">
        <v>128</v>
      </c>
      <c r="C139" s="17">
        <v>821.81899999999996</v>
      </c>
      <c r="D139" s="23" t="s">
        <v>99</v>
      </c>
      <c r="E139" s="17">
        <v>29.731999999999999</v>
      </c>
      <c r="F139" s="17">
        <v>851.55099999999993</v>
      </c>
      <c r="G139" s="17">
        <v>220.50700000000001</v>
      </c>
      <c r="H139" s="17">
        <v>31.84</v>
      </c>
      <c r="I139" s="17">
        <v>-24.231000000000002</v>
      </c>
      <c r="J139" s="17">
        <v>228.11600000000001</v>
      </c>
      <c r="K139" s="26">
        <v>179.828</v>
      </c>
      <c r="L139" s="17">
        <v>407.94400000000002</v>
      </c>
      <c r="M139" s="152">
        <v>443.60700000000003</v>
      </c>
      <c r="N139" s="150"/>
    </row>
    <row r="140" spans="1:14">
      <c r="A140" s="150"/>
      <c r="B140" s="22" t="s">
        <v>98</v>
      </c>
      <c r="C140" s="17">
        <v>376.02</v>
      </c>
      <c r="D140" s="17">
        <v>2277.3879999999999</v>
      </c>
      <c r="E140" s="17">
        <v>92.332999999999998</v>
      </c>
      <c r="F140" s="17">
        <v>2745.741</v>
      </c>
      <c r="G140" s="17">
        <v>890.71900000000005</v>
      </c>
      <c r="H140" s="17">
        <v>102.3</v>
      </c>
      <c r="I140" s="17">
        <v>307.59300000000002</v>
      </c>
      <c r="J140" s="17">
        <v>1300.6120000000001</v>
      </c>
      <c r="K140" s="26">
        <v>1001.522</v>
      </c>
      <c r="L140" s="17">
        <v>2302.134</v>
      </c>
      <c r="M140" s="152">
        <v>443.60700000000003</v>
      </c>
      <c r="N140" s="150"/>
    </row>
    <row r="141" spans="1:14">
      <c r="A141" s="151" t="s">
        <v>25</v>
      </c>
      <c r="B141" s="22" t="s">
        <v>125</v>
      </c>
      <c r="C141" s="17">
        <v>443.60700000000003</v>
      </c>
      <c r="D141" s="17">
        <v>2481.4659999999999</v>
      </c>
      <c r="E141" s="17">
        <v>22.713999999999999</v>
      </c>
      <c r="F141" s="17">
        <v>2947.7869999999998</v>
      </c>
      <c r="G141" s="17">
        <v>227.9</v>
      </c>
      <c r="H141" s="17">
        <v>3.1179999999999999</v>
      </c>
      <c r="I141" s="17">
        <v>352.18299999999999</v>
      </c>
      <c r="J141" s="17">
        <v>583.20100000000002</v>
      </c>
      <c r="K141" s="26">
        <v>288.238</v>
      </c>
      <c r="L141" s="17">
        <v>871.43899999999996</v>
      </c>
      <c r="M141" s="152">
        <v>2076.348</v>
      </c>
      <c r="N141" s="150"/>
    </row>
    <row r="142" spans="1:14">
      <c r="A142" s="150"/>
      <c r="B142" s="22" t="s">
        <v>126</v>
      </c>
      <c r="C142" s="17">
        <v>2076.348</v>
      </c>
      <c r="D142" s="23" t="s">
        <v>99</v>
      </c>
      <c r="E142" s="17">
        <v>22.777000000000001</v>
      </c>
      <c r="F142" s="17">
        <v>2099.125</v>
      </c>
      <c r="G142" s="17">
        <v>238.678</v>
      </c>
      <c r="H142" s="17">
        <v>58.600999999999999</v>
      </c>
      <c r="I142" s="17">
        <v>-113.36199999999999</v>
      </c>
      <c r="J142" s="17">
        <v>183.917</v>
      </c>
      <c r="K142" s="26">
        <v>295.96600000000001</v>
      </c>
      <c r="L142" s="17">
        <v>479.88299999999998</v>
      </c>
      <c r="M142" s="152">
        <v>1619.242</v>
      </c>
      <c r="N142" s="150"/>
    </row>
    <row r="143" spans="1:14">
      <c r="A143" s="150"/>
      <c r="B143" s="22" t="s">
        <v>127</v>
      </c>
      <c r="C143" s="17">
        <v>1619.242</v>
      </c>
      <c r="D143" s="23" t="s">
        <v>99</v>
      </c>
      <c r="E143" s="17">
        <v>23.766999999999999</v>
      </c>
      <c r="F143" s="17">
        <v>1643.009</v>
      </c>
      <c r="G143" s="17">
        <v>219.202</v>
      </c>
      <c r="H143" s="17">
        <v>2.0880000000000001</v>
      </c>
      <c r="I143" s="17">
        <v>0.28499999999999998</v>
      </c>
      <c r="J143" s="17">
        <v>221.57499999999999</v>
      </c>
      <c r="K143" s="26">
        <v>254.87</v>
      </c>
      <c r="L143" s="17">
        <v>476.44499999999999</v>
      </c>
      <c r="M143" s="152">
        <v>1166.5640000000001</v>
      </c>
      <c r="N143" s="150"/>
    </row>
    <row r="144" spans="1:14">
      <c r="A144" s="150"/>
      <c r="B144" s="22" t="s">
        <v>128</v>
      </c>
      <c r="C144" s="17">
        <v>1166.5640000000001</v>
      </c>
      <c r="D144" s="23" t="s">
        <v>99</v>
      </c>
      <c r="E144" s="17">
        <v>25.664999999999999</v>
      </c>
      <c r="F144" s="17">
        <v>1192.229</v>
      </c>
      <c r="G144" s="17">
        <v>228.339</v>
      </c>
      <c r="H144" s="17">
        <v>28.667000000000002</v>
      </c>
      <c r="I144" s="17">
        <v>11.428000000000001</v>
      </c>
      <c r="J144" s="17">
        <v>268.43400000000003</v>
      </c>
      <c r="K144" s="26">
        <v>201.31700000000001</v>
      </c>
      <c r="L144" s="17">
        <v>469.75099999999998</v>
      </c>
      <c r="M144" s="152">
        <v>722.47799999999995</v>
      </c>
      <c r="N144" s="150"/>
    </row>
    <row r="145" spans="1:14">
      <c r="A145" s="150"/>
      <c r="B145" s="22" t="s">
        <v>98</v>
      </c>
      <c r="C145" s="17">
        <v>443.60700000000003</v>
      </c>
      <c r="D145" s="17">
        <v>2481.4659999999999</v>
      </c>
      <c r="E145" s="17">
        <v>94.923000000000002</v>
      </c>
      <c r="F145" s="17">
        <v>3019.9960000000001</v>
      </c>
      <c r="G145" s="17">
        <v>914.11900000000003</v>
      </c>
      <c r="H145" s="17">
        <v>92.474000000000004</v>
      </c>
      <c r="I145" s="17">
        <v>250.53399999999999</v>
      </c>
      <c r="J145" s="17">
        <v>1257.127</v>
      </c>
      <c r="K145" s="26">
        <v>1040.3910000000001</v>
      </c>
      <c r="L145" s="17">
        <v>2297.518</v>
      </c>
      <c r="M145" s="152">
        <v>722.47799999999995</v>
      </c>
      <c r="N145" s="150"/>
    </row>
    <row r="146" spans="1:14">
      <c r="A146" s="151" t="s">
        <v>26</v>
      </c>
      <c r="B146" s="22" t="s">
        <v>125</v>
      </c>
      <c r="C146" s="17">
        <v>722.47799999999995</v>
      </c>
      <c r="D146" s="17">
        <v>2547.3209999999999</v>
      </c>
      <c r="E146" s="17">
        <v>24.373000000000001</v>
      </c>
      <c r="F146" s="17">
        <v>3294.172</v>
      </c>
      <c r="G146" s="17">
        <v>225.69300000000001</v>
      </c>
      <c r="H146" s="17">
        <v>0.98799999999999999</v>
      </c>
      <c r="I146" s="17">
        <v>424.911</v>
      </c>
      <c r="J146" s="17">
        <v>651.59199999999998</v>
      </c>
      <c r="K146" s="26">
        <v>257.26499999999999</v>
      </c>
      <c r="L146" s="17">
        <v>908.85699999999997</v>
      </c>
      <c r="M146" s="152">
        <v>2385.3150000000001</v>
      </c>
      <c r="N146" s="150"/>
    </row>
    <row r="147" spans="1:14">
      <c r="A147" s="150"/>
      <c r="B147" s="22" t="s">
        <v>126</v>
      </c>
      <c r="C147" s="17">
        <v>2385.3150000000001</v>
      </c>
      <c r="D147" s="23" t="s">
        <v>99</v>
      </c>
      <c r="E147" s="17">
        <v>23.928999999999998</v>
      </c>
      <c r="F147" s="17">
        <v>2409.2440000000001</v>
      </c>
      <c r="G147" s="17">
        <v>240.745</v>
      </c>
      <c r="H147" s="17">
        <v>54.774999999999999</v>
      </c>
      <c r="I147" s="17">
        <v>-73.716999999999999</v>
      </c>
      <c r="J147" s="17">
        <v>221.803</v>
      </c>
      <c r="K147" s="26">
        <v>291.76</v>
      </c>
      <c r="L147" s="17">
        <v>513.56299999999999</v>
      </c>
      <c r="M147" s="152">
        <v>1895.681</v>
      </c>
      <c r="N147" s="150"/>
    </row>
    <row r="148" spans="1:14">
      <c r="A148" s="150"/>
      <c r="B148" s="22" t="s">
        <v>127</v>
      </c>
      <c r="C148" s="17">
        <v>1895.681</v>
      </c>
      <c r="D148" s="23" t="s">
        <v>99</v>
      </c>
      <c r="E148" s="17">
        <v>27.713000000000001</v>
      </c>
      <c r="F148" s="17">
        <v>1923.394</v>
      </c>
      <c r="G148" s="17">
        <v>213.399</v>
      </c>
      <c r="H148" s="17">
        <v>1.4410000000000001</v>
      </c>
      <c r="I148" s="17">
        <v>7.3029999999999999</v>
      </c>
      <c r="J148" s="17">
        <v>222.143</v>
      </c>
      <c r="K148" s="26">
        <v>250.84</v>
      </c>
      <c r="L148" s="17">
        <v>472.983</v>
      </c>
      <c r="M148" s="152">
        <v>1450.4110000000001</v>
      </c>
      <c r="N148" s="150"/>
    </row>
    <row r="149" spans="1:14">
      <c r="A149" s="150"/>
      <c r="B149" s="22" t="s">
        <v>128</v>
      </c>
      <c r="C149" s="17">
        <v>1450.4110000000001</v>
      </c>
      <c r="D149" s="23" t="s">
        <v>99</v>
      </c>
      <c r="E149" s="17">
        <v>26.971</v>
      </c>
      <c r="F149" s="17">
        <v>1477.3820000000001</v>
      </c>
      <c r="G149" s="17">
        <v>230.124</v>
      </c>
      <c r="H149" s="17">
        <v>23.225000000000001</v>
      </c>
      <c r="I149" s="17">
        <v>32.237000000000002</v>
      </c>
      <c r="J149" s="17">
        <v>285.58600000000001</v>
      </c>
      <c r="K149" s="26">
        <v>245.87799999999999</v>
      </c>
      <c r="L149" s="17">
        <v>531.46400000000006</v>
      </c>
      <c r="M149" s="152">
        <v>945.91800000000001</v>
      </c>
      <c r="N149" s="150"/>
    </row>
    <row r="150" spans="1:14">
      <c r="A150" s="150"/>
      <c r="B150" s="22" t="s">
        <v>98</v>
      </c>
      <c r="C150" s="17">
        <v>722.47799999999995</v>
      </c>
      <c r="D150" s="17">
        <v>2547.3209999999999</v>
      </c>
      <c r="E150" s="17">
        <v>102.986</v>
      </c>
      <c r="F150" s="17">
        <v>3372.7849999999999</v>
      </c>
      <c r="G150" s="17">
        <v>909.96100000000001</v>
      </c>
      <c r="H150" s="17">
        <v>80.429000000000002</v>
      </c>
      <c r="I150" s="17">
        <v>390.73399999999998</v>
      </c>
      <c r="J150" s="17">
        <v>1381.124</v>
      </c>
      <c r="K150" s="26">
        <v>1045.7429999999999</v>
      </c>
      <c r="L150" s="17">
        <v>2426.8670000000002</v>
      </c>
      <c r="M150" s="152">
        <v>945.91800000000001</v>
      </c>
      <c r="N150" s="150"/>
    </row>
    <row r="151" spans="1:14">
      <c r="A151" s="151" t="s">
        <v>27</v>
      </c>
      <c r="B151" s="22" t="s">
        <v>125</v>
      </c>
      <c r="C151" s="17">
        <v>945.91800000000001</v>
      </c>
      <c r="D151" s="17">
        <v>2295.56</v>
      </c>
      <c r="E151" s="17">
        <v>30.587</v>
      </c>
      <c r="F151" s="17">
        <v>3272.0650000000001</v>
      </c>
      <c r="G151" s="17">
        <v>230.16300000000001</v>
      </c>
      <c r="H151" s="17">
        <v>6.4240000000000004</v>
      </c>
      <c r="I151" s="17">
        <v>268.57799999999997</v>
      </c>
      <c r="J151" s="17">
        <v>505.16500000000002</v>
      </c>
      <c r="K151" s="26">
        <v>321.85700000000003</v>
      </c>
      <c r="L151" s="17">
        <v>827.02200000000005</v>
      </c>
      <c r="M151" s="152">
        <v>2445.0430000000001</v>
      </c>
      <c r="N151" s="150"/>
    </row>
    <row r="152" spans="1:14">
      <c r="A152" s="150"/>
      <c r="B152" s="22" t="s">
        <v>126</v>
      </c>
      <c r="C152" s="17">
        <v>2445.0430000000001</v>
      </c>
      <c r="D152" s="23" t="s">
        <v>99</v>
      </c>
      <c r="E152" s="17">
        <v>19.457999999999998</v>
      </c>
      <c r="F152" s="17">
        <v>2464.5010000000002</v>
      </c>
      <c r="G152" s="17">
        <v>241.142</v>
      </c>
      <c r="H152" s="17">
        <v>54.512</v>
      </c>
      <c r="I152" s="17">
        <v>-4.5979999999999999</v>
      </c>
      <c r="J152" s="17">
        <v>291.05599999999998</v>
      </c>
      <c r="K152" s="26">
        <v>289.70100000000002</v>
      </c>
      <c r="L152" s="17">
        <v>580.75699999999995</v>
      </c>
      <c r="M152" s="152">
        <v>1883.7439999999999</v>
      </c>
      <c r="N152" s="150"/>
    </row>
    <row r="153" spans="1:14">
      <c r="A153" s="150"/>
      <c r="B153" s="22" t="s">
        <v>127</v>
      </c>
      <c r="C153" s="17">
        <v>1883.7439999999999</v>
      </c>
      <c r="D153" s="23" t="s">
        <v>99</v>
      </c>
      <c r="E153" s="17">
        <v>19.445</v>
      </c>
      <c r="F153" s="17">
        <v>1903.1889999999999</v>
      </c>
      <c r="G153" s="17">
        <v>222.72399999999999</v>
      </c>
      <c r="H153" s="17">
        <v>2.2589999999999999</v>
      </c>
      <c r="I153" s="17">
        <v>25.524999999999999</v>
      </c>
      <c r="J153" s="17">
        <v>250.50800000000001</v>
      </c>
      <c r="K153" s="26">
        <v>236.16</v>
      </c>
      <c r="L153" s="17">
        <v>486.66800000000001</v>
      </c>
      <c r="M153" s="152">
        <v>1416.521</v>
      </c>
      <c r="N153" s="150"/>
    </row>
    <row r="154" spans="1:14">
      <c r="A154" s="150"/>
      <c r="B154" s="22" t="s">
        <v>128</v>
      </c>
      <c r="C154" s="17">
        <v>1416.521</v>
      </c>
      <c r="D154" s="23" t="s">
        <v>99</v>
      </c>
      <c r="E154" s="17">
        <v>25.021000000000001</v>
      </c>
      <c r="F154" s="17">
        <v>1441.5419999999999</v>
      </c>
      <c r="G154" s="17">
        <v>234.79900000000001</v>
      </c>
      <c r="H154" s="17">
        <v>28.460999999999999</v>
      </c>
      <c r="I154" s="17">
        <v>-10.247</v>
      </c>
      <c r="J154" s="17">
        <v>253.01300000000001</v>
      </c>
      <c r="K154" s="26">
        <v>238.78100000000001</v>
      </c>
      <c r="L154" s="17">
        <v>491.79399999999998</v>
      </c>
      <c r="M154" s="152">
        <v>949.74800000000005</v>
      </c>
      <c r="N154" s="150"/>
    </row>
    <row r="155" spans="1:14">
      <c r="A155" s="150"/>
      <c r="B155" s="22" t="s">
        <v>98</v>
      </c>
      <c r="C155" s="17">
        <v>945.91800000000001</v>
      </c>
      <c r="D155" s="17">
        <v>2295.56</v>
      </c>
      <c r="E155" s="17">
        <v>94.510999999999996</v>
      </c>
      <c r="F155" s="17">
        <v>3335.989</v>
      </c>
      <c r="G155" s="17">
        <v>928.82799999999997</v>
      </c>
      <c r="H155" s="17">
        <v>91.656000000000006</v>
      </c>
      <c r="I155" s="17">
        <v>279.25799999999998</v>
      </c>
      <c r="J155" s="17">
        <v>1299.742</v>
      </c>
      <c r="K155" s="26">
        <v>1086.499</v>
      </c>
      <c r="L155" s="17">
        <v>2386.241</v>
      </c>
      <c r="M155" s="152">
        <v>949.74800000000005</v>
      </c>
      <c r="N155" s="150"/>
    </row>
    <row r="156" spans="1:14">
      <c r="A156" s="151" t="s">
        <v>28</v>
      </c>
      <c r="B156" s="22" t="s">
        <v>125</v>
      </c>
      <c r="C156" s="17">
        <v>949.74800000000005</v>
      </c>
      <c r="D156" s="17">
        <v>2228.16</v>
      </c>
      <c r="E156" s="17">
        <v>20.388999999999999</v>
      </c>
      <c r="F156" s="17">
        <v>3198.297</v>
      </c>
      <c r="G156" s="17">
        <v>238.774</v>
      </c>
      <c r="H156" s="17">
        <v>1.083</v>
      </c>
      <c r="I156" s="17">
        <v>317.93</v>
      </c>
      <c r="J156" s="17">
        <v>557.78700000000003</v>
      </c>
      <c r="K156" s="26">
        <v>287.83999999999997</v>
      </c>
      <c r="L156" s="17">
        <v>845.62699999999995</v>
      </c>
      <c r="M156" s="152">
        <v>2352.67</v>
      </c>
      <c r="N156" s="150"/>
    </row>
    <row r="157" spans="1:14">
      <c r="A157" s="150"/>
      <c r="B157" s="22" t="s">
        <v>126</v>
      </c>
      <c r="C157" s="17">
        <v>2352.67</v>
      </c>
      <c r="D157" s="23" t="s">
        <v>99</v>
      </c>
      <c r="E157" s="17">
        <v>25.119</v>
      </c>
      <c r="F157" s="17">
        <v>2377.7890000000002</v>
      </c>
      <c r="G157" s="17">
        <v>252.99299999999999</v>
      </c>
      <c r="H157" s="17">
        <v>49.816000000000003</v>
      </c>
      <c r="I157" s="17">
        <v>-24.454000000000001</v>
      </c>
      <c r="J157" s="17">
        <v>278.35500000000002</v>
      </c>
      <c r="K157" s="26">
        <v>293.30900000000003</v>
      </c>
      <c r="L157" s="17">
        <v>571.66399999999999</v>
      </c>
      <c r="M157" s="152">
        <v>1806.125</v>
      </c>
      <c r="N157" s="150"/>
    </row>
    <row r="158" spans="1:14">
      <c r="A158" s="150"/>
      <c r="B158" s="22" t="s">
        <v>127</v>
      </c>
      <c r="C158" s="17">
        <v>1806.125</v>
      </c>
      <c r="D158" s="23" t="s">
        <v>99</v>
      </c>
      <c r="E158" s="17">
        <v>21.4</v>
      </c>
      <c r="F158" s="17">
        <v>1827.5250000000001</v>
      </c>
      <c r="G158" s="17">
        <v>228.15100000000001</v>
      </c>
      <c r="H158" s="17">
        <v>3.4929999999999999</v>
      </c>
      <c r="I158" s="17">
        <v>11.425000000000001</v>
      </c>
      <c r="J158" s="17">
        <v>243.06899999999999</v>
      </c>
      <c r="K158" s="26">
        <v>246.05799999999999</v>
      </c>
      <c r="L158" s="17">
        <v>489.12700000000001</v>
      </c>
      <c r="M158" s="152">
        <v>1338.3979999999999</v>
      </c>
      <c r="N158" s="150"/>
    </row>
    <row r="159" spans="1:14">
      <c r="A159" s="150"/>
      <c r="B159" s="22" t="s">
        <v>128</v>
      </c>
      <c r="C159" s="17">
        <v>1338.3979999999999</v>
      </c>
      <c r="D159" s="23" t="s">
        <v>99</v>
      </c>
      <c r="E159" s="17">
        <v>22.917000000000002</v>
      </c>
      <c r="F159" s="17">
        <v>1361.3149999999998</v>
      </c>
      <c r="G159" s="17">
        <v>229.67599999999999</v>
      </c>
      <c r="H159" s="17">
        <v>25.097999999999999</v>
      </c>
      <c r="I159" s="17">
        <v>-4.4749999999999996</v>
      </c>
      <c r="J159" s="17">
        <v>250.29900000000001</v>
      </c>
      <c r="K159" s="26">
        <v>234.834</v>
      </c>
      <c r="L159" s="17">
        <v>485.13299999999998</v>
      </c>
      <c r="M159" s="152">
        <v>876.18200000000002</v>
      </c>
      <c r="N159" s="150"/>
    </row>
    <row r="160" spans="1:14">
      <c r="A160" s="150"/>
      <c r="B160" s="22" t="s">
        <v>98</v>
      </c>
      <c r="C160" s="17">
        <v>949.74800000000005</v>
      </c>
      <c r="D160" s="17">
        <v>2228.16</v>
      </c>
      <c r="E160" s="17">
        <v>89.825000000000003</v>
      </c>
      <c r="F160" s="17">
        <v>3267.7330000000002</v>
      </c>
      <c r="G160" s="17">
        <v>949.59400000000005</v>
      </c>
      <c r="H160" s="17">
        <v>79.489999999999995</v>
      </c>
      <c r="I160" s="17">
        <v>300.42599999999999</v>
      </c>
      <c r="J160" s="17">
        <v>1329.51</v>
      </c>
      <c r="K160" s="26">
        <v>1062.0409999999999</v>
      </c>
      <c r="L160" s="17">
        <v>2391.5509999999999</v>
      </c>
      <c r="M160" s="152">
        <v>876.18200000000002</v>
      </c>
      <c r="N160" s="150"/>
    </row>
    <row r="161" spans="1:14">
      <c r="A161" s="151" t="s">
        <v>29</v>
      </c>
      <c r="B161" s="22" t="s">
        <v>125</v>
      </c>
      <c r="C161" s="17">
        <v>876.18200000000002</v>
      </c>
      <c r="D161" s="17">
        <v>1947.453</v>
      </c>
      <c r="E161" s="17">
        <v>25.713000000000001</v>
      </c>
      <c r="F161" s="17">
        <v>2849.348</v>
      </c>
      <c r="G161" s="17">
        <v>233.81399999999999</v>
      </c>
      <c r="H161" s="17">
        <v>3.468</v>
      </c>
      <c r="I161" s="17">
        <v>237.92599999999999</v>
      </c>
      <c r="J161" s="17">
        <v>475.20800000000003</v>
      </c>
      <c r="K161" s="26">
        <v>218.32599999999999</v>
      </c>
      <c r="L161" s="17">
        <v>693.53399999999999</v>
      </c>
      <c r="M161" s="152">
        <v>2155.8139999999999</v>
      </c>
      <c r="N161" s="150"/>
    </row>
    <row r="162" spans="1:14">
      <c r="A162" s="150"/>
      <c r="B162" s="22" t="s">
        <v>126</v>
      </c>
      <c r="C162" s="17">
        <v>2155.8139999999999</v>
      </c>
      <c r="D162" s="23" t="s">
        <v>99</v>
      </c>
      <c r="E162" s="17">
        <v>29.04</v>
      </c>
      <c r="F162" s="17">
        <v>2184.8539999999998</v>
      </c>
      <c r="G162" s="17">
        <v>245.08799999999999</v>
      </c>
      <c r="H162" s="17">
        <v>51.600999999999999</v>
      </c>
      <c r="I162" s="17">
        <v>-23.073</v>
      </c>
      <c r="J162" s="17">
        <v>273.61599999999999</v>
      </c>
      <c r="K162" s="26">
        <v>287.78300000000002</v>
      </c>
      <c r="L162" s="17">
        <v>561.399</v>
      </c>
      <c r="M162" s="152">
        <v>1623.4549999999999</v>
      </c>
      <c r="N162" s="150"/>
    </row>
    <row r="163" spans="1:14">
      <c r="A163" s="150"/>
      <c r="B163" s="22" t="s">
        <v>127</v>
      </c>
      <c r="C163" s="17">
        <v>1623.4549999999999</v>
      </c>
      <c r="D163" s="23" t="s">
        <v>99</v>
      </c>
      <c r="E163" s="17">
        <v>27.55</v>
      </c>
      <c r="F163" s="17">
        <v>1651.0050000000001</v>
      </c>
      <c r="G163" s="17">
        <v>221.12700000000001</v>
      </c>
      <c r="H163" s="17">
        <v>1.9950000000000001</v>
      </c>
      <c r="I163" s="17">
        <v>-6.617</v>
      </c>
      <c r="J163" s="17">
        <v>216.505</v>
      </c>
      <c r="K163" s="26">
        <v>224.732</v>
      </c>
      <c r="L163" s="17">
        <v>441.23700000000002</v>
      </c>
      <c r="M163" s="152">
        <v>1209.768</v>
      </c>
      <c r="N163" s="150"/>
    </row>
    <row r="164" spans="1:14">
      <c r="A164" s="150"/>
      <c r="B164" s="22" t="s">
        <v>128</v>
      </c>
      <c r="C164" s="17">
        <v>1209.768</v>
      </c>
      <c r="D164" s="23" t="s">
        <v>99</v>
      </c>
      <c r="E164" s="17">
        <v>25.248000000000001</v>
      </c>
      <c r="F164" s="17">
        <v>1235.0160000000001</v>
      </c>
      <c r="G164" s="17">
        <v>226.36199999999999</v>
      </c>
      <c r="H164" s="17">
        <v>26.321000000000002</v>
      </c>
      <c r="I164" s="17">
        <v>-26.248999999999999</v>
      </c>
      <c r="J164" s="17">
        <v>226.434</v>
      </c>
      <c r="K164" s="26">
        <v>231.47</v>
      </c>
      <c r="L164" s="17">
        <v>457.904</v>
      </c>
      <c r="M164" s="152">
        <v>777.11199999999997</v>
      </c>
      <c r="N164" s="150"/>
    </row>
    <row r="165" spans="1:14">
      <c r="A165" s="150"/>
      <c r="B165" s="22" t="s">
        <v>98</v>
      </c>
      <c r="C165" s="17">
        <v>876.18200000000002</v>
      </c>
      <c r="D165" s="17">
        <v>1947.453</v>
      </c>
      <c r="E165" s="17">
        <v>107.551</v>
      </c>
      <c r="F165" s="17">
        <v>2931.1859999999997</v>
      </c>
      <c r="G165" s="17">
        <v>926.39099999999996</v>
      </c>
      <c r="H165" s="17">
        <v>83.385000000000005</v>
      </c>
      <c r="I165" s="17">
        <v>181.98699999999999</v>
      </c>
      <c r="J165" s="17">
        <v>1191.7629999999999</v>
      </c>
      <c r="K165" s="26">
        <v>962.31100000000004</v>
      </c>
      <c r="L165" s="17">
        <v>2154.0740000000001</v>
      </c>
      <c r="M165" s="152">
        <v>777.11199999999997</v>
      </c>
      <c r="N165" s="150"/>
    </row>
    <row r="166" spans="1:14">
      <c r="A166" s="151" t="s">
        <v>30</v>
      </c>
      <c r="B166" s="22" t="s">
        <v>125</v>
      </c>
      <c r="C166" s="17">
        <v>777.11199999999997</v>
      </c>
      <c r="D166" s="17">
        <v>1605.8779999999999</v>
      </c>
      <c r="E166" s="17">
        <v>26.657</v>
      </c>
      <c r="F166" s="17">
        <v>2409.6469999999999</v>
      </c>
      <c r="G166" s="17">
        <v>233.17500000000001</v>
      </c>
      <c r="H166" s="17">
        <v>2.7280000000000002</v>
      </c>
      <c r="I166" s="17">
        <v>184.52799999999999</v>
      </c>
      <c r="J166" s="17">
        <v>420.43099999999998</v>
      </c>
      <c r="K166" s="26">
        <v>240.22900000000001</v>
      </c>
      <c r="L166" s="17">
        <v>660.66</v>
      </c>
      <c r="M166" s="152">
        <v>1748.9870000000001</v>
      </c>
      <c r="N166" s="150"/>
    </row>
    <row r="167" spans="1:14">
      <c r="A167" s="150"/>
      <c r="B167" s="22" t="s">
        <v>126</v>
      </c>
      <c r="C167" s="17">
        <v>1748.9870000000001</v>
      </c>
      <c r="D167" s="23" t="s">
        <v>99</v>
      </c>
      <c r="E167" s="17">
        <v>23.087</v>
      </c>
      <c r="F167" s="17">
        <v>1772.0740000000001</v>
      </c>
      <c r="G167" s="17">
        <v>237.75399999999999</v>
      </c>
      <c r="H167" s="17">
        <v>54.598999999999997</v>
      </c>
      <c r="I167" s="17">
        <v>-74.677999999999997</v>
      </c>
      <c r="J167" s="17">
        <v>217.67500000000001</v>
      </c>
      <c r="K167" s="26">
        <v>234.53</v>
      </c>
      <c r="L167" s="17">
        <v>452.20499999999998</v>
      </c>
      <c r="M167" s="152">
        <v>1319.8689999999999</v>
      </c>
      <c r="N167" s="150"/>
    </row>
    <row r="168" spans="1:14">
      <c r="A168" s="150"/>
      <c r="B168" s="22" t="s">
        <v>127</v>
      </c>
      <c r="C168" s="17">
        <v>1319.8689999999999</v>
      </c>
      <c r="D168" s="23" t="s">
        <v>99</v>
      </c>
      <c r="E168" s="17">
        <v>12.688000000000001</v>
      </c>
      <c r="F168" s="17">
        <v>1332.557</v>
      </c>
      <c r="G168" s="17">
        <v>218.88499999999999</v>
      </c>
      <c r="H168" s="17">
        <v>3.1280000000000001</v>
      </c>
      <c r="I168" s="17">
        <v>14.116</v>
      </c>
      <c r="J168" s="17">
        <v>236.12899999999999</v>
      </c>
      <c r="K168" s="26">
        <v>189.79499999999999</v>
      </c>
      <c r="L168" s="17">
        <v>425.92399999999998</v>
      </c>
      <c r="M168" s="152">
        <v>906.63300000000004</v>
      </c>
      <c r="N168" s="150"/>
    </row>
    <row r="169" spans="1:14">
      <c r="A169" s="150"/>
      <c r="B169" s="22" t="s">
        <v>128</v>
      </c>
      <c r="C169" s="17">
        <v>906.63300000000004</v>
      </c>
      <c r="D169" s="23" t="s">
        <v>99</v>
      </c>
      <c r="E169" s="17">
        <v>14.942</v>
      </c>
      <c r="F169" s="17">
        <v>921.57500000000005</v>
      </c>
      <c r="G169" s="17">
        <v>228.80099999999999</v>
      </c>
      <c r="H169" s="17">
        <v>23.928000000000001</v>
      </c>
      <c r="I169" s="17">
        <v>-8.2270000000000003</v>
      </c>
      <c r="J169" s="17">
        <v>244.50200000000001</v>
      </c>
      <c r="K169" s="26">
        <v>185.65700000000001</v>
      </c>
      <c r="L169" s="17">
        <v>430.15899999999999</v>
      </c>
      <c r="M169" s="152">
        <v>491.416</v>
      </c>
      <c r="N169" s="150"/>
    </row>
    <row r="170" spans="1:14">
      <c r="A170" s="150"/>
      <c r="B170" s="22" t="s">
        <v>98</v>
      </c>
      <c r="C170" s="17">
        <v>777.11199999999997</v>
      </c>
      <c r="D170" s="17">
        <v>1605.8779999999999</v>
      </c>
      <c r="E170" s="17">
        <v>77.373999999999995</v>
      </c>
      <c r="F170" s="17">
        <v>2460.364</v>
      </c>
      <c r="G170" s="17">
        <v>918.61500000000001</v>
      </c>
      <c r="H170" s="17">
        <v>84.382999999999996</v>
      </c>
      <c r="I170" s="17">
        <v>115.739</v>
      </c>
      <c r="J170" s="17">
        <v>1118.7370000000001</v>
      </c>
      <c r="K170" s="26">
        <v>850.21100000000001</v>
      </c>
      <c r="L170" s="17">
        <v>1968.9480000000001</v>
      </c>
      <c r="M170" s="152">
        <v>491.416</v>
      </c>
      <c r="N170" s="150"/>
    </row>
    <row r="171" spans="1:14">
      <c r="A171" s="151" t="s">
        <v>31</v>
      </c>
      <c r="B171" s="22" t="s">
        <v>125</v>
      </c>
      <c r="C171" s="17">
        <v>491.416</v>
      </c>
      <c r="D171" s="17">
        <v>2344.415</v>
      </c>
      <c r="E171" s="17">
        <v>15.704000000000001</v>
      </c>
      <c r="F171" s="17">
        <v>2851.5349999999999</v>
      </c>
      <c r="G171" s="17">
        <v>230.523</v>
      </c>
      <c r="H171" s="17">
        <v>2.1349999999999998</v>
      </c>
      <c r="I171" s="17">
        <v>314.96100000000001</v>
      </c>
      <c r="J171" s="17">
        <v>547.61900000000003</v>
      </c>
      <c r="K171" s="26">
        <v>264.94400000000002</v>
      </c>
      <c r="L171" s="17">
        <v>812.56299999999999</v>
      </c>
      <c r="M171" s="152">
        <v>2038.972</v>
      </c>
      <c r="N171" s="150"/>
    </row>
    <row r="172" spans="1:14">
      <c r="A172" s="150"/>
      <c r="B172" s="22" t="s">
        <v>126</v>
      </c>
      <c r="C172" s="17">
        <v>2038.972</v>
      </c>
      <c r="D172" s="23" t="s">
        <v>99</v>
      </c>
      <c r="E172" s="17">
        <v>17.75</v>
      </c>
      <c r="F172" s="17">
        <v>2056.7219999999998</v>
      </c>
      <c r="G172" s="17">
        <v>239.58699999999999</v>
      </c>
      <c r="H172" s="17">
        <v>53.33</v>
      </c>
      <c r="I172" s="17">
        <v>-61.927999999999997</v>
      </c>
      <c r="J172" s="17">
        <v>230.989</v>
      </c>
      <c r="K172" s="26">
        <v>305.44900000000001</v>
      </c>
      <c r="L172" s="17">
        <v>536.43799999999999</v>
      </c>
      <c r="M172" s="152">
        <v>1520.2840000000001</v>
      </c>
      <c r="N172" s="150"/>
    </row>
    <row r="173" spans="1:14">
      <c r="A173" s="150"/>
      <c r="B173" s="22" t="s">
        <v>127</v>
      </c>
      <c r="C173" s="17">
        <v>1520.2840000000001</v>
      </c>
      <c r="D173" s="23" t="s">
        <v>99</v>
      </c>
      <c r="E173" s="17">
        <v>12.906000000000001</v>
      </c>
      <c r="F173" s="17">
        <v>1533.19</v>
      </c>
      <c r="G173" s="17">
        <v>215.88200000000001</v>
      </c>
      <c r="H173" s="17">
        <v>2.15</v>
      </c>
      <c r="I173" s="17">
        <v>3.1019999999999999</v>
      </c>
      <c r="J173" s="17">
        <v>221.13399999999999</v>
      </c>
      <c r="K173" s="26">
        <v>291.43900000000002</v>
      </c>
      <c r="L173" s="17">
        <v>512.57299999999998</v>
      </c>
      <c r="M173" s="152">
        <v>1020.617</v>
      </c>
      <c r="N173" s="150"/>
    </row>
    <row r="174" spans="1:14">
      <c r="A174" s="150"/>
      <c r="B174" s="22" t="s">
        <v>128</v>
      </c>
      <c r="C174" s="17">
        <v>1020.617</v>
      </c>
      <c r="D174" s="23" t="s">
        <v>99</v>
      </c>
      <c r="E174" s="17">
        <v>16.667000000000002</v>
      </c>
      <c r="F174" s="17">
        <v>1037.2839999999999</v>
      </c>
      <c r="G174" s="17">
        <v>225.93799999999999</v>
      </c>
      <c r="H174" s="17">
        <v>22.035</v>
      </c>
      <c r="I174" s="17">
        <v>-53.62</v>
      </c>
      <c r="J174" s="17">
        <v>194.35300000000001</v>
      </c>
      <c r="K174" s="26">
        <v>296.49200000000002</v>
      </c>
      <c r="L174" s="17">
        <v>490.84500000000003</v>
      </c>
      <c r="M174" s="152">
        <v>546.43899999999996</v>
      </c>
      <c r="N174" s="150"/>
    </row>
    <row r="175" spans="1:14">
      <c r="A175" s="150"/>
      <c r="B175" s="22" t="s">
        <v>98</v>
      </c>
      <c r="C175" s="17">
        <v>491.416</v>
      </c>
      <c r="D175" s="17">
        <v>2344.415</v>
      </c>
      <c r="E175" s="17">
        <v>63.027000000000001</v>
      </c>
      <c r="F175" s="17">
        <v>2898.8580000000002</v>
      </c>
      <c r="G175" s="17">
        <v>911.93</v>
      </c>
      <c r="H175" s="17">
        <v>79.650000000000006</v>
      </c>
      <c r="I175" s="17">
        <v>202.51499999999999</v>
      </c>
      <c r="J175" s="17">
        <v>1194.095</v>
      </c>
      <c r="K175" s="26">
        <v>1158.3240000000001</v>
      </c>
      <c r="L175" s="17">
        <v>2352.4189999999999</v>
      </c>
      <c r="M175" s="152">
        <v>546.43899999999996</v>
      </c>
      <c r="N175" s="150"/>
    </row>
    <row r="176" spans="1:14">
      <c r="A176" s="151" t="s">
        <v>32</v>
      </c>
      <c r="B176" s="22" t="s">
        <v>125</v>
      </c>
      <c r="C176" s="17">
        <v>546.43899999999996</v>
      </c>
      <c r="D176" s="17">
        <v>2156.79</v>
      </c>
      <c r="E176" s="17">
        <v>17.414999999999999</v>
      </c>
      <c r="F176" s="17">
        <v>2720.6439999999998</v>
      </c>
      <c r="G176" s="17">
        <v>227.489</v>
      </c>
      <c r="H176" s="17">
        <v>4.085</v>
      </c>
      <c r="I176" s="17">
        <v>263.851</v>
      </c>
      <c r="J176" s="17">
        <v>495.42500000000001</v>
      </c>
      <c r="K176" s="26">
        <v>286.81200000000001</v>
      </c>
      <c r="L176" s="17">
        <v>782.23699999999997</v>
      </c>
      <c r="M176" s="152">
        <v>1938.4069999999999</v>
      </c>
      <c r="N176" s="150"/>
    </row>
    <row r="177" spans="1:14">
      <c r="A177" s="150"/>
      <c r="B177" s="22" t="s">
        <v>126</v>
      </c>
      <c r="C177" s="17">
        <v>1938.4069999999999</v>
      </c>
      <c r="D177" s="23" t="s">
        <v>99</v>
      </c>
      <c r="E177" s="17">
        <v>18.683</v>
      </c>
      <c r="F177" s="17">
        <v>1957.09</v>
      </c>
      <c r="G177" s="17">
        <v>235.58199999999999</v>
      </c>
      <c r="H177" s="17">
        <v>46.877000000000002</v>
      </c>
      <c r="I177" s="17">
        <v>-55.591000000000001</v>
      </c>
      <c r="J177" s="17">
        <v>226.86799999999999</v>
      </c>
      <c r="K177" s="26">
        <v>299.89600000000002</v>
      </c>
      <c r="L177" s="17">
        <v>526.76400000000001</v>
      </c>
      <c r="M177" s="152">
        <v>1430.326</v>
      </c>
      <c r="N177" s="150"/>
    </row>
    <row r="178" spans="1:14">
      <c r="A178" s="150"/>
      <c r="B178" s="22" t="s">
        <v>127</v>
      </c>
      <c r="C178" s="17">
        <v>1430.326</v>
      </c>
      <c r="D178" s="23" t="s">
        <v>99</v>
      </c>
      <c r="E178" s="17">
        <v>17.774000000000001</v>
      </c>
      <c r="F178" s="17">
        <v>1448.1</v>
      </c>
      <c r="G178" s="17">
        <v>217.78200000000001</v>
      </c>
      <c r="H178" s="17">
        <v>2.2349999999999999</v>
      </c>
      <c r="I178" s="17">
        <v>3.3740000000000001</v>
      </c>
      <c r="J178" s="17">
        <v>223.39099999999999</v>
      </c>
      <c r="K178" s="26">
        <v>240.31800000000001</v>
      </c>
      <c r="L178" s="17">
        <v>463.709</v>
      </c>
      <c r="M178" s="152">
        <v>984.39099999999996</v>
      </c>
      <c r="N178" s="150"/>
    </row>
    <row r="179" spans="1:14">
      <c r="A179" s="150"/>
      <c r="B179" s="22" t="s">
        <v>128</v>
      </c>
      <c r="C179" s="17">
        <v>984.39099999999996</v>
      </c>
      <c r="D179" s="23" t="s">
        <v>99</v>
      </c>
      <c r="E179" s="17">
        <v>16.698</v>
      </c>
      <c r="F179" s="17">
        <v>1001.0889999999999</v>
      </c>
      <c r="G179" s="17">
        <v>228.69800000000001</v>
      </c>
      <c r="H179" s="17">
        <v>24.411999999999999</v>
      </c>
      <c r="I179" s="17">
        <v>-31.006</v>
      </c>
      <c r="J179" s="17">
        <v>222.10400000000001</v>
      </c>
      <c r="K179" s="26">
        <v>238.88499999999999</v>
      </c>
      <c r="L179" s="17">
        <v>460.98899999999998</v>
      </c>
      <c r="M179" s="152">
        <v>540.1</v>
      </c>
      <c r="N179" s="150"/>
    </row>
    <row r="180" spans="1:14">
      <c r="A180" s="150"/>
      <c r="B180" s="22" t="s">
        <v>98</v>
      </c>
      <c r="C180" s="17">
        <v>546.43899999999996</v>
      </c>
      <c r="D180" s="17">
        <v>2156.79</v>
      </c>
      <c r="E180" s="17">
        <v>70.569999999999993</v>
      </c>
      <c r="F180" s="17">
        <v>2773.799</v>
      </c>
      <c r="G180" s="17">
        <v>909.55100000000004</v>
      </c>
      <c r="H180" s="17">
        <v>77.608999999999995</v>
      </c>
      <c r="I180" s="17">
        <v>180.62799999999999</v>
      </c>
      <c r="J180" s="17">
        <v>1167.788</v>
      </c>
      <c r="K180" s="26">
        <v>1065.9110000000001</v>
      </c>
      <c r="L180" s="17">
        <v>2233.6990000000001</v>
      </c>
      <c r="M180" s="152">
        <v>540.1</v>
      </c>
      <c r="N180" s="150"/>
    </row>
    <row r="181" spans="1:14">
      <c r="A181" s="151" t="s">
        <v>33</v>
      </c>
      <c r="B181" s="22" t="s">
        <v>125</v>
      </c>
      <c r="C181" s="17">
        <v>540.1</v>
      </c>
      <c r="D181" s="17">
        <v>2103.3249999999998</v>
      </c>
      <c r="E181" s="17">
        <v>18.574999999999999</v>
      </c>
      <c r="F181" s="17">
        <v>2662</v>
      </c>
      <c r="G181" s="17">
        <v>231.184</v>
      </c>
      <c r="H181" s="17">
        <v>1.72</v>
      </c>
      <c r="I181" s="17">
        <v>261.41199999999998</v>
      </c>
      <c r="J181" s="17">
        <v>494.31599999999997</v>
      </c>
      <c r="K181" s="26">
        <v>244.393</v>
      </c>
      <c r="L181" s="17">
        <v>738.70899999999995</v>
      </c>
      <c r="M181" s="152">
        <v>1923.2909999999999</v>
      </c>
      <c r="N181" s="150"/>
    </row>
    <row r="182" spans="1:14">
      <c r="A182" s="150"/>
      <c r="B182" s="22" t="s">
        <v>126</v>
      </c>
      <c r="C182" s="17">
        <v>1923.2909999999999</v>
      </c>
      <c r="D182" s="23" t="s">
        <v>99</v>
      </c>
      <c r="E182" s="17">
        <v>20.338000000000001</v>
      </c>
      <c r="F182" s="17">
        <v>1943.6289999999999</v>
      </c>
      <c r="G182" s="17">
        <v>238.40100000000001</v>
      </c>
      <c r="H182" s="17">
        <v>50.156999999999996</v>
      </c>
      <c r="I182" s="17">
        <v>-60.612000000000002</v>
      </c>
      <c r="J182" s="17">
        <v>227.946</v>
      </c>
      <c r="K182" s="26">
        <v>286.25900000000001</v>
      </c>
      <c r="L182" s="17">
        <v>514.20500000000004</v>
      </c>
      <c r="M182" s="152">
        <v>1429.424</v>
      </c>
      <c r="N182" s="150"/>
    </row>
    <row r="183" spans="1:14">
      <c r="A183" s="150"/>
      <c r="B183" s="22" t="s">
        <v>127</v>
      </c>
      <c r="C183" s="17">
        <v>1429.424</v>
      </c>
      <c r="D183" s="23" t="s">
        <v>99</v>
      </c>
      <c r="E183" s="17">
        <v>20.097999999999999</v>
      </c>
      <c r="F183" s="17">
        <v>1449.5219999999999</v>
      </c>
      <c r="G183" s="17">
        <v>219.35900000000001</v>
      </c>
      <c r="H183" s="17">
        <v>1.4379999999999999</v>
      </c>
      <c r="I183" s="17">
        <v>4.43</v>
      </c>
      <c r="J183" s="17">
        <v>225.227</v>
      </c>
      <c r="K183" s="26">
        <v>252.08</v>
      </c>
      <c r="L183" s="17">
        <v>477.30700000000002</v>
      </c>
      <c r="M183" s="152">
        <v>972.21500000000003</v>
      </c>
      <c r="N183" s="150"/>
    </row>
    <row r="184" spans="1:14">
      <c r="A184" s="150"/>
      <c r="B184" s="22" t="s">
        <v>128</v>
      </c>
      <c r="C184" s="17">
        <v>972.21500000000003</v>
      </c>
      <c r="D184" s="23" t="s">
        <v>99</v>
      </c>
      <c r="E184" s="17">
        <v>22.344000000000001</v>
      </c>
      <c r="F184" s="17">
        <v>994.55900000000008</v>
      </c>
      <c r="G184" s="17">
        <v>228.17500000000001</v>
      </c>
      <c r="H184" s="17">
        <v>23.745999999999999</v>
      </c>
      <c r="I184" s="17">
        <v>-48.600999999999999</v>
      </c>
      <c r="J184" s="17">
        <v>203.32</v>
      </c>
      <c r="K184" s="26">
        <v>220.04900000000001</v>
      </c>
      <c r="L184" s="17">
        <v>423.36900000000003</v>
      </c>
      <c r="M184" s="152">
        <v>571.19000000000005</v>
      </c>
      <c r="N184" s="150"/>
    </row>
    <row r="185" spans="1:14">
      <c r="A185" s="150"/>
      <c r="B185" s="22" t="s">
        <v>98</v>
      </c>
      <c r="C185" s="17">
        <v>540.1</v>
      </c>
      <c r="D185" s="17">
        <v>2103.3249999999998</v>
      </c>
      <c r="E185" s="17">
        <v>81.355000000000004</v>
      </c>
      <c r="F185" s="17">
        <v>2724.78</v>
      </c>
      <c r="G185" s="17">
        <v>917.11900000000003</v>
      </c>
      <c r="H185" s="17">
        <v>77.061000000000007</v>
      </c>
      <c r="I185" s="17">
        <v>156.62899999999999</v>
      </c>
      <c r="J185" s="17">
        <v>1150.809</v>
      </c>
      <c r="K185" s="26">
        <v>1002.7809999999999</v>
      </c>
      <c r="L185" s="17">
        <v>2153.59</v>
      </c>
      <c r="M185" s="152">
        <v>571.19000000000005</v>
      </c>
      <c r="N185" s="150"/>
    </row>
    <row r="186" spans="1:14">
      <c r="A186" s="151" t="s">
        <v>34</v>
      </c>
      <c r="B186" s="22" t="s">
        <v>125</v>
      </c>
      <c r="C186" s="17">
        <v>571.19000000000005</v>
      </c>
      <c r="D186" s="17">
        <v>1808.4159999999999</v>
      </c>
      <c r="E186" s="17">
        <v>26.474</v>
      </c>
      <c r="F186" s="17">
        <v>2406.08</v>
      </c>
      <c r="G186" s="17">
        <v>234.96700000000001</v>
      </c>
      <c r="H186" s="17">
        <v>1.8939999999999999</v>
      </c>
      <c r="I186" s="17">
        <v>204.72300000000001</v>
      </c>
      <c r="J186" s="17">
        <v>441.584</v>
      </c>
      <c r="K186" s="26">
        <v>213.95099999999999</v>
      </c>
      <c r="L186" s="17">
        <v>655.53499999999997</v>
      </c>
      <c r="M186" s="152">
        <v>1750.5450000000001</v>
      </c>
      <c r="N186" s="150"/>
    </row>
    <row r="187" spans="1:14">
      <c r="A187" s="150"/>
      <c r="B187" s="22" t="s">
        <v>126</v>
      </c>
      <c r="C187" s="17">
        <v>1750.5450000000001</v>
      </c>
      <c r="D187" s="23" t="s">
        <v>99</v>
      </c>
      <c r="E187" s="17">
        <v>29.456</v>
      </c>
      <c r="F187" s="17">
        <v>1780.001</v>
      </c>
      <c r="G187" s="17">
        <v>243.244</v>
      </c>
      <c r="H187" s="17">
        <v>56.414000000000001</v>
      </c>
      <c r="I187" s="17">
        <v>-46.537999999999997</v>
      </c>
      <c r="J187" s="17">
        <v>253.12</v>
      </c>
      <c r="K187" s="26">
        <v>212.22300000000001</v>
      </c>
      <c r="L187" s="17">
        <v>465.34300000000002</v>
      </c>
      <c r="M187" s="152">
        <v>1314.6579999999999</v>
      </c>
      <c r="N187" s="150"/>
    </row>
    <row r="188" spans="1:14">
      <c r="A188" s="150"/>
      <c r="B188" s="22" t="s">
        <v>127</v>
      </c>
      <c r="C188" s="17">
        <v>1314.6579999999999</v>
      </c>
      <c r="D188" s="23" t="s">
        <v>99</v>
      </c>
      <c r="E188" s="17">
        <v>31.718</v>
      </c>
      <c r="F188" s="17">
        <v>1346.376</v>
      </c>
      <c r="G188" s="17">
        <v>225.327</v>
      </c>
      <c r="H188" s="17">
        <v>1.1120000000000001</v>
      </c>
      <c r="I188" s="17">
        <v>28.248999999999999</v>
      </c>
      <c r="J188" s="17">
        <v>254.68799999999999</v>
      </c>
      <c r="K188" s="26">
        <v>234.96</v>
      </c>
      <c r="L188" s="17">
        <v>489.64800000000002</v>
      </c>
      <c r="M188" s="152">
        <v>856.72799999999995</v>
      </c>
      <c r="N188" s="150"/>
    </row>
    <row r="189" spans="1:14">
      <c r="A189" s="150"/>
      <c r="B189" s="22" t="s">
        <v>128</v>
      </c>
      <c r="C189" s="17">
        <v>856.72799999999995</v>
      </c>
      <c r="D189" s="23" t="s">
        <v>99</v>
      </c>
      <c r="E189" s="17">
        <v>34.213999999999999</v>
      </c>
      <c r="F189" s="17">
        <v>890.94200000000001</v>
      </c>
      <c r="G189" s="17">
        <v>234.37299999999999</v>
      </c>
      <c r="H189" s="17">
        <v>22.449000000000002</v>
      </c>
      <c r="I189" s="17">
        <v>-69.375</v>
      </c>
      <c r="J189" s="17">
        <v>187.447</v>
      </c>
      <c r="K189" s="26">
        <v>247.34200000000001</v>
      </c>
      <c r="L189" s="17">
        <v>434.78899999999999</v>
      </c>
      <c r="M189" s="152">
        <v>456.15300000000002</v>
      </c>
      <c r="N189" s="150"/>
    </row>
    <row r="190" spans="1:14">
      <c r="A190" s="150"/>
      <c r="B190" s="22" t="s">
        <v>98</v>
      </c>
      <c r="C190" s="17">
        <v>571.19000000000005</v>
      </c>
      <c r="D190" s="17">
        <v>1808.4159999999999</v>
      </c>
      <c r="E190" s="17">
        <v>121.86199999999999</v>
      </c>
      <c r="F190" s="17">
        <v>2501.4679999999998</v>
      </c>
      <c r="G190" s="17">
        <v>937.91099999999994</v>
      </c>
      <c r="H190" s="17">
        <v>81.869</v>
      </c>
      <c r="I190" s="17">
        <v>117.059</v>
      </c>
      <c r="J190" s="17">
        <v>1136.8389999999999</v>
      </c>
      <c r="K190" s="26">
        <v>908.476</v>
      </c>
      <c r="L190" s="17">
        <v>2045.3150000000001</v>
      </c>
      <c r="M190" s="152">
        <v>456.15300000000002</v>
      </c>
      <c r="N190" s="150"/>
    </row>
    <row r="191" spans="1:14">
      <c r="A191" s="151" t="s">
        <v>35</v>
      </c>
      <c r="B191" s="22" t="s">
        <v>125</v>
      </c>
      <c r="C191" s="17">
        <v>456.15300000000002</v>
      </c>
      <c r="D191" s="17">
        <v>2051.0880000000002</v>
      </c>
      <c r="E191" s="17">
        <v>30.388000000000002</v>
      </c>
      <c r="F191" s="17">
        <v>2537.6290000000004</v>
      </c>
      <c r="G191" s="17">
        <v>239.85</v>
      </c>
      <c r="H191" s="17">
        <v>1.395</v>
      </c>
      <c r="I191" s="17">
        <v>256.71800000000002</v>
      </c>
      <c r="J191" s="17">
        <v>497.96300000000002</v>
      </c>
      <c r="K191" s="26">
        <v>322.73899999999998</v>
      </c>
      <c r="L191" s="17">
        <v>820.702</v>
      </c>
      <c r="M191" s="152">
        <v>1716.9269999999999</v>
      </c>
      <c r="N191" s="150"/>
    </row>
    <row r="192" spans="1:14">
      <c r="A192" s="150"/>
      <c r="B192" s="22" t="s">
        <v>126</v>
      </c>
      <c r="C192" s="17">
        <v>1716.9269999999999</v>
      </c>
      <c r="D192" s="23" t="s">
        <v>99</v>
      </c>
      <c r="E192" s="17">
        <v>21.486000000000001</v>
      </c>
      <c r="F192" s="17">
        <v>1738.413</v>
      </c>
      <c r="G192" s="17">
        <v>245.02600000000001</v>
      </c>
      <c r="H192" s="17">
        <v>59.914999999999999</v>
      </c>
      <c r="I192" s="17">
        <v>-119.88200000000001</v>
      </c>
      <c r="J192" s="17">
        <v>185.059</v>
      </c>
      <c r="K192" s="26">
        <v>421.416</v>
      </c>
      <c r="L192" s="17">
        <v>606.47500000000002</v>
      </c>
      <c r="M192" s="152">
        <v>1131.9380000000001</v>
      </c>
      <c r="N192" s="150"/>
    </row>
    <row r="193" spans="1:14">
      <c r="A193" s="150"/>
      <c r="B193" s="22" t="s">
        <v>127</v>
      </c>
      <c r="C193" s="17">
        <v>1131.9380000000001</v>
      </c>
      <c r="D193" s="23" t="s">
        <v>99</v>
      </c>
      <c r="E193" s="17">
        <v>23.774999999999999</v>
      </c>
      <c r="F193" s="17">
        <v>1155.7130000000002</v>
      </c>
      <c r="G193" s="17">
        <v>227.44800000000001</v>
      </c>
      <c r="H193" s="17">
        <v>1.786</v>
      </c>
      <c r="I193" s="17">
        <v>-44.19</v>
      </c>
      <c r="J193" s="17">
        <v>185.04400000000001</v>
      </c>
      <c r="K193" s="26">
        <v>261.399</v>
      </c>
      <c r="L193" s="17">
        <v>446.44299999999998</v>
      </c>
      <c r="M193" s="152">
        <v>709.27</v>
      </c>
      <c r="N193" s="150"/>
    </row>
    <row r="194" spans="1:14">
      <c r="A194" s="150"/>
      <c r="B194" s="22" t="s">
        <v>128</v>
      </c>
      <c r="C194" s="17">
        <v>709.27</v>
      </c>
      <c r="D194" s="23" t="s">
        <v>99</v>
      </c>
      <c r="E194" s="17">
        <v>36.981999999999999</v>
      </c>
      <c r="F194" s="17">
        <v>746.25199999999995</v>
      </c>
      <c r="G194" s="17">
        <v>235.541</v>
      </c>
      <c r="H194" s="17">
        <v>24.518999999999998</v>
      </c>
      <c r="I194" s="17">
        <v>-76.683999999999997</v>
      </c>
      <c r="J194" s="17">
        <v>183.376</v>
      </c>
      <c r="K194" s="26">
        <v>257.05799999999999</v>
      </c>
      <c r="L194" s="17">
        <v>440.43400000000003</v>
      </c>
      <c r="M194" s="152">
        <v>305.81799999999998</v>
      </c>
      <c r="N194" s="150"/>
    </row>
    <row r="195" spans="1:14">
      <c r="A195" s="150"/>
      <c r="B195" s="22" t="s">
        <v>98</v>
      </c>
      <c r="C195" s="17">
        <v>456.15300000000002</v>
      </c>
      <c r="D195" s="17">
        <v>2051.0880000000002</v>
      </c>
      <c r="E195" s="17">
        <v>112.631</v>
      </c>
      <c r="F195" s="17">
        <v>2619.8720000000003</v>
      </c>
      <c r="G195" s="17">
        <v>947.86500000000001</v>
      </c>
      <c r="H195" s="17">
        <v>87.614999999999995</v>
      </c>
      <c r="I195" s="17">
        <v>15.962</v>
      </c>
      <c r="J195" s="17">
        <v>1051.442</v>
      </c>
      <c r="K195" s="26">
        <v>1262.6120000000001</v>
      </c>
      <c r="L195" s="17">
        <v>2314.0540000000001</v>
      </c>
      <c r="M195" s="152">
        <v>305.81799999999998</v>
      </c>
      <c r="N195" s="150"/>
    </row>
    <row r="196" spans="1:14">
      <c r="A196" s="151" t="s">
        <v>36</v>
      </c>
      <c r="B196" s="22" t="s">
        <v>125</v>
      </c>
      <c r="C196" s="17">
        <v>305.81799999999998</v>
      </c>
      <c r="D196" s="17">
        <v>2511.8960000000002</v>
      </c>
      <c r="E196" s="17">
        <v>27.763999999999999</v>
      </c>
      <c r="F196" s="17">
        <v>2845.4780000000001</v>
      </c>
      <c r="G196" s="17">
        <v>236.19900000000001</v>
      </c>
      <c r="H196" s="17">
        <v>1.486</v>
      </c>
      <c r="I196" s="17">
        <v>405.40800000000002</v>
      </c>
      <c r="J196" s="17">
        <v>643.09299999999996</v>
      </c>
      <c r="K196" s="26">
        <v>344.50200000000001</v>
      </c>
      <c r="L196" s="17">
        <v>987.59500000000003</v>
      </c>
      <c r="M196" s="152">
        <v>1857.883</v>
      </c>
      <c r="N196" s="150"/>
    </row>
    <row r="197" spans="1:14">
      <c r="A197" s="150"/>
      <c r="B197" s="22" t="s">
        <v>126</v>
      </c>
      <c r="C197" s="17">
        <v>1857.883</v>
      </c>
      <c r="D197" s="23" t="s">
        <v>99</v>
      </c>
      <c r="E197" s="17">
        <v>27.792000000000002</v>
      </c>
      <c r="F197" s="17">
        <v>1885.675</v>
      </c>
      <c r="G197" s="17">
        <v>238.42</v>
      </c>
      <c r="H197" s="17">
        <v>54.134999999999998</v>
      </c>
      <c r="I197" s="17">
        <v>-123.566</v>
      </c>
      <c r="J197" s="17">
        <v>168.989</v>
      </c>
      <c r="K197" s="26">
        <v>294.59699999999998</v>
      </c>
      <c r="L197" s="17">
        <v>463.58600000000001</v>
      </c>
      <c r="M197" s="152">
        <v>1422.0889999999999</v>
      </c>
      <c r="N197" s="150"/>
    </row>
    <row r="198" spans="1:14">
      <c r="A198" s="150"/>
      <c r="B198" s="22" t="s">
        <v>127</v>
      </c>
      <c r="C198" s="17">
        <v>1422.0889999999999</v>
      </c>
      <c r="D198" s="23" t="s">
        <v>99</v>
      </c>
      <c r="E198" s="17">
        <v>36.401000000000003</v>
      </c>
      <c r="F198" s="17">
        <v>1458.49</v>
      </c>
      <c r="G198" s="17">
        <v>219.44499999999999</v>
      </c>
      <c r="H198" s="17">
        <v>1.4670000000000001</v>
      </c>
      <c r="I198" s="17">
        <v>27.594999999999999</v>
      </c>
      <c r="J198" s="17">
        <v>248.50700000000001</v>
      </c>
      <c r="K198" s="26">
        <v>169.91900000000001</v>
      </c>
      <c r="L198" s="17">
        <v>418.42599999999999</v>
      </c>
      <c r="M198" s="152">
        <v>1040.0640000000001</v>
      </c>
      <c r="N198" s="150"/>
    </row>
    <row r="199" spans="1:14">
      <c r="A199" s="150"/>
      <c r="B199" s="22" t="s">
        <v>128</v>
      </c>
      <c r="C199" s="17">
        <v>1040.0640000000001</v>
      </c>
      <c r="D199" s="23" t="s">
        <v>99</v>
      </c>
      <c r="E199" s="17">
        <v>35.014000000000003</v>
      </c>
      <c r="F199" s="17">
        <v>1075.078</v>
      </c>
      <c r="G199" s="17">
        <v>232.70500000000001</v>
      </c>
      <c r="H199" s="17">
        <v>20.646000000000001</v>
      </c>
      <c r="I199" s="17">
        <v>-41.174999999999997</v>
      </c>
      <c r="J199" s="17">
        <v>212.17599999999999</v>
      </c>
      <c r="K199" s="26">
        <v>206.39699999999999</v>
      </c>
      <c r="L199" s="17">
        <v>418.57299999999998</v>
      </c>
      <c r="M199" s="152">
        <v>656.505</v>
      </c>
      <c r="N199" s="150"/>
    </row>
    <row r="200" spans="1:14">
      <c r="A200" s="150"/>
      <c r="B200" s="22" t="s">
        <v>98</v>
      </c>
      <c r="C200" s="17">
        <v>305.81799999999998</v>
      </c>
      <c r="D200" s="17">
        <v>2511.8960000000002</v>
      </c>
      <c r="E200" s="17">
        <v>126.971</v>
      </c>
      <c r="F200" s="17">
        <v>2944.6850000000004</v>
      </c>
      <c r="G200" s="17">
        <v>926.76900000000001</v>
      </c>
      <c r="H200" s="17">
        <v>77.733999999999995</v>
      </c>
      <c r="I200" s="17">
        <v>268.262</v>
      </c>
      <c r="J200" s="17">
        <v>1272.7650000000001</v>
      </c>
      <c r="K200" s="26">
        <v>1015.415</v>
      </c>
      <c r="L200" s="17">
        <v>2288.1799999999998</v>
      </c>
      <c r="M200" s="152">
        <v>656.505</v>
      </c>
      <c r="N200" s="150"/>
    </row>
    <row r="201" spans="1:14">
      <c r="A201" s="151" t="s">
        <v>37</v>
      </c>
      <c r="B201" s="22" t="s">
        <v>125</v>
      </c>
      <c r="C201" s="17">
        <v>656.505</v>
      </c>
      <c r="D201" s="17">
        <v>2208.9180000000001</v>
      </c>
      <c r="E201" s="17">
        <v>27.611999999999998</v>
      </c>
      <c r="F201" s="17">
        <v>2893.0349999999999</v>
      </c>
      <c r="G201" s="17">
        <v>231.21700000000001</v>
      </c>
      <c r="H201" s="17">
        <v>1.4379999999999999</v>
      </c>
      <c r="I201" s="17">
        <v>251.376</v>
      </c>
      <c r="J201" s="17">
        <v>484.03100000000001</v>
      </c>
      <c r="K201" s="26">
        <v>199.666</v>
      </c>
      <c r="L201" s="17">
        <v>683.697</v>
      </c>
      <c r="M201" s="152">
        <v>2209.3380000000002</v>
      </c>
      <c r="N201" s="150"/>
    </row>
    <row r="202" spans="1:14">
      <c r="A202" s="150"/>
      <c r="B202" s="22" t="s">
        <v>126</v>
      </c>
      <c r="C202" s="17">
        <v>2209.3380000000002</v>
      </c>
      <c r="D202" s="23" t="s">
        <v>99</v>
      </c>
      <c r="E202" s="17">
        <v>24.262</v>
      </c>
      <c r="F202" s="17">
        <v>2233.6000000000004</v>
      </c>
      <c r="G202" s="17">
        <v>236.946</v>
      </c>
      <c r="H202" s="17">
        <v>44.32</v>
      </c>
      <c r="I202" s="17">
        <v>-81.435000000000002</v>
      </c>
      <c r="J202" s="17">
        <v>199.83099999999999</v>
      </c>
      <c r="K202" s="26">
        <v>252.078</v>
      </c>
      <c r="L202" s="17">
        <v>451.90899999999999</v>
      </c>
      <c r="M202" s="152">
        <v>1781.691</v>
      </c>
      <c r="N202" s="150"/>
    </row>
    <row r="203" spans="1:14">
      <c r="A203" s="150"/>
      <c r="B203" s="22" t="s">
        <v>127</v>
      </c>
      <c r="C203" s="17">
        <v>1781.691</v>
      </c>
      <c r="D203" s="23" t="s">
        <v>99</v>
      </c>
      <c r="E203" s="17">
        <v>29.888000000000002</v>
      </c>
      <c r="F203" s="17">
        <v>1811.579</v>
      </c>
      <c r="G203" s="17">
        <v>221.643</v>
      </c>
      <c r="H203" s="17">
        <v>1.105</v>
      </c>
      <c r="I203" s="17">
        <v>31.457999999999998</v>
      </c>
      <c r="J203" s="17">
        <v>254.20599999999999</v>
      </c>
      <c r="K203" s="26">
        <v>201.01599999999999</v>
      </c>
      <c r="L203" s="17">
        <v>455.22199999999998</v>
      </c>
      <c r="M203" s="152">
        <v>1356.357</v>
      </c>
      <c r="N203" s="150"/>
    </row>
    <row r="204" spans="1:14">
      <c r="A204" s="150"/>
      <c r="B204" s="22" t="s">
        <v>128</v>
      </c>
      <c r="C204" s="17">
        <v>1356.357</v>
      </c>
      <c r="D204" s="23" t="s">
        <v>99</v>
      </c>
      <c r="E204" s="17">
        <v>36.828000000000003</v>
      </c>
      <c r="F204" s="17">
        <v>1393.1849999999999</v>
      </c>
      <c r="G204" s="17">
        <v>229.114</v>
      </c>
      <c r="H204" s="17">
        <v>21.1</v>
      </c>
      <c r="I204" s="17">
        <v>-59.203000000000003</v>
      </c>
      <c r="J204" s="17">
        <v>191.011</v>
      </c>
      <c r="K204" s="26">
        <v>226.53700000000001</v>
      </c>
      <c r="L204" s="17">
        <v>417.548</v>
      </c>
      <c r="M204" s="152">
        <v>975.63699999999994</v>
      </c>
      <c r="N204" s="150"/>
    </row>
    <row r="205" spans="1:14">
      <c r="A205" s="150"/>
      <c r="B205" s="22" t="s">
        <v>98</v>
      </c>
      <c r="C205" s="17">
        <v>656.505</v>
      </c>
      <c r="D205" s="17">
        <v>2208.9180000000001</v>
      </c>
      <c r="E205" s="17">
        <v>118.59</v>
      </c>
      <c r="F205" s="17">
        <v>2984.0130000000004</v>
      </c>
      <c r="G205" s="17">
        <v>918.92</v>
      </c>
      <c r="H205" s="17">
        <v>67.962999999999994</v>
      </c>
      <c r="I205" s="17">
        <v>142.196</v>
      </c>
      <c r="J205" s="17">
        <v>1129.079</v>
      </c>
      <c r="K205" s="26">
        <v>879.29700000000003</v>
      </c>
      <c r="L205" s="17">
        <v>2008.376</v>
      </c>
      <c r="M205" s="152">
        <v>975.63699999999994</v>
      </c>
      <c r="N205" s="150"/>
    </row>
    <row r="206" spans="1:14">
      <c r="A206" s="151" t="s">
        <v>38</v>
      </c>
      <c r="B206" s="22" t="s">
        <v>125</v>
      </c>
      <c r="C206" s="17">
        <v>975.63699999999994</v>
      </c>
      <c r="D206" s="17">
        <v>2163.0230000000001</v>
      </c>
      <c r="E206" s="17">
        <v>27.498000000000001</v>
      </c>
      <c r="F206" s="17">
        <v>3166.1580000000004</v>
      </c>
      <c r="G206" s="17">
        <v>234.76499999999999</v>
      </c>
      <c r="H206" s="17">
        <v>1.496</v>
      </c>
      <c r="I206" s="17">
        <v>215.018</v>
      </c>
      <c r="J206" s="17">
        <v>451.279</v>
      </c>
      <c r="K206" s="26">
        <v>265.262</v>
      </c>
      <c r="L206" s="17">
        <v>716.54100000000005</v>
      </c>
      <c r="M206" s="152">
        <v>2449.6170000000002</v>
      </c>
      <c r="N206" s="150"/>
    </row>
    <row r="207" spans="1:14">
      <c r="A207" s="150"/>
      <c r="B207" s="22" t="s">
        <v>126</v>
      </c>
      <c r="C207" s="17">
        <v>2449.6170000000002</v>
      </c>
      <c r="D207" s="23" t="s">
        <v>99</v>
      </c>
      <c r="E207" s="17">
        <v>23.763000000000002</v>
      </c>
      <c r="F207" s="17">
        <v>2473.38</v>
      </c>
      <c r="G207" s="17">
        <v>241.76499999999999</v>
      </c>
      <c r="H207" s="17">
        <v>51.426000000000002</v>
      </c>
      <c r="I207" s="17">
        <v>-63.290999999999997</v>
      </c>
      <c r="J207" s="17">
        <v>229.9</v>
      </c>
      <c r="K207" s="26">
        <v>310.53399999999999</v>
      </c>
      <c r="L207" s="17">
        <v>540.43399999999997</v>
      </c>
      <c r="M207" s="152">
        <v>1932.9459999999999</v>
      </c>
      <c r="N207" s="150"/>
    </row>
    <row r="208" spans="1:14">
      <c r="A208" s="150"/>
      <c r="B208" s="22" t="s">
        <v>127</v>
      </c>
      <c r="C208" s="17">
        <v>1932.9459999999999</v>
      </c>
      <c r="D208" s="23" t="s">
        <v>99</v>
      </c>
      <c r="E208" s="17">
        <v>23.297999999999998</v>
      </c>
      <c r="F208" s="17">
        <v>1956.2439999999999</v>
      </c>
      <c r="G208" s="17">
        <v>220.89599999999999</v>
      </c>
      <c r="H208" s="17">
        <v>1.3280000000000001</v>
      </c>
      <c r="I208" s="17">
        <v>0.36599999999999999</v>
      </c>
      <c r="J208" s="17">
        <v>222.59</v>
      </c>
      <c r="K208" s="26">
        <v>308.35199999999998</v>
      </c>
      <c r="L208" s="17">
        <v>530.94200000000001</v>
      </c>
      <c r="M208" s="152">
        <v>1425.3019999999999</v>
      </c>
      <c r="N208" s="150"/>
    </row>
    <row r="209" spans="1:14">
      <c r="A209" s="150"/>
      <c r="B209" s="22" t="s">
        <v>128</v>
      </c>
      <c r="C209" s="17">
        <v>1425.3019999999999</v>
      </c>
      <c r="D209" s="23" t="s">
        <v>99</v>
      </c>
      <c r="E209" s="17">
        <v>22.359000000000002</v>
      </c>
      <c r="F209" s="17">
        <v>1447.6609999999998</v>
      </c>
      <c r="G209" s="17">
        <v>228.215</v>
      </c>
      <c r="H209" s="17">
        <v>16.411000000000001</v>
      </c>
      <c r="I209" s="17">
        <v>-67.260999999999996</v>
      </c>
      <c r="J209" s="17">
        <v>177.36500000000001</v>
      </c>
      <c r="K209" s="26">
        <v>407.298</v>
      </c>
      <c r="L209" s="17">
        <v>584.66300000000001</v>
      </c>
      <c r="M209" s="152">
        <v>862.99800000000005</v>
      </c>
      <c r="N209" s="150"/>
    </row>
    <row r="210" spans="1:14">
      <c r="A210" s="150"/>
      <c r="B210" s="22" t="s">
        <v>98</v>
      </c>
      <c r="C210" s="17">
        <v>975.63699999999994</v>
      </c>
      <c r="D210" s="17">
        <v>2163.0230000000001</v>
      </c>
      <c r="E210" s="17">
        <v>96.918000000000006</v>
      </c>
      <c r="F210" s="17">
        <v>3235.578</v>
      </c>
      <c r="G210" s="17">
        <v>925.64099999999996</v>
      </c>
      <c r="H210" s="17">
        <v>70.661000000000001</v>
      </c>
      <c r="I210" s="17">
        <v>84.831999999999994</v>
      </c>
      <c r="J210" s="17">
        <v>1081.134</v>
      </c>
      <c r="K210" s="26">
        <v>1291.4459999999999</v>
      </c>
      <c r="L210" s="17">
        <v>2372.58</v>
      </c>
      <c r="M210" s="152">
        <v>862.99800000000005</v>
      </c>
      <c r="N210" s="150"/>
    </row>
    <row r="211" spans="1:14">
      <c r="A211" s="151" t="s">
        <v>39</v>
      </c>
      <c r="B211" s="22" t="s">
        <v>125</v>
      </c>
      <c r="C211" s="17">
        <v>862.99800000000005</v>
      </c>
      <c r="D211" s="17">
        <v>1993.1110000000001</v>
      </c>
      <c r="E211" s="17">
        <v>20.821000000000002</v>
      </c>
      <c r="F211" s="17">
        <v>2876.93</v>
      </c>
      <c r="G211" s="17">
        <v>230</v>
      </c>
      <c r="H211" s="17">
        <v>4.681</v>
      </c>
      <c r="I211" s="17">
        <v>200.78100000000001</v>
      </c>
      <c r="J211" s="17">
        <v>435.46199999999999</v>
      </c>
      <c r="K211" s="26">
        <v>294.79899999999998</v>
      </c>
      <c r="L211" s="17">
        <v>730.26099999999997</v>
      </c>
      <c r="M211" s="152">
        <v>2146.6689999999999</v>
      </c>
      <c r="N211" s="150"/>
    </row>
    <row r="212" spans="1:14">
      <c r="A212" s="150"/>
      <c r="B212" s="22" t="s">
        <v>126</v>
      </c>
      <c r="C212" s="17">
        <v>2146.6689999999999</v>
      </c>
      <c r="D212" s="23" t="s">
        <v>99</v>
      </c>
      <c r="E212" s="17">
        <v>32.268999999999998</v>
      </c>
      <c r="F212" s="17">
        <v>2178.9379999999996</v>
      </c>
      <c r="G212" s="17">
        <v>244</v>
      </c>
      <c r="H212" s="17">
        <v>50.954000000000001</v>
      </c>
      <c r="I212" s="17">
        <v>-16.443000000000001</v>
      </c>
      <c r="J212" s="17">
        <v>278.51100000000002</v>
      </c>
      <c r="K212" s="26">
        <v>237.90899999999999</v>
      </c>
      <c r="L212" s="17">
        <v>516.41999999999996</v>
      </c>
      <c r="M212" s="152">
        <v>1662.518</v>
      </c>
      <c r="N212" s="150"/>
    </row>
    <row r="213" spans="1:14">
      <c r="A213" s="150"/>
      <c r="B213" s="22" t="s">
        <v>127</v>
      </c>
      <c r="C213" s="17">
        <v>1662.518</v>
      </c>
      <c r="D213" s="23" t="s">
        <v>99</v>
      </c>
      <c r="E213" s="17">
        <v>30.355</v>
      </c>
      <c r="F213" s="17">
        <v>1692.873</v>
      </c>
      <c r="G213" s="17">
        <v>230.91900000000001</v>
      </c>
      <c r="H213" s="17">
        <v>1.405</v>
      </c>
      <c r="I213" s="17">
        <v>43.889000000000003</v>
      </c>
      <c r="J213" s="17">
        <v>276.21300000000002</v>
      </c>
      <c r="K213" s="26">
        <v>217.315</v>
      </c>
      <c r="L213" s="17">
        <v>493.52800000000002</v>
      </c>
      <c r="M213" s="152">
        <v>1199.345</v>
      </c>
      <c r="N213" s="150"/>
    </row>
    <row r="214" spans="1:14">
      <c r="A214" s="150"/>
      <c r="B214" s="22" t="s">
        <v>128</v>
      </c>
      <c r="C214" s="17">
        <v>1199.345</v>
      </c>
      <c r="D214" s="23" t="s">
        <v>99</v>
      </c>
      <c r="E214" s="17">
        <v>29.670999999999999</v>
      </c>
      <c r="F214" s="17">
        <v>1229.0160000000001</v>
      </c>
      <c r="G214" s="17">
        <v>236.46799999999999</v>
      </c>
      <c r="H214" s="17">
        <v>18.547999999999998</v>
      </c>
      <c r="I214" s="17">
        <v>-69.688000000000002</v>
      </c>
      <c r="J214" s="17">
        <v>185.328</v>
      </c>
      <c r="K214" s="26">
        <v>301.06799999999998</v>
      </c>
      <c r="L214" s="17">
        <v>486.39600000000002</v>
      </c>
      <c r="M214" s="152">
        <v>742.62</v>
      </c>
      <c r="N214" s="150"/>
    </row>
    <row r="215" spans="1:14">
      <c r="A215" s="150"/>
      <c r="B215" s="22" t="s">
        <v>98</v>
      </c>
      <c r="C215" s="17">
        <v>862.99800000000005</v>
      </c>
      <c r="D215" s="17">
        <v>1993.1110000000001</v>
      </c>
      <c r="E215" s="17">
        <v>113.116</v>
      </c>
      <c r="F215" s="17">
        <v>2969.2250000000004</v>
      </c>
      <c r="G215" s="17">
        <v>941.38699999999994</v>
      </c>
      <c r="H215" s="17">
        <v>75.587999999999994</v>
      </c>
      <c r="I215" s="17">
        <v>158.53899999999999</v>
      </c>
      <c r="J215" s="17">
        <v>1175.5139999999999</v>
      </c>
      <c r="K215" s="26">
        <v>1051.0909999999999</v>
      </c>
      <c r="L215" s="17">
        <v>2226.605</v>
      </c>
      <c r="M215" s="152">
        <v>742.62</v>
      </c>
      <c r="N215" s="150"/>
    </row>
    <row r="216" spans="1:14">
      <c r="A216" s="151" t="s">
        <v>40</v>
      </c>
      <c r="B216" s="22" t="s">
        <v>125</v>
      </c>
      <c r="C216" s="17">
        <v>742.62</v>
      </c>
      <c r="D216" s="17">
        <v>2252.3069999999998</v>
      </c>
      <c r="E216" s="17">
        <v>25.510999999999999</v>
      </c>
      <c r="F216" s="17">
        <v>3020.4379999999996</v>
      </c>
      <c r="G216" s="17">
        <v>237.59800000000001</v>
      </c>
      <c r="H216" s="17">
        <v>1.3919999999999999</v>
      </c>
      <c r="I216" s="17">
        <v>402.67200000000003</v>
      </c>
      <c r="J216" s="17">
        <v>641.66200000000003</v>
      </c>
      <c r="K216" s="26">
        <v>263.66699999999997</v>
      </c>
      <c r="L216" s="17">
        <v>905.32899999999995</v>
      </c>
      <c r="M216" s="152">
        <v>2115.1089999999999</v>
      </c>
      <c r="N216" s="150"/>
    </row>
    <row r="217" spans="1:14">
      <c r="A217" s="150"/>
      <c r="B217" s="22" t="s">
        <v>126</v>
      </c>
      <c r="C217" s="17">
        <v>2115.1089999999999</v>
      </c>
      <c r="D217" s="23" t="s">
        <v>99</v>
      </c>
      <c r="E217" s="17">
        <v>32.936999999999998</v>
      </c>
      <c r="F217" s="17">
        <v>2148.0459999999998</v>
      </c>
      <c r="G217" s="17">
        <v>246.59700000000001</v>
      </c>
      <c r="H217" s="17">
        <v>55.357999999999997</v>
      </c>
      <c r="I217" s="17">
        <v>-22.38</v>
      </c>
      <c r="J217" s="17">
        <v>279.57499999999999</v>
      </c>
      <c r="K217" s="26">
        <v>197.892</v>
      </c>
      <c r="L217" s="17">
        <v>477.46699999999998</v>
      </c>
      <c r="M217" s="152">
        <v>1670.579</v>
      </c>
      <c r="N217" s="150"/>
    </row>
    <row r="218" spans="1:14">
      <c r="A218" s="150"/>
      <c r="B218" s="22" t="s">
        <v>127</v>
      </c>
      <c r="C218" s="17">
        <v>1670.579</v>
      </c>
      <c r="D218" s="23" t="s">
        <v>99</v>
      </c>
      <c r="E218" s="17">
        <v>34.695</v>
      </c>
      <c r="F218" s="17">
        <v>1705.2739999999999</v>
      </c>
      <c r="G218" s="17">
        <v>228.96899999999999</v>
      </c>
      <c r="H218" s="17">
        <v>1.377</v>
      </c>
      <c r="I218" s="17">
        <v>4.9450000000000003</v>
      </c>
      <c r="J218" s="17">
        <v>235.291</v>
      </c>
      <c r="K218" s="26">
        <v>235.15299999999999</v>
      </c>
      <c r="L218" s="17">
        <v>470.44400000000002</v>
      </c>
      <c r="M218" s="152">
        <v>1234.83</v>
      </c>
      <c r="N218" s="150"/>
    </row>
    <row r="219" spans="1:14">
      <c r="A219" s="150"/>
      <c r="B219" s="22" t="s">
        <v>128</v>
      </c>
      <c r="C219" s="17">
        <v>1234.83</v>
      </c>
      <c r="D219" s="23" t="s">
        <v>99</v>
      </c>
      <c r="E219" s="17">
        <v>31.173999999999999</v>
      </c>
      <c r="F219" s="17">
        <v>1266.0039999999999</v>
      </c>
      <c r="G219" s="17">
        <v>237.648</v>
      </c>
      <c r="H219" s="17">
        <v>15.01</v>
      </c>
      <c r="I219" s="17">
        <v>-19.896999999999998</v>
      </c>
      <c r="J219" s="17">
        <v>232.761</v>
      </c>
      <c r="K219" s="26">
        <v>315.35399999999998</v>
      </c>
      <c r="L219" s="17">
        <v>548.11500000000001</v>
      </c>
      <c r="M219" s="152">
        <v>717.88900000000001</v>
      </c>
      <c r="N219" s="150"/>
    </row>
    <row r="220" spans="1:14">
      <c r="A220" s="150"/>
      <c r="B220" s="22" t="s">
        <v>98</v>
      </c>
      <c r="C220" s="17">
        <v>742.62</v>
      </c>
      <c r="D220" s="17">
        <v>2252.3069999999998</v>
      </c>
      <c r="E220" s="17">
        <v>124.31699999999999</v>
      </c>
      <c r="F220" s="17">
        <v>3119.2439999999997</v>
      </c>
      <c r="G220" s="17">
        <v>950.81200000000001</v>
      </c>
      <c r="H220" s="17">
        <v>73.137</v>
      </c>
      <c r="I220" s="17">
        <v>365.34</v>
      </c>
      <c r="J220" s="17">
        <v>1389.289</v>
      </c>
      <c r="K220" s="26">
        <v>1012.066</v>
      </c>
      <c r="L220" s="17">
        <v>2401.355</v>
      </c>
      <c r="M220" s="152">
        <v>717.88900000000001</v>
      </c>
      <c r="N220" s="150"/>
    </row>
    <row r="221" spans="1:14">
      <c r="A221" s="151" t="s">
        <v>41</v>
      </c>
      <c r="B221" s="22" t="s">
        <v>125</v>
      </c>
      <c r="C221" s="17">
        <v>717.88900000000001</v>
      </c>
      <c r="D221" s="17">
        <v>2134.9789999999998</v>
      </c>
      <c r="E221" s="17">
        <v>35.655000000000001</v>
      </c>
      <c r="F221" s="17">
        <v>2888.5229999999997</v>
      </c>
      <c r="G221" s="17">
        <v>234.82300000000001</v>
      </c>
      <c r="H221" s="17">
        <v>4.117</v>
      </c>
      <c r="I221" s="17">
        <v>422.41199999999998</v>
      </c>
      <c r="J221" s="17">
        <v>661.35199999999998</v>
      </c>
      <c r="K221" s="26">
        <v>357.53399999999999</v>
      </c>
      <c r="L221" s="17">
        <v>1018.886</v>
      </c>
      <c r="M221" s="152">
        <v>1869.6369999999999</v>
      </c>
      <c r="N221" s="150"/>
    </row>
    <row r="222" spans="1:14">
      <c r="A222" s="150"/>
      <c r="B222" s="22" t="s">
        <v>126</v>
      </c>
      <c r="C222" s="17">
        <v>1869.6369999999999</v>
      </c>
      <c r="D222" s="23" t="s">
        <v>99</v>
      </c>
      <c r="E222" s="17">
        <v>48.024999999999999</v>
      </c>
      <c r="F222" s="17">
        <v>1917.662</v>
      </c>
      <c r="G222" s="17">
        <v>249.3</v>
      </c>
      <c r="H222" s="17">
        <v>52.658999999999999</v>
      </c>
      <c r="I222" s="17">
        <v>-167.96700000000001</v>
      </c>
      <c r="J222" s="17">
        <v>133.99199999999999</v>
      </c>
      <c r="K222" s="26">
        <v>308.81900000000002</v>
      </c>
      <c r="L222" s="17">
        <v>442.81099999999998</v>
      </c>
      <c r="M222" s="152">
        <v>1474.8510000000001</v>
      </c>
      <c r="N222" s="150"/>
    </row>
    <row r="223" spans="1:14">
      <c r="A223" s="150"/>
      <c r="B223" s="22" t="s">
        <v>127</v>
      </c>
      <c r="C223" s="17">
        <v>1474.8510000000001</v>
      </c>
      <c r="D223" s="23" t="s">
        <v>99</v>
      </c>
      <c r="E223" s="17">
        <v>42.039000000000001</v>
      </c>
      <c r="F223" s="17">
        <v>1516.89</v>
      </c>
      <c r="G223" s="17">
        <v>231.07599999999999</v>
      </c>
      <c r="H223" s="17">
        <v>1.944</v>
      </c>
      <c r="I223" s="17">
        <v>-0.84599999999999997</v>
      </c>
      <c r="J223" s="17">
        <v>232.17400000000001</v>
      </c>
      <c r="K223" s="26">
        <v>227.751</v>
      </c>
      <c r="L223" s="17">
        <v>459.92500000000001</v>
      </c>
      <c r="M223" s="152">
        <v>1056.9649999999999</v>
      </c>
      <c r="N223" s="150"/>
    </row>
    <row r="224" spans="1:14">
      <c r="A224" s="150"/>
      <c r="B224" s="22" t="s">
        <v>128</v>
      </c>
      <c r="C224" s="17">
        <v>1056.9649999999999</v>
      </c>
      <c r="D224" s="23" t="s">
        <v>99</v>
      </c>
      <c r="E224" s="17">
        <v>46.747999999999998</v>
      </c>
      <c r="F224" s="17">
        <v>1103.713</v>
      </c>
      <c r="G224" s="17">
        <v>239.904</v>
      </c>
      <c r="H224" s="17">
        <v>16.843</v>
      </c>
      <c r="I224" s="17">
        <v>-25.436</v>
      </c>
      <c r="J224" s="17">
        <v>231.31100000000001</v>
      </c>
      <c r="K224" s="26">
        <v>282.11900000000003</v>
      </c>
      <c r="L224" s="17">
        <v>513.42999999999995</v>
      </c>
      <c r="M224" s="152">
        <v>590.28300000000002</v>
      </c>
      <c r="N224" s="150"/>
    </row>
    <row r="225" spans="1:14">
      <c r="A225" s="150"/>
      <c r="B225" s="22" t="s">
        <v>98</v>
      </c>
      <c r="C225" s="17">
        <v>717.88900000000001</v>
      </c>
      <c r="D225" s="17">
        <v>2134.9789999999998</v>
      </c>
      <c r="E225" s="17">
        <v>172.46700000000001</v>
      </c>
      <c r="F225" s="17">
        <v>3025.335</v>
      </c>
      <c r="G225" s="17">
        <v>955.10299999999995</v>
      </c>
      <c r="H225" s="17">
        <v>75.563000000000002</v>
      </c>
      <c r="I225" s="17">
        <v>228.16300000000001</v>
      </c>
      <c r="J225" s="17">
        <v>1258.829</v>
      </c>
      <c r="K225" s="26">
        <v>1176.223</v>
      </c>
      <c r="L225" s="17">
        <v>2435.0520000000001</v>
      </c>
      <c r="M225" s="152">
        <v>590.28300000000002</v>
      </c>
      <c r="N225" s="150"/>
    </row>
    <row r="226" spans="1:14">
      <c r="A226" s="151" t="s">
        <v>42</v>
      </c>
      <c r="B226" s="22" t="s">
        <v>125</v>
      </c>
      <c r="C226" s="17">
        <v>590.28300000000002</v>
      </c>
      <c r="D226" s="17">
        <v>2026.31</v>
      </c>
      <c r="E226" s="17">
        <v>44.167000000000002</v>
      </c>
      <c r="F226" s="17">
        <v>2660.76</v>
      </c>
      <c r="G226" s="17">
        <v>238.91800000000001</v>
      </c>
      <c r="H226" s="17">
        <v>6.4180000000000001</v>
      </c>
      <c r="I226" s="17">
        <v>255.69399999999999</v>
      </c>
      <c r="J226" s="17">
        <v>501.03</v>
      </c>
      <c r="K226" s="26">
        <v>252.51</v>
      </c>
      <c r="L226" s="17">
        <v>753.54</v>
      </c>
      <c r="M226" s="152">
        <v>1907.22</v>
      </c>
      <c r="N226" s="150"/>
    </row>
    <row r="227" spans="1:14">
      <c r="A227" s="150"/>
      <c r="B227" s="22" t="s">
        <v>126</v>
      </c>
      <c r="C227" s="17">
        <v>1907.22</v>
      </c>
      <c r="D227" s="23" t="s">
        <v>99</v>
      </c>
      <c r="E227" s="17">
        <v>34.551000000000002</v>
      </c>
      <c r="F227" s="17">
        <v>1941.771</v>
      </c>
      <c r="G227" s="17">
        <v>248.18700000000001</v>
      </c>
      <c r="H227" s="17">
        <v>48.802</v>
      </c>
      <c r="I227" s="17">
        <v>-92.584999999999994</v>
      </c>
      <c r="J227" s="17">
        <v>204.404</v>
      </c>
      <c r="K227" s="26">
        <v>207.73699999999999</v>
      </c>
      <c r="L227" s="17">
        <v>412.14100000000002</v>
      </c>
      <c r="M227" s="152">
        <v>1529.63</v>
      </c>
      <c r="N227" s="150"/>
    </row>
    <row r="228" spans="1:14">
      <c r="A228" s="150"/>
      <c r="B228" s="22" t="s">
        <v>127</v>
      </c>
      <c r="C228" s="17">
        <v>1529.63</v>
      </c>
      <c r="D228" s="23" t="s">
        <v>99</v>
      </c>
      <c r="E228" s="17">
        <v>36.732999999999997</v>
      </c>
      <c r="F228" s="17">
        <v>1566.3630000000001</v>
      </c>
      <c r="G228" s="17">
        <v>230.84700000000001</v>
      </c>
      <c r="H228" s="17">
        <v>2.105</v>
      </c>
      <c r="I228" s="17">
        <v>7.9279999999999999</v>
      </c>
      <c r="J228" s="17">
        <v>240.88</v>
      </c>
      <c r="K228" s="26">
        <v>185.07599999999999</v>
      </c>
      <c r="L228" s="17">
        <v>425.95600000000002</v>
      </c>
      <c r="M228" s="152">
        <v>1140.4069999999999</v>
      </c>
      <c r="N228" s="150"/>
    </row>
    <row r="229" spans="1:14">
      <c r="A229" s="150"/>
      <c r="B229" s="22" t="s">
        <v>128</v>
      </c>
      <c r="C229" s="17">
        <v>1140.4069999999999</v>
      </c>
      <c r="D229" s="23" t="s">
        <v>99</v>
      </c>
      <c r="E229" s="17">
        <v>35.798000000000002</v>
      </c>
      <c r="F229" s="17">
        <v>1176.2049999999999</v>
      </c>
      <c r="G229" s="17">
        <v>240.33600000000001</v>
      </c>
      <c r="H229" s="17">
        <v>22.088999999999999</v>
      </c>
      <c r="I229" s="17">
        <v>-57.627000000000002</v>
      </c>
      <c r="J229" s="17">
        <v>204.798</v>
      </c>
      <c r="K229" s="26">
        <v>219.01300000000001</v>
      </c>
      <c r="L229" s="17">
        <v>423.81099999999998</v>
      </c>
      <c r="M229" s="152">
        <v>752.39400000000001</v>
      </c>
      <c r="N229" s="150"/>
    </row>
    <row r="230" spans="1:14">
      <c r="A230" s="150"/>
      <c r="B230" s="22" t="s">
        <v>98</v>
      </c>
      <c r="C230" s="17">
        <v>590.28300000000002</v>
      </c>
      <c r="D230" s="17">
        <v>2026.31</v>
      </c>
      <c r="E230" s="17">
        <v>151.249</v>
      </c>
      <c r="F230" s="17">
        <v>2767.8420000000001</v>
      </c>
      <c r="G230" s="17">
        <v>958.28800000000001</v>
      </c>
      <c r="H230" s="17">
        <v>79.414000000000001</v>
      </c>
      <c r="I230" s="17">
        <v>113.41</v>
      </c>
      <c r="J230" s="17">
        <v>1151.1120000000001</v>
      </c>
      <c r="K230" s="26">
        <v>864.33600000000001</v>
      </c>
      <c r="L230" s="17">
        <v>2015.4480000000001</v>
      </c>
      <c r="M230" s="152">
        <v>752.39400000000001</v>
      </c>
      <c r="N230" s="150"/>
    </row>
    <row r="231" spans="1:14">
      <c r="A231" s="151" t="s">
        <v>43</v>
      </c>
      <c r="B231" s="22" t="s">
        <v>125</v>
      </c>
      <c r="C231" s="17">
        <v>752.39400000000001</v>
      </c>
      <c r="D231" s="17">
        <v>2061.9389999999999</v>
      </c>
      <c r="E231" s="17">
        <v>26.529</v>
      </c>
      <c r="F231" s="17">
        <v>2840.8620000000001</v>
      </c>
      <c r="G231" s="17">
        <v>240.239</v>
      </c>
      <c r="H231" s="17">
        <v>0.95599999999999996</v>
      </c>
      <c r="I231" s="17">
        <v>297.827</v>
      </c>
      <c r="J231" s="17">
        <v>539.02200000000005</v>
      </c>
      <c r="K231" s="26">
        <v>204.751</v>
      </c>
      <c r="L231" s="17">
        <v>743.77300000000002</v>
      </c>
      <c r="M231" s="152">
        <v>2097.0889999999999</v>
      </c>
      <c r="N231" s="150"/>
    </row>
    <row r="232" spans="1:14">
      <c r="A232" s="150"/>
      <c r="B232" s="22" t="s">
        <v>126</v>
      </c>
      <c r="C232" s="17">
        <v>2097.0889999999999</v>
      </c>
      <c r="D232" s="23" t="s">
        <v>99</v>
      </c>
      <c r="E232" s="17">
        <v>27.016999999999999</v>
      </c>
      <c r="F232" s="17">
        <v>2124.1059999999998</v>
      </c>
      <c r="G232" s="17">
        <v>248.74100000000001</v>
      </c>
      <c r="H232" s="17">
        <v>44.23</v>
      </c>
      <c r="I232" s="17">
        <v>-107.2</v>
      </c>
      <c r="J232" s="17">
        <v>185.77099999999999</v>
      </c>
      <c r="K232" s="26">
        <v>192.428</v>
      </c>
      <c r="L232" s="17">
        <v>378.19900000000001</v>
      </c>
      <c r="M232" s="152">
        <v>1745.9069999999999</v>
      </c>
      <c r="N232" s="150"/>
    </row>
    <row r="233" spans="1:14">
      <c r="A233" s="150"/>
      <c r="B233" s="22" t="s">
        <v>127</v>
      </c>
      <c r="C233" s="17">
        <v>1745.9069999999999</v>
      </c>
      <c r="D233" s="23" t="s">
        <v>99</v>
      </c>
      <c r="E233" s="17">
        <v>34.348999999999997</v>
      </c>
      <c r="F233" s="17">
        <v>1780.2559999999999</v>
      </c>
      <c r="G233" s="17">
        <v>229.53800000000001</v>
      </c>
      <c r="H233" s="17">
        <v>1.6910000000000001</v>
      </c>
      <c r="I233" s="17">
        <v>2.2160000000000002</v>
      </c>
      <c r="J233" s="17">
        <v>233.44499999999999</v>
      </c>
      <c r="K233" s="26">
        <v>175.149</v>
      </c>
      <c r="L233" s="17">
        <v>408.59399999999999</v>
      </c>
      <c r="M233" s="152">
        <v>1371.662</v>
      </c>
      <c r="N233" s="150"/>
    </row>
    <row r="234" spans="1:14">
      <c r="A234" s="150"/>
      <c r="B234" s="22" t="s">
        <v>128</v>
      </c>
      <c r="C234" s="17">
        <v>1371.662</v>
      </c>
      <c r="D234" s="23" t="s">
        <v>99</v>
      </c>
      <c r="E234" s="17">
        <v>24.83</v>
      </c>
      <c r="F234" s="17">
        <v>1396.492</v>
      </c>
      <c r="G234" s="17">
        <v>238.607</v>
      </c>
      <c r="H234" s="17">
        <v>20.283999999999999</v>
      </c>
      <c r="I234" s="17">
        <v>-43.469000000000001</v>
      </c>
      <c r="J234" s="17">
        <v>215.422</v>
      </c>
      <c r="K234" s="26">
        <v>205.4666</v>
      </c>
      <c r="L234" s="17">
        <v>420.8886</v>
      </c>
      <c r="M234" s="152">
        <v>975.60339999999997</v>
      </c>
      <c r="N234" s="150"/>
    </row>
    <row r="235" spans="1:14">
      <c r="A235" s="150"/>
      <c r="B235" s="22" t="s">
        <v>98</v>
      </c>
      <c r="C235" s="17">
        <v>752.39400000000001</v>
      </c>
      <c r="D235" s="17">
        <v>2061.9389999999999</v>
      </c>
      <c r="E235" s="17">
        <v>112.72499999999999</v>
      </c>
      <c r="F235" s="17">
        <v>2927.058</v>
      </c>
      <c r="G235" s="17">
        <v>957.125</v>
      </c>
      <c r="H235" s="17">
        <v>67.161000000000001</v>
      </c>
      <c r="I235" s="17">
        <v>149.374</v>
      </c>
      <c r="J235" s="17">
        <v>1173.6600000000001</v>
      </c>
      <c r="K235" s="26">
        <v>777.79499999999996</v>
      </c>
      <c r="L235" s="17">
        <v>1951.4549999999999</v>
      </c>
      <c r="M235" s="152">
        <v>975.60299999999995</v>
      </c>
      <c r="N235" s="150"/>
    </row>
    <row r="236" spans="1:14">
      <c r="A236" s="151" t="s">
        <v>44</v>
      </c>
      <c r="B236" s="22" t="s">
        <v>125</v>
      </c>
      <c r="C236" s="17">
        <v>975.60299999999995</v>
      </c>
      <c r="D236" s="17">
        <v>2308.723</v>
      </c>
      <c r="E236" s="17">
        <v>32.640999999999998</v>
      </c>
      <c r="F236" s="17">
        <v>3316.9670000000001</v>
      </c>
      <c r="G236" s="17">
        <v>237.62200000000001</v>
      </c>
      <c r="H236" s="17">
        <v>0.64300000000000002</v>
      </c>
      <c r="I236" s="17">
        <v>265.97000000000003</v>
      </c>
      <c r="J236" s="17">
        <v>504.23500000000001</v>
      </c>
      <c r="K236" s="26">
        <v>267.702</v>
      </c>
      <c r="L236" s="17">
        <v>771.93700000000001</v>
      </c>
      <c r="M236" s="152">
        <v>2545.0300000000002</v>
      </c>
      <c r="N236" s="150"/>
    </row>
    <row r="237" spans="1:14">
      <c r="A237" s="150"/>
      <c r="B237" s="22" t="s">
        <v>126</v>
      </c>
      <c r="C237" s="17">
        <v>2545.0300000000002</v>
      </c>
      <c r="D237" s="23" t="s">
        <v>99</v>
      </c>
      <c r="E237" s="17">
        <v>29.5</v>
      </c>
      <c r="F237" s="17">
        <v>2574.5300000000002</v>
      </c>
      <c r="G237" s="17">
        <v>245.494</v>
      </c>
      <c r="H237" s="17">
        <v>40.576999999999998</v>
      </c>
      <c r="I237" s="17">
        <v>-30.311</v>
      </c>
      <c r="J237" s="17">
        <v>255.76</v>
      </c>
      <c r="K237" s="26">
        <v>239.41</v>
      </c>
      <c r="L237" s="17">
        <v>495.17</v>
      </c>
      <c r="M237" s="152">
        <v>2079.36</v>
      </c>
      <c r="N237" s="150"/>
    </row>
    <row r="238" spans="1:14">
      <c r="A238" s="150"/>
      <c r="B238" s="22" t="s">
        <v>127</v>
      </c>
      <c r="C238" s="17">
        <v>2079.36</v>
      </c>
      <c r="D238" s="23" t="s">
        <v>99</v>
      </c>
      <c r="E238" s="17">
        <v>24.667000000000002</v>
      </c>
      <c r="F238" s="17">
        <v>2104.027</v>
      </c>
      <c r="G238" s="17">
        <v>227.88300000000001</v>
      </c>
      <c r="H238" s="17">
        <v>1.319</v>
      </c>
      <c r="I238" s="17">
        <v>-21.61</v>
      </c>
      <c r="J238" s="17">
        <v>207.59200000000001</v>
      </c>
      <c r="K238" s="26">
        <v>237.76</v>
      </c>
      <c r="L238" s="17">
        <v>445.35199999999998</v>
      </c>
      <c r="M238" s="152">
        <v>1658.675</v>
      </c>
      <c r="N238" s="150"/>
    </row>
    <row r="239" spans="1:14">
      <c r="A239" s="150"/>
      <c r="B239" s="22" t="s">
        <v>128</v>
      </c>
      <c r="C239" s="17">
        <v>1658.675</v>
      </c>
      <c r="D239" s="23" t="s">
        <v>99</v>
      </c>
      <c r="E239" s="17">
        <v>31.332000000000001</v>
      </c>
      <c r="F239" s="17">
        <v>1690.0070000000001</v>
      </c>
      <c r="G239" s="17">
        <v>237.97800000000001</v>
      </c>
      <c r="H239" s="17">
        <v>18.73</v>
      </c>
      <c r="I239" s="17">
        <v>-57.563000000000002</v>
      </c>
      <c r="J239" s="17">
        <v>199.14500000000001</v>
      </c>
      <c r="K239" s="26">
        <v>310.26</v>
      </c>
      <c r="L239" s="17">
        <v>509.40499999999997</v>
      </c>
      <c r="M239" s="152">
        <v>1180.6020000000001</v>
      </c>
      <c r="N239" s="150"/>
    </row>
    <row r="240" spans="1:14">
      <c r="A240" s="150"/>
      <c r="B240" s="22" t="s">
        <v>98</v>
      </c>
      <c r="C240" s="17">
        <v>975.60299999999995</v>
      </c>
      <c r="D240" s="17">
        <v>2308.723</v>
      </c>
      <c r="E240" s="17">
        <v>118.14</v>
      </c>
      <c r="F240" s="17">
        <v>3402.4659999999999</v>
      </c>
      <c r="G240" s="17">
        <v>948.97699999999998</v>
      </c>
      <c r="H240" s="17">
        <v>61.268999999999998</v>
      </c>
      <c r="I240" s="17">
        <v>156.48599999999999</v>
      </c>
      <c r="J240" s="17">
        <v>1166.732</v>
      </c>
      <c r="K240" s="26">
        <v>1055.1320000000001</v>
      </c>
      <c r="L240" s="17">
        <v>2221.864</v>
      </c>
      <c r="M240" s="152">
        <v>1180.6020000000001</v>
      </c>
      <c r="N240" s="150"/>
    </row>
    <row r="241" spans="1:14">
      <c r="A241" s="251" t="s">
        <v>45</v>
      </c>
      <c r="B241" s="248" t="s">
        <v>125</v>
      </c>
      <c r="C241" s="252">
        <v>1180.6020000000001</v>
      </c>
      <c r="D241" s="252">
        <v>1740.91</v>
      </c>
      <c r="E241" s="252">
        <v>42.039000000000001</v>
      </c>
      <c r="F241" s="252">
        <v>2963.5509999999999</v>
      </c>
      <c r="G241" s="252">
        <v>238.75200000000001</v>
      </c>
      <c r="H241" s="252">
        <v>0.89770000000000005</v>
      </c>
      <c r="I241" s="252">
        <v>164.7593</v>
      </c>
      <c r="J241" s="252">
        <v>404.40899999999999</v>
      </c>
      <c r="K241" s="257">
        <v>292.36700000000002</v>
      </c>
      <c r="L241" s="252">
        <v>696.77599999999995</v>
      </c>
      <c r="N241" s="252">
        <v>2266.7750000000001</v>
      </c>
    </row>
    <row r="242" spans="1:14">
      <c r="A242" s="253"/>
      <c r="B242" s="248" t="s">
        <v>126</v>
      </c>
      <c r="C242" s="252">
        <v>2266.7750000000001</v>
      </c>
      <c r="D242" s="254" t="s">
        <v>99</v>
      </c>
      <c r="E242" s="252">
        <v>35.942999999999998</v>
      </c>
      <c r="F242" s="252">
        <v>2302.7179999999998</v>
      </c>
      <c r="G242" s="252">
        <v>250.553</v>
      </c>
      <c r="H242" s="252">
        <v>40.079000000000001</v>
      </c>
      <c r="I242" s="252">
        <v>-54.710999999999999</v>
      </c>
      <c r="J242" s="252">
        <v>235.92099999999999</v>
      </c>
      <c r="K242" s="257">
        <v>193.28200000000001</v>
      </c>
      <c r="L242" s="252">
        <v>429.20299999999997</v>
      </c>
      <c r="N242" s="252">
        <v>1873.5150000000001</v>
      </c>
    </row>
    <row r="243" spans="1:14">
      <c r="A243" s="253"/>
      <c r="B243" s="248" t="s">
        <v>127</v>
      </c>
      <c r="C243" s="252">
        <v>1873.5150000000001</v>
      </c>
      <c r="D243" s="254" t="s">
        <v>99</v>
      </c>
      <c r="E243" s="252">
        <v>37.790999999999997</v>
      </c>
      <c r="F243" s="252">
        <v>1911.306</v>
      </c>
      <c r="G243" s="252">
        <v>232.86799999999999</v>
      </c>
      <c r="H243" s="252">
        <v>1.764</v>
      </c>
      <c r="I243" s="252">
        <v>-19.577999999999999</v>
      </c>
      <c r="J243" s="252">
        <v>215.054</v>
      </c>
      <c r="K243" s="257">
        <v>200.81100000000001</v>
      </c>
      <c r="L243" s="252">
        <v>415.86500000000001</v>
      </c>
      <c r="N243" s="252">
        <v>1495.441</v>
      </c>
    </row>
    <row r="244" spans="1:14">
      <c r="A244" s="253"/>
      <c r="B244" s="248" t="s">
        <v>128</v>
      </c>
      <c r="C244" s="252">
        <v>1495.441</v>
      </c>
      <c r="D244" s="254" t="s">
        <v>99</v>
      </c>
      <c r="E244" s="252">
        <v>42.210999999999999</v>
      </c>
      <c r="F244" s="252">
        <v>1537.652</v>
      </c>
      <c r="G244" s="252">
        <v>241.983</v>
      </c>
      <c r="H244" s="252">
        <v>20.635999999999999</v>
      </c>
      <c r="I244" s="252">
        <v>-43.417999999999999</v>
      </c>
      <c r="J244" s="252">
        <v>219.20099999999999</v>
      </c>
      <c r="K244" s="257">
        <v>219.56200000000001</v>
      </c>
      <c r="L244" s="252">
        <v>438.76299999999998</v>
      </c>
      <c r="N244" s="252">
        <v>1098.8889999999999</v>
      </c>
    </row>
    <row r="245" spans="1:14">
      <c r="A245" s="253"/>
      <c r="B245" s="248" t="s">
        <v>98</v>
      </c>
      <c r="C245" s="252">
        <v>1180.6020000000001</v>
      </c>
      <c r="D245" s="252">
        <v>1740.91</v>
      </c>
      <c r="E245" s="252">
        <v>157.98400000000001</v>
      </c>
      <c r="F245" s="252">
        <v>3079.4960000000001</v>
      </c>
      <c r="G245" s="252">
        <v>964.15599999999995</v>
      </c>
      <c r="H245" s="252">
        <v>63.377000000000002</v>
      </c>
      <c r="I245" s="252">
        <v>47.052</v>
      </c>
      <c r="J245" s="252">
        <v>1074.585</v>
      </c>
      <c r="K245" s="257">
        <v>906.02200000000005</v>
      </c>
      <c r="L245" s="252">
        <v>1980.607</v>
      </c>
      <c r="N245" s="252">
        <v>1098.8889999999999</v>
      </c>
    </row>
    <row r="246" spans="1:14">
      <c r="A246" s="251" t="s">
        <v>307</v>
      </c>
      <c r="B246" s="248" t="s">
        <v>125</v>
      </c>
      <c r="C246" s="252">
        <v>1098.8889999999999</v>
      </c>
      <c r="D246" s="252">
        <v>1885.1559999999999</v>
      </c>
      <c r="E246" s="252">
        <v>40.893999999999998</v>
      </c>
      <c r="F246" s="252">
        <v>3024.9389999999999</v>
      </c>
      <c r="G246" s="252">
        <v>239.26499999999999</v>
      </c>
      <c r="H246" s="252">
        <v>2.0550000000000002</v>
      </c>
      <c r="I246" s="252">
        <v>189.227</v>
      </c>
      <c r="J246" s="252">
        <v>430.54700000000003</v>
      </c>
      <c r="K246" s="257">
        <v>204.62100000000001</v>
      </c>
      <c r="L246" s="252">
        <v>635.16800000000001</v>
      </c>
      <c r="N246" s="252">
        <v>2389.7710000000002</v>
      </c>
    </row>
    <row r="247" spans="1:14">
      <c r="A247" s="253"/>
      <c r="B247" s="248" t="s">
        <v>126</v>
      </c>
      <c r="C247" s="252">
        <v>2389.7710000000002</v>
      </c>
      <c r="D247" s="254" t="s">
        <v>99</v>
      </c>
      <c r="E247" s="252">
        <v>31.276</v>
      </c>
      <c r="F247" s="252">
        <v>2421.047</v>
      </c>
      <c r="G247" s="252">
        <v>246.566</v>
      </c>
      <c r="H247" s="252">
        <v>36.890999999999998</v>
      </c>
      <c r="I247" s="252">
        <v>-74.409000000000006</v>
      </c>
      <c r="J247" s="252">
        <v>209.048</v>
      </c>
      <c r="K247" s="257">
        <v>202.51400000000001</v>
      </c>
      <c r="L247" s="252">
        <v>411.56200000000001</v>
      </c>
      <c r="N247" s="252">
        <v>2009.4849999999999</v>
      </c>
    </row>
    <row r="248" spans="1:14">
      <c r="A248" s="253"/>
      <c r="B248" s="248" t="s">
        <v>127</v>
      </c>
      <c r="C248" s="252">
        <v>2009.4849999999999</v>
      </c>
      <c r="D248" s="254" t="s">
        <v>99</v>
      </c>
      <c r="E248" s="252">
        <v>32.078000000000003</v>
      </c>
      <c r="F248" s="252">
        <v>2041.5630000000001</v>
      </c>
      <c r="G248" s="252">
        <v>229.16900000000001</v>
      </c>
      <c r="H248" s="252">
        <v>2.6840000000000002</v>
      </c>
      <c r="I248" s="252">
        <v>-27.26</v>
      </c>
      <c r="J248" s="252">
        <v>204.59299999999999</v>
      </c>
      <c r="K248" s="257">
        <v>243.899</v>
      </c>
      <c r="L248" s="252">
        <v>448.49200000000002</v>
      </c>
      <c r="N248" s="252">
        <v>1593.0709999999999</v>
      </c>
    </row>
    <row r="249" spans="1:14">
      <c r="A249" s="253"/>
      <c r="B249" s="248" t="s">
        <v>128</v>
      </c>
      <c r="C249" s="252">
        <v>1593.0709999999999</v>
      </c>
      <c r="D249" s="254" t="s">
        <v>99</v>
      </c>
      <c r="E249" s="252">
        <v>30.382999999999999</v>
      </c>
      <c r="F249" s="252">
        <v>1623.454</v>
      </c>
      <c r="G249" s="252">
        <v>239.58</v>
      </c>
      <c r="H249" s="252">
        <v>17.190999999999999</v>
      </c>
      <c r="I249" s="252">
        <v>0.92</v>
      </c>
      <c r="J249" s="252">
        <v>257.69099999999997</v>
      </c>
      <c r="K249" s="257">
        <v>286.00200000000001</v>
      </c>
      <c r="L249" s="252">
        <v>543.69299999999998</v>
      </c>
      <c r="N249" s="252">
        <v>1079.761</v>
      </c>
    </row>
    <row r="250" spans="1:14">
      <c r="A250" s="253"/>
      <c r="B250" s="248" t="s">
        <v>98</v>
      </c>
      <c r="C250" s="252">
        <v>1098.8889999999999</v>
      </c>
      <c r="D250" s="252">
        <v>1885.1559999999999</v>
      </c>
      <c r="E250" s="252">
        <v>134.631</v>
      </c>
      <c r="F250" s="252">
        <v>3118.6759999999999</v>
      </c>
      <c r="G250" s="252">
        <v>954.58</v>
      </c>
      <c r="H250" s="252">
        <v>58.820999999999998</v>
      </c>
      <c r="I250" s="252">
        <v>88.477999999999994</v>
      </c>
      <c r="J250" s="252">
        <v>1101.8789999999999</v>
      </c>
      <c r="K250" s="257">
        <v>937.03599999999994</v>
      </c>
      <c r="L250" s="252">
        <v>2038.915</v>
      </c>
      <c r="N250" s="252">
        <v>1079.761</v>
      </c>
    </row>
    <row r="251" spans="1:14">
      <c r="A251" s="251" t="s">
        <v>324</v>
      </c>
      <c r="B251" s="248" t="s">
        <v>125</v>
      </c>
      <c r="C251" s="252">
        <v>1079.761</v>
      </c>
      <c r="D251" s="252">
        <v>1920.1389999999999</v>
      </c>
      <c r="E251" s="252">
        <v>23.259</v>
      </c>
      <c r="F251" s="252">
        <v>3023.1590000000001</v>
      </c>
      <c r="G251" s="252">
        <v>238.31899999999999</v>
      </c>
      <c r="H251" s="252">
        <v>3.6019999999999999</v>
      </c>
      <c r="I251" s="252">
        <v>183.846</v>
      </c>
      <c r="J251" s="252">
        <v>425.767</v>
      </c>
      <c r="K251" s="257">
        <v>251.86699999999999</v>
      </c>
      <c r="L251" s="252">
        <v>677.63400000000001</v>
      </c>
      <c r="N251" s="252">
        <v>2345.5250000000001</v>
      </c>
    </row>
    <row r="252" spans="1:14">
      <c r="A252" s="253"/>
      <c r="B252" s="248" t="s">
        <v>126</v>
      </c>
      <c r="C252" s="252">
        <v>2345.5250000000001</v>
      </c>
      <c r="D252" s="254" t="s">
        <v>99</v>
      </c>
      <c r="E252" s="252">
        <v>22.850999999999999</v>
      </c>
      <c r="F252" s="252">
        <v>2368.3760000000002</v>
      </c>
      <c r="G252" s="252">
        <v>247.01499999999999</v>
      </c>
      <c r="H252" s="252">
        <v>37.841999999999999</v>
      </c>
      <c r="I252" s="252">
        <v>9.6059999999999999</v>
      </c>
      <c r="J252" s="252">
        <v>294.46300000000002</v>
      </c>
      <c r="K252" s="257">
        <v>233.13800000000001</v>
      </c>
      <c r="L252" s="252">
        <v>527.601</v>
      </c>
      <c r="N252" s="252">
        <v>1840.7750000000001</v>
      </c>
    </row>
    <row r="253" spans="1:14">
      <c r="A253" s="253"/>
      <c r="B253" s="248" t="s">
        <v>127</v>
      </c>
      <c r="C253" s="252">
        <v>1840.7750000000001</v>
      </c>
      <c r="D253" s="254" t="s">
        <v>99</v>
      </c>
      <c r="E253" s="252">
        <v>28.43</v>
      </c>
      <c r="F253" s="252">
        <v>1869.2049999999999</v>
      </c>
      <c r="G253" s="252">
        <v>235.666</v>
      </c>
      <c r="H253" s="252">
        <v>2.004</v>
      </c>
      <c r="I253" s="252">
        <v>-18.617999999999999</v>
      </c>
      <c r="J253" s="252">
        <v>219.05199999999999</v>
      </c>
      <c r="K253" s="257">
        <v>234.739</v>
      </c>
      <c r="L253" s="252">
        <v>453.791</v>
      </c>
      <c r="N253" s="252">
        <v>1415.414</v>
      </c>
    </row>
    <row r="254" spans="1:14">
      <c r="A254" s="253"/>
      <c r="B254" s="248" t="s">
        <v>128</v>
      </c>
      <c r="C254" s="252">
        <v>1415.414</v>
      </c>
      <c r="D254" s="254" t="s">
        <v>99</v>
      </c>
      <c r="E254" s="252">
        <v>30.469000000000001</v>
      </c>
      <c r="F254" s="252">
        <v>1445.883</v>
      </c>
      <c r="G254" s="252">
        <v>241</v>
      </c>
      <c r="H254" s="252">
        <v>16.552</v>
      </c>
      <c r="I254" s="252">
        <v>-101.24</v>
      </c>
      <c r="J254" s="252">
        <v>156.31200000000001</v>
      </c>
      <c r="K254" s="257">
        <v>245.72900000000001</v>
      </c>
      <c r="L254" s="252">
        <v>402.041</v>
      </c>
      <c r="N254" s="252">
        <v>1043.8420000000001</v>
      </c>
    </row>
    <row r="255" spans="1:14">
      <c r="A255" s="253"/>
      <c r="B255" s="248" t="s">
        <v>98</v>
      </c>
      <c r="C255" s="252">
        <v>1079.761</v>
      </c>
      <c r="D255" s="252">
        <v>1920.1389999999999</v>
      </c>
      <c r="E255" s="252">
        <v>105.009</v>
      </c>
      <c r="F255" s="252">
        <v>3104.9090000000001</v>
      </c>
      <c r="G255" s="252">
        <v>962</v>
      </c>
      <c r="H255" s="252">
        <v>60</v>
      </c>
      <c r="I255" s="252">
        <v>73.593999999999994</v>
      </c>
      <c r="J255" s="252">
        <v>1095.5940000000001</v>
      </c>
      <c r="K255" s="257">
        <v>965.47299999999996</v>
      </c>
      <c r="L255" s="252">
        <v>2061.067</v>
      </c>
      <c r="N255" s="252">
        <v>1043.8420000000001</v>
      </c>
    </row>
    <row r="256" spans="1:14">
      <c r="A256" s="255"/>
      <c r="B256" s="255"/>
      <c r="C256" s="256"/>
      <c r="D256" s="256"/>
      <c r="E256" s="256"/>
      <c r="F256" s="256"/>
      <c r="G256" s="256"/>
      <c r="H256" s="256"/>
      <c r="I256" s="256"/>
      <c r="J256" s="256"/>
      <c r="K256" s="258"/>
      <c r="L256" s="256"/>
      <c r="M256" s="256"/>
    </row>
    <row r="257" spans="1:13">
      <c r="A257" s="151"/>
      <c r="B257" s="22"/>
      <c r="C257" s="17"/>
      <c r="D257" s="17"/>
      <c r="E257" s="17"/>
      <c r="F257" s="17"/>
      <c r="G257" s="17"/>
      <c r="H257" s="17"/>
      <c r="I257" s="17"/>
      <c r="J257" s="17"/>
      <c r="K257" s="26"/>
      <c r="L257" s="17"/>
      <c r="M257" s="144"/>
    </row>
    <row r="258" spans="1:13">
      <c r="A258" s="150"/>
      <c r="B258" s="22"/>
      <c r="C258" s="17"/>
      <c r="D258" s="23"/>
      <c r="E258" s="17"/>
      <c r="F258" s="17"/>
      <c r="G258" s="17"/>
      <c r="H258" s="17"/>
      <c r="I258" s="17"/>
      <c r="J258" s="17"/>
      <c r="K258" s="26"/>
      <c r="L258" s="17"/>
      <c r="M258" s="144"/>
    </row>
    <row r="259" spans="1:13">
      <c r="A259" s="150"/>
      <c r="B259" s="22"/>
      <c r="C259" s="17"/>
      <c r="D259" s="23"/>
      <c r="E259" s="17"/>
      <c r="F259" s="17"/>
      <c r="G259" s="17"/>
      <c r="H259" s="17"/>
      <c r="I259" s="17"/>
      <c r="J259" s="17"/>
      <c r="K259" s="26"/>
      <c r="L259" s="17"/>
      <c r="M259" s="144"/>
    </row>
    <row r="260" spans="1:13">
      <c r="A260" s="150"/>
      <c r="B260" s="22"/>
      <c r="C260" s="17"/>
      <c r="D260" s="17"/>
      <c r="E260" s="17"/>
      <c r="F260" s="17"/>
      <c r="G260" s="17"/>
      <c r="H260" s="17"/>
      <c r="I260" s="17"/>
      <c r="J260" s="17"/>
      <c r="K260" s="26"/>
      <c r="L260" s="17"/>
      <c r="M260" s="144"/>
    </row>
    <row r="261" spans="1:13">
      <c r="A261" s="2"/>
      <c r="B261" s="2"/>
      <c r="C261" s="2"/>
      <c r="D261" s="2"/>
      <c r="E261" s="2"/>
      <c r="F261" s="2"/>
      <c r="G261" s="2"/>
      <c r="H261" s="2"/>
      <c r="I261" s="2"/>
      <c r="J261" s="2"/>
      <c r="K261" s="24"/>
      <c r="L261" s="2"/>
      <c r="M261" s="2"/>
    </row>
    <row r="262" spans="1:13">
      <c r="A262" s="2"/>
      <c r="B262" s="2"/>
      <c r="C262" s="2"/>
      <c r="D262" s="2"/>
      <c r="E262" s="2"/>
      <c r="F262" s="2"/>
      <c r="G262" s="2"/>
      <c r="H262" s="2"/>
      <c r="I262" s="2"/>
      <c r="J262" s="2"/>
      <c r="K262" s="24"/>
      <c r="L262" s="2"/>
      <c r="M262" s="2"/>
    </row>
    <row r="263" spans="1:13">
      <c r="A263" s="153" t="s">
        <v>141</v>
      </c>
      <c r="B263" s="154"/>
      <c r="C263" s="154"/>
      <c r="D263" s="154"/>
      <c r="E263" s="154"/>
      <c r="F263" s="154"/>
      <c r="G263" s="154"/>
      <c r="H263" s="154"/>
      <c r="I263" s="154"/>
      <c r="J263" s="154"/>
      <c r="K263" s="154"/>
      <c r="L263" s="154"/>
      <c r="M263" s="154"/>
    </row>
    <row r="264" spans="1:13">
      <c r="A264" s="2"/>
      <c r="B264" s="2"/>
      <c r="C264" s="2"/>
      <c r="D264" s="2"/>
      <c r="E264" s="2"/>
      <c r="F264" s="2"/>
      <c r="G264" s="2"/>
      <c r="H264" s="2"/>
      <c r="I264" s="2"/>
      <c r="J264" s="2"/>
      <c r="K264" s="24"/>
      <c r="L264" s="2"/>
      <c r="M264" s="2"/>
    </row>
    <row r="265" spans="1:13">
      <c r="A265" s="149" t="s">
        <v>142</v>
      </c>
      <c r="B265" s="150"/>
      <c r="C265" s="150"/>
      <c r="D265" s="150"/>
      <c r="E265" s="150"/>
      <c r="F265" s="150"/>
      <c r="G265" s="150"/>
      <c r="H265" s="150"/>
      <c r="I265" s="150"/>
      <c r="J265" s="150"/>
      <c r="K265" s="150"/>
      <c r="L265" s="150"/>
      <c r="M265" s="150"/>
    </row>
  </sheetData>
  <mergeCells count="293">
    <mergeCell ref="A251:A255"/>
    <mergeCell ref="A1:M1"/>
    <mergeCell ref="A3:B5"/>
    <mergeCell ref="C3:F3"/>
    <mergeCell ref="G3:L3"/>
    <mergeCell ref="M3:N3"/>
    <mergeCell ref="C4:F4"/>
    <mergeCell ref="G4:J4"/>
    <mergeCell ref="M9:N9"/>
    <mergeCell ref="M10:N10"/>
    <mergeCell ref="M11:N11"/>
    <mergeCell ref="M12:N12"/>
    <mergeCell ref="M13:N13"/>
    <mergeCell ref="M14:N14"/>
    <mergeCell ref="K4:L4"/>
    <mergeCell ref="M4:N4"/>
    <mergeCell ref="M5:N5"/>
    <mergeCell ref="M6:N6"/>
    <mergeCell ref="M7:N7"/>
    <mergeCell ref="M8:N8"/>
    <mergeCell ref="M21:N21"/>
    <mergeCell ref="M22:N22"/>
    <mergeCell ref="M23:N23"/>
    <mergeCell ref="M24:N24"/>
    <mergeCell ref="M25:N25"/>
    <mergeCell ref="M26:N26"/>
    <mergeCell ref="M15:N15"/>
    <mergeCell ref="M16:N16"/>
    <mergeCell ref="M17:N17"/>
    <mergeCell ref="M18:N18"/>
    <mergeCell ref="M19:N19"/>
    <mergeCell ref="M20:N20"/>
    <mergeCell ref="M27:N27"/>
    <mergeCell ref="M28:N28"/>
    <mergeCell ref="M29:N29"/>
    <mergeCell ref="M30:N30"/>
    <mergeCell ref="A31:A35"/>
    <mergeCell ref="M31:N31"/>
    <mergeCell ref="M32:N32"/>
    <mergeCell ref="M33:N33"/>
    <mergeCell ref="M34:N34"/>
    <mergeCell ref="M35:N35"/>
    <mergeCell ref="A41:A45"/>
    <mergeCell ref="M41:N41"/>
    <mergeCell ref="M42:N42"/>
    <mergeCell ref="M43:N43"/>
    <mergeCell ref="M44:N44"/>
    <mergeCell ref="M45:N45"/>
    <mergeCell ref="A36:A40"/>
    <mergeCell ref="M36:N36"/>
    <mergeCell ref="M37:N37"/>
    <mergeCell ref="M38:N38"/>
    <mergeCell ref="M39:N39"/>
    <mergeCell ref="M40:N40"/>
    <mergeCell ref="A51:A55"/>
    <mergeCell ref="M51:N51"/>
    <mergeCell ref="M52:N52"/>
    <mergeCell ref="M53:N53"/>
    <mergeCell ref="M54:N54"/>
    <mergeCell ref="M55:N55"/>
    <mergeCell ref="A46:A50"/>
    <mergeCell ref="M46:N46"/>
    <mergeCell ref="M47:N47"/>
    <mergeCell ref="M48:N48"/>
    <mergeCell ref="M49:N49"/>
    <mergeCell ref="M50:N50"/>
    <mergeCell ref="A61:A65"/>
    <mergeCell ref="M61:N61"/>
    <mergeCell ref="M62:N62"/>
    <mergeCell ref="M63:N63"/>
    <mergeCell ref="M64:N64"/>
    <mergeCell ref="M65:N65"/>
    <mergeCell ref="A56:A60"/>
    <mergeCell ref="M56:N56"/>
    <mergeCell ref="M57:N57"/>
    <mergeCell ref="M58:N58"/>
    <mergeCell ref="M59:N59"/>
    <mergeCell ref="M60:N60"/>
    <mergeCell ref="A71:A75"/>
    <mergeCell ref="M71:N71"/>
    <mergeCell ref="M72:N72"/>
    <mergeCell ref="M73:N73"/>
    <mergeCell ref="M74:N74"/>
    <mergeCell ref="M75:N75"/>
    <mergeCell ref="A66:A70"/>
    <mergeCell ref="M66:N66"/>
    <mergeCell ref="M67:N67"/>
    <mergeCell ref="M68:N68"/>
    <mergeCell ref="M69:N69"/>
    <mergeCell ref="M70:N70"/>
    <mergeCell ref="A81:A85"/>
    <mergeCell ref="M81:N81"/>
    <mergeCell ref="M82:N82"/>
    <mergeCell ref="M83:N83"/>
    <mergeCell ref="M84:N84"/>
    <mergeCell ref="M85:N85"/>
    <mergeCell ref="A76:A80"/>
    <mergeCell ref="M76:N76"/>
    <mergeCell ref="M77:N77"/>
    <mergeCell ref="M78:N78"/>
    <mergeCell ref="M79:N79"/>
    <mergeCell ref="M80:N80"/>
    <mergeCell ref="A91:A95"/>
    <mergeCell ref="M91:N91"/>
    <mergeCell ref="M92:N92"/>
    <mergeCell ref="M93:N93"/>
    <mergeCell ref="M94:N94"/>
    <mergeCell ref="M95:N95"/>
    <mergeCell ref="A86:A90"/>
    <mergeCell ref="M86:N86"/>
    <mergeCell ref="M87:N87"/>
    <mergeCell ref="M88:N88"/>
    <mergeCell ref="M89:N89"/>
    <mergeCell ref="M90:N90"/>
    <mergeCell ref="A101:A105"/>
    <mergeCell ref="M101:N101"/>
    <mergeCell ref="M102:N102"/>
    <mergeCell ref="M103:N103"/>
    <mergeCell ref="M104:N104"/>
    <mergeCell ref="M105:N105"/>
    <mergeCell ref="A96:A100"/>
    <mergeCell ref="M96:N96"/>
    <mergeCell ref="M97:N97"/>
    <mergeCell ref="M98:N98"/>
    <mergeCell ref="M99:N99"/>
    <mergeCell ref="M100:N100"/>
    <mergeCell ref="A111:A115"/>
    <mergeCell ref="M111:N111"/>
    <mergeCell ref="M112:N112"/>
    <mergeCell ref="M113:N113"/>
    <mergeCell ref="M114:N114"/>
    <mergeCell ref="M115:N115"/>
    <mergeCell ref="A106:A110"/>
    <mergeCell ref="M106:N106"/>
    <mergeCell ref="M107:N107"/>
    <mergeCell ref="M108:N108"/>
    <mergeCell ref="M109:N109"/>
    <mergeCell ref="M110:N110"/>
    <mergeCell ref="A121:A125"/>
    <mergeCell ref="M121:N121"/>
    <mergeCell ref="M122:N122"/>
    <mergeCell ref="M123:N123"/>
    <mergeCell ref="M124:N124"/>
    <mergeCell ref="M125:N125"/>
    <mergeCell ref="A116:A120"/>
    <mergeCell ref="M116:N116"/>
    <mergeCell ref="M117:N117"/>
    <mergeCell ref="M118:N118"/>
    <mergeCell ref="M119:N119"/>
    <mergeCell ref="M120:N120"/>
    <mergeCell ref="A131:A135"/>
    <mergeCell ref="M131:N131"/>
    <mergeCell ref="M132:N132"/>
    <mergeCell ref="M133:N133"/>
    <mergeCell ref="M134:N134"/>
    <mergeCell ref="M135:N135"/>
    <mergeCell ref="A126:A130"/>
    <mergeCell ref="M126:N126"/>
    <mergeCell ref="M127:N127"/>
    <mergeCell ref="M128:N128"/>
    <mergeCell ref="M129:N129"/>
    <mergeCell ref="M130:N130"/>
    <mergeCell ref="A141:A145"/>
    <mergeCell ref="M141:N141"/>
    <mergeCell ref="M142:N142"/>
    <mergeCell ref="M143:N143"/>
    <mergeCell ref="M144:N144"/>
    <mergeCell ref="M145:N145"/>
    <mergeCell ref="A136:A140"/>
    <mergeCell ref="M136:N136"/>
    <mergeCell ref="M137:N137"/>
    <mergeCell ref="M138:N138"/>
    <mergeCell ref="M139:N139"/>
    <mergeCell ref="M140:N140"/>
    <mergeCell ref="A151:A155"/>
    <mergeCell ref="M151:N151"/>
    <mergeCell ref="M152:N152"/>
    <mergeCell ref="M153:N153"/>
    <mergeCell ref="M154:N154"/>
    <mergeCell ref="M155:N155"/>
    <mergeCell ref="A146:A150"/>
    <mergeCell ref="M146:N146"/>
    <mergeCell ref="M147:N147"/>
    <mergeCell ref="M148:N148"/>
    <mergeCell ref="M149:N149"/>
    <mergeCell ref="M150:N150"/>
    <mergeCell ref="A161:A165"/>
    <mergeCell ref="M161:N161"/>
    <mergeCell ref="M162:N162"/>
    <mergeCell ref="M163:N163"/>
    <mergeCell ref="M164:N164"/>
    <mergeCell ref="M165:N165"/>
    <mergeCell ref="A156:A160"/>
    <mergeCell ref="M156:N156"/>
    <mergeCell ref="M157:N157"/>
    <mergeCell ref="M158:N158"/>
    <mergeCell ref="M159:N159"/>
    <mergeCell ref="M160:N160"/>
    <mergeCell ref="A171:A175"/>
    <mergeCell ref="M171:N171"/>
    <mergeCell ref="M172:N172"/>
    <mergeCell ref="M173:N173"/>
    <mergeCell ref="M174:N174"/>
    <mergeCell ref="M175:N175"/>
    <mergeCell ref="A166:A170"/>
    <mergeCell ref="M166:N166"/>
    <mergeCell ref="M167:N167"/>
    <mergeCell ref="M168:N168"/>
    <mergeCell ref="M169:N169"/>
    <mergeCell ref="M170:N170"/>
    <mergeCell ref="A181:A185"/>
    <mergeCell ref="M181:N181"/>
    <mergeCell ref="M182:N182"/>
    <mergeCell ref="M183:N183"/>
    <mergeCell ref="M184:N184"/>
    <mergeCell ref="M185:N185"/>
    <mergeCell ref="A176:A180"/>
    <mergeCell ref="M176:N176"/>
    <mergeCell ref="M177:N177"/>
    <mergeCell ref="M178:N178"/>
    <mergeCell ref="M179:N179"/>
    <mergeCell ref="M180:N180"/>
    <mergeCell ref="A191:A195"/>
    <mergeCell ref="M191:N191"/>
    <mergeCell ref="M192:N192"/>
    <mergeCell ref="M193:N193"/>
    <mergeCell ref="M194:N194"/>
    <mergeCell ref="M195:N195"/>
    <mergeCell ref="A186:A190"/>
    <mergeCell ref="M186:N186"/>
    <mergeCell ref="M187:N187"/>
    <mergeCell ref="M188:N188"/>
    <mergeCell ref="M189:N189"/>
    <mergeCell ref="M190:N190"/>
    <mergeCell ref="A201:A205"/>
    <mergeCell ref="M201:N201"/>
    <mergeCell ref="M202:N202"/>
    <mergeCell ref="M203:N203"/>
    <mergeCell ref="M204:N204"/>
    <mergeCell ref="M205:N205"/>
    <mergeCell ref="A196:A200"/>
    <mergeCell ref="M196:N196"/>
    <mergeCell ref="M197:N197"/>
    <mergeCell ref="M198:N198"/>
    <mergeCell ref="M199:N199"/>
    <mergeCell ref="M200:N200"/>
    <mergeCell ref="A211:A215"/>
    <mergeCell ref="M211:N211"/>
    <mergeCell ref="M212:N212"/>
    <mergeCell ref="M213:N213"/>
    <mergeCell ref="M214:N214"/>
    <mergeCell ref="M215:N215"/>
    <mergeCell ref="A206:A210"/>
    <mergeCell ref="M206:N206"/>
    <mergeCell ref="M207:N207"/>
    <mergeCell ref="M208:N208"/>
    <mergeCell ref="M209:N209"/>
    <mergeCell ref="M210:N210"/>
    <mergeCell ref="A221:A225"/>
    <mergeCell ref="M221:N221"/>
    <mergeCell ref="M222:N222"/>
    <mergeCell ref="M223:N223"/>
    <mergeCell ref="M224:N224"/>
    <mergeCell ref="M225:N225"/>
    <mergeCell ref="A216:A220"/>
    <mergeCell ref="M216:N216"/>
    <mergeCell ref="M217:N217"/>
    <mergeCell ref="M218:N218"/>
    <mergeCell ref="M219:N219"/>
    <mergeCell ref="M220:N220"/>
    <mergeCell ref="A231:A235"/>
    <mergeCell ref="M231:N231"/>
    <mergeCell ref="M232:N232"/>
    <mergeCell ref="M233:N233"/>
    <mergeCell ref="M234:N234"/>
    <mergeCell ref="M235:N235"/>
    <mergeCell ref="A226:A230"/>
    <mergeCell ref="M226:N226"/>
    <mergeCell ref="M227:N227"/>
    <mergeCell ref="M228:N228"/>
    <mergeCell ref="M229:N229"/>
    <mergeCell ref="M230:N230"/>
    <mergeCell ref="A265:M265"/>
    <mergeCell ref="A257:A260"/>
    <mergeCell ref="A263:M263"/>
    <mergeCell ref="A236:A240"/>
    <mergeCell ref="M236:N236"/>
    <mergeCell ref="M237:N237"/>
    <mergeCell ref="M238:N238"/>
    <mergeCell ref="M239:N239"/>
    <mergeCell ref="M240:N240"/>
    <mergeCell ref="A241:A245"/>
    <mergeCell ref="A246:A250"/>
  </mergeCells>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5C64FC-CE4C-AD47-94A3-5CC81034F7F6}">
  <dimension ref="A1:O37"/>
  <sheetViews>
    <sheetView zoomScale="112" workbookViewId="0"/>
  </sheetViews>
  <sheetFormatPr baseColWidth="10" defaultRowHeight="16"/>
  <cols>
    <col min="15" max="15" width="10.83203125" style="27"/>
  </cols>
  <sheetData>
    <row r="1" spans="1:15" ht="36">
      <c r="A1" s="1" t="s">
        <v>52</v>
      </c>
      <c r="B1" s="2"/>
      <c r="C1" s="2"/>
      <c r="D1" s="2"/>
      <c r="E1" s="2"/>
      <c r="F1" s="2"/>
      <c r="G1" s="2"/>
      <c r="H1" s="2"/>
      <c r="I1" s="2"/>
      <c r="J1" s="2"/>
      <c r="K1" s="2"/>
      <c r="L1" s="2"/>
      <c r="M1" s="2"/>
      <c r="N1" s="2"/>
      <c r="O1" s="24"/>
    </row>
    <row r="2" spans="1:15" ht="25">
      <c r="A2" s="3" t="s">
        <v>53</v>
      </c>
      <c r="B2" s="4"/>
      <c r="C2" s="5" t="s">
        <v>11</v>
      </c>
      <c r="D2" s="5" t="s">
        <v>12</v>
      </c>
      <c r="E2" s="5" t="s">
        <v>13</v>
      </c>
      <c r="F2" s="5" t="s">
        <v>2</v>
      </c>
      <c r="G2" s="5" t="s">
        <v>3</v>
      </c>
      <c r="H2" s="5" t="s">
        <v>4</v>
      </c>
      <c r="I2" s="5" t="s">
        <v>5</v>
      </c>
      <c r="J2" s="5" t="s">
        <v>6</v>
      </c>
      <c r="K2" s="5" t="s">
        <v>7</v>
      </c>
      <c r="L2" s="5" t="s">
        <v>8</v>
      </c>
      <c r="M2" s="5" t="s">
        <v>9</v>
      </c>
      <c r="N2" s="5" t="s">
        <v>10</v>
      </c>
      <c r="O2" s="28" t="s">
        <v>54</v>
      </c>
    </row>
    <row r="3" spans="1:15">
      <c r="A3" s="6" t="s">
        <v>56</v>
      </c>
      <c r="B3" s="6" t="s">
        <v>16</v>
      </c>
      <c r="C3" s="7"/>
      <c r="D3" s="7"/>
      <c r="E3" s="7"/>
      <c r="F3" s="7"/>
      <c r="G3" s="7"/>
      <c r="H3" s="7"/>
      <c r="I3" s="7"/>
      <c r="J3" s="8">
        <v>154014.98382205996</v>
      </c>
      <c r="K3" s="8">
        <v>112585.42877011995</v>
      </c>
      <c r="L3" s="8">
        <v>70293.603248679952</v>
      </c>
      <c r="M3" s="8">
        <v>69774.205306789954</v>
      </c>
      <c r="N3" s="8">
        <v>60581.437806549962</v>
      </c>
      <c r="O3" s="29"/>
    </row>
    <row r="4" spans="1:15">
      <c r="A4" s="2"/>
      <c r="B4" s="6" t="s">
        <v>17</v>
      </c>
      <c r="C4" s="8">
        <v>134619.05630440993</v>
      </c>
      <c r="D4" s="8">
        <v>154363.02287187995</v>
      </c>
      <c r="E4" s="8">
        <v>185405.74335917988</v>
      </c>
      <c r="F4" s="8">
        <v>245861.98704516987</v>
      </c>
      <c r="G4" s="8">
        <v>183581.74924384989</v>
      </c>
      <c r="H4" s="8">
        <v>103741.75465219995</v>
      </c>
      <c r="I4" s="8">
        <v>83079.154086449969</v>
      </c>
      <c r="J4" s="8">
        <v>93082.773279889967</v>
      </c>
      <c r="K4" s="8">
        <v>65524.970522439973</v>
      </c>
      <c r="L4" s="8">
        <v>102000.64026216997</v>
      </c>
      <c r="M4" s="8">
        <v>110947.12232533997</v>
      </c>
      <c r="N4" s="8">
        <v>63662.657853329969</v>
      </c>
      <c r="O4" s="30">
        <v>1525870.6318063093</v>
      </c>
    </row>
    <row r="5" spans="1:15">
      <c r="A5" s="2"/>
      <c r="B5" s="6" t="s">
        <v>18</v>
      </c>
      <c r="C5" s="8">
        <v>1570662.4611252185</v>
      </c>
      <c r="D5" s="8">
        <v>85622.700142219954</v>
      </c>
      <c r="E5" s="8">
        <v>110455.06217320994</v>
      </c>
      <c r="F5" s="8">
        <v>169601.16447279995</v>
      </c>
      <c r="G5" s="8">
        <v>128694.21204210992</v>
      </c>
      <c r="H5" s="8">
        <v>114089.48934673992</v>
      </c>
      <c r="I5" s="8">
        <v>72259.937098409951</v>
      </c>
      <c r="J5" s="8">
        <v>123332.87673023992</v>
      </c>
      <c r="K5" s="8">
        <v>87281.512669339936</v>
      </c>
      <c r="L5" s="8">
        <v>2293189.0160251977</v>
      </c>
      <c r="M5" s="8">
        <v>183233.02768027986</v>
      </c>
      <c r="N5" s="8">
        <v>136823.05680039991</v>
      </c>
      <c r="O5" s="30">
        <v>5075244.5163061647</v>
      </c>
    </row>
    <row r="6" spans="1:15">
      <c r="A6" s="2"/>
      <c r="B6" s="6" t="s">
        <v>19</v>
      </c>
      <c r="C6" s="8">
        <v>121590.99779869993</v>
      </c>
      <c r="D6" s="8">
        <v>149437.18853113989</v>
      </c>
      <c r="E6" s="8">
        <v>99641.051934609917</v>
      </c>
      <c r="F6" s="8">
        <v>170239.71835190992</v>
      </c>
      <c r="G6" s="8">
        <v>202509.95410011988</v>
      </c>
      <c r="H6" s="8">
        <v>177374.15103612983</v>
      </c>
      <c r="I6" s="8">
        <v>242720.94710960973</v>
      </c>
      <c r="J6" s="8">
        <v>371445.35307137959</v>
      </c>
      <c r="K6" s="8">
        <v>202737.03841914976</v>
      </c>
      <c r="L6" s="8">
        <v>651231.9657899891</v>
      </c>
      <c r="M6" s="8">
        <v>813440.64875770896</v>
      </c>
      <c r="N6" s="8">
        <v>523435.27732386929</v>
      </c>
      <c r="O6" s="30">
        <v>3725804.2922243159</v>
      </c>
    </row>
    <row r="7" spans="1:15">
      <c r="A7" s="2"/>
      <c r="B7" s="6" t="s">
        <v>20</v>
      </c>
      <c r="C7" s="8">
        <v>451271.69698630937</v>
      </c>
      <c r="D7" s="8">
        <v>437796.23255244939</v>
      </c>
      <c r="E7" s="8">
        <v>658652.19647048914</v>
      </c>
      <c r="F7" s="8">
        <v>902051.11639490863</v>
      </c>
      <c r="G7" s="8">
        <v>1127925.4956408185</v>
      </c>
      <c r="H7" s="8">
        <v>621798.56132261921</v>
      </c>
      <c r="I7" s="8">
        <v>455868.98064314941</v>
      </c>
      <c r="J7" s="8">
        <v>512385.6400998293</v>
      </c>
      <c r="K7" s="8">
        <v>814239.60845797881</v>
      </c>
      <c r="L7" s="8">
        <v>514950.09488609922</v>
      </c>
      <c r="M7" s="8">
        <v>925617.42368388863</v>
      </c>
      <c r="N7" s="8">
        <v>460022.17700369935</v>
      </c>
      <c r="O7" s="30">
        <v>7882579.2241422376</v>
      </c>
    </row>
    <row r="8" spans="1:15">
      <c r="A8" s="2"/>
      <c r="B8" s="6" t="s">
        <v>21</v>
      </c>
      <c r="C8" s="8">
        <v>767268.50739531883</v>
      </c>
      <c r="D8" s="8">
        <v>527025.21654081927</v>
      </c>
      <c r="E8" s="8">
        <v>681112.67039162898</v>
      </c>
      <c r="F8" s="8">
        <v>508060.50681202929</v>
      </c>
      <c r="G8" s="8">
        <v>523510.7374401493</v>
      </c>
      <c r="H8" s="8">
        <v>215654.30205732974</v>
      </c>
      <c r="I8" s="8">
        <v>324143.36734520958</v>
      </c>
      <c r="J8" s="8">
        <v>400291.20324141945</v>
      </c>
      <c r="K8" s="8">
        <v>264102.81155939971</v>
      </c>
      <c r="L8" s="8">
        <v>374053.99299400952</v>
      </c>
      <c r="M8" s="8">
        <v>244062.6658313997</v>
      </c>
      <c r="N8" s="8">
        <v>224003.35845501971</v>
      </c>
      <c r="O8" s="30">
        <v>5053289.340063733</v>
      </c>
    </row>
    <row r="9" spans="1:15">
      <c r="A9" s="2"/>
      <c r="B9" s="6" t="s">
        <v>22</v>
      </c>
      <c r="C9" s="8">
        <v>198388.51747637975</v>
      </c>
      <c r="D9" s="8">
        <v>269292.95608383964</v>
      </c>
      <c r="E9" s="8">
        <v>154642.38885549983</v>
      </c>
      <c r="F9" s="8">
        <v>262534.71423393971</v>
      </c>
      <c r="G9" s="8">
        <v>193929.54677709978</v>
      </c>
      <c r="H9" s="8">
        <v>236011.87783020973</v>
      </c>
      <c r="I9" s="8">
        <v>264234.17581311963</v>
      </c>
      <c r="J9" s="8">
        <v>306639.15728725959</v>
      </c>
      <c r="K9" s="8">
        <v>114149.98295841986</v>
      </c>
      <c r="L9" s="8">
        <v>817622.53450250917</v>
      </c>
      <c r="M9" s="8">
        <v>381637.28746327962</v>
      </c>
      <c r="N9" s="8">
        <v>182653.59733400977</v>
      </c>
      <c r="O9" s="30">
        <v>3381736.7366155661</v>
      </c>
    </row>
    <row r="10" spans="1:15">
      <c r="A10" s="2"/>
      <c r="B10" s="6" t="s">
        <v>23</v>
      </c>
      <c r="C10" s="8">
        <v>370137.98903418955</v>
      </c>
      <c r="D10" s="8">
        <v>312823.61315442965</v>
      </c>
      <c r="E10" s="8">
        <v>438679.93210611946</v>
      </c>
      <c r="F10" s="8">
        <v>388532.16580762959</v>
      </c>
      <c r="G10" s="8">
        <v>318543.1368105096</v>
      </c>
      <c r="H10" s="8">
        <v>402756.83664848947</v>
      </c>
      <c r="I10" s="8">
        <v>360737.83133312955</v>
      </c>
      <c r="J10" s="8">
        <v>217075.95181793976</v>
      </c>
      <c r="K10" s="8">
        <v>221416.83387684973</v>
      </c>
      <c r="L10" s="8">
        <v>307902.75502691965</v>
      </c>
      <c r="M10" s="8">
        <v>306062.19135098963</v>
      </c>
      <c r="N10" s="8">
        <v>491426.69579030934</v>
      </c>
      <c r="O10" s="30">
        <v>4136095.9327575052</v>
      </c>
    </row>
    <row r="11" spans="1:15">
      <c r="A11" s="2"/>
      <c r="B11" s="6" t="s">
        <v>24</v>
      </c>
      <c r="C11" s="8">
        <v>529336.54177547921</v>
      </c>
      <c r="D11" s="8">
        <v>473244.85321033932</v>
      </c>
      <c r="E11" s="8">
        <v>341466.76317359955</v>
      </c>
      <c r="F11" s="8">
        <v>420774.76606247947</v>
      </c>
      <c r="G11" s="8">
        <v>585875.8668206092</v>
      </c>
      <c r="H11" s="8">
        <v>235885.6423722897</v>
      </c>
      <c r="I11" s="8">
        <v>243538.4966809797</v>
      </c>
      <c r="J11" s="8">
        <v>613353.86916071922</v>
      </c>
      <c r="K11" s="8">
        <v>243289.14937737968</v>
      </c>
      <c r="L11" s="8">
        <v>222815.75057983969</v>
      </c>
      <c r="M11" s="8">
        <v>187377.3685030498</v>
      </c>
      <c r="N11" s="8">
        <v>277138.4601597396</v>
      </c>
      <c r="O11" s="30">
        <v>4374097.5278765038</v>
      </c>
    </row>
    <row r="12" spans="1:15">
      <c r="A12" s="2"/>
      <c r="B12" s="6" t="s">
        <v>25</v>
      </c>
      <c r="C12" s="8">
        <v>786705.00050644903</v>
      </c>
      <c r="D12" s="8">
        <v>303988.01817274961</v>
      </c>
      <c r="E12" s="8">
        <v>281851.89996093966</v>
      </c>
      <c r="F12" s="8">
        <v>413424.86071960942</v>
      </c>
      <c r="G12" s="8">
        <v>430438.44136845943</v>
      </c>
      <c r="H12" s="8">
        <v>389267.12264672946</v>
      </c>
      <c r="I12" s="8">
        <v>302271.46247143962</v>
      </c>
      <c r="J12" s="8">
        <v>228246.08773013973</v>
      </c>
      <c r="K12" s="8">
        <v>364308.03124964953</v>
      </c>
      <c r="L12" s="8">
        <v>405381.33680712944</v>
      </c>
      <c r="M12" s="8">
        <v>376726.74155923957</v>
      </c>
      <c r="N12" s="8">
        <v>396688.2005657595</v>
      </c>
      <c r="O12" s="30">
        <v>4679297.2037582938</v>
      </c>
    </row>
    <row r="13" spans="1:15">
      <c r="A13" s="2"/>
      <c r="B13" s="6" t="s">
        <v>26</v>
      </c>
      <c r="C13" s="8">
        <v>425479.29992317944</v>
      </c>
      <c r="D13" s="8">
        <v>420757.9992128695</v>
      </c>
      <c r="E13" s="8">
        <v>528025.48844312935</v>
      </c>
      <c r="F13" s="8">
        <v>312041.30549239961</v>
      </c>
      <c r="G13" s="8">
        <v>265668.08138350968</v>
      </c>
      <c r="H13" s="8">
        <v>341386.68973484961</v>
      </c>
      <c r="I13" s="8">
        <v>432615.61617424944</v>
      </c>
      <c r="J13" s="8">
        <v>349966.10753525957</v>
      </c>
      <c r="K13" s="8">
        <v>406964.67123511957</v>
      </c>
      <c r="L13" s="8">
        <v>370269.40295785957</v>
      </c>
      <c r="M13" s="8">
        <v>189278.69319059973</v>
      </c>
      <c r="N13" s="8">
        <v>260522.31402641968</v>
      </c>
      <c r="O13" s="30">
        <v>4302975.6693094447</v>
      </c>
    </row>
    <row r="14" spans="1:15">
      <c r="A14" s="2"/>
      <c r="B14" s="6" t="s">
        <v>27</v>
      </c>
      <c r="C14" s="8">
        <v>394296.92242523946</v>
      </c>
      <c r="D14" s="8">
        <v>448531.42663575942</v>
      </c>
      <c r="E14" s="8">
        <v>765279.01357317914</v>
      </c>
      <c r="F14" s="8">
        <v>383197.95933012955</v>
      </c>
      <c r="G14" s="8">
        <v>394626.84887293947</v>
      </c>
      <c r="H14" s="8">
        <v>229279.78578830973</v>
      </c>
      <c r="I14" s="8">
        <v>137120.65547366985</v>
      </c>
      <c r="J14" s="8">
        <v>141945.30599467983</v>
      </c>
      <c r="K14" s="8">
        <v>249465.66145564965</v>
      </c>
      <c r="L14" s="8">
        <v>453578.02937578969</v>
      </c>
      <c r="M14" s="8">
        <v>322019.68741393962</v>
      </c>
      <c r="N14" s="8">
        <v>243905.8055266997</v>
      </c>
      <c r="O14" s="30">
        <v>4163247.101865985</v>
      </c>
    </row>
    <row r="15" spans="1:15">
      <c r="A15" s="2"/>
      <c r="B15" s="6" t="s">
        <v>28</v>
      </c>
      <c r="C15" s="8">
        <v>287284.06150484964</v>
      </c>
      <c r="D15" s="8">
        <v>272228.69206885964</v>
      </c>
      <c r="E15" s="8">
        <v>188686.76423244976</v>
      </c>
      <c r="F15" s="8">
        <v>242708.87235410971</v>
      </c>
      <c r="G15" s="8">
        <v>918550.04997919896</v>
      </c>
      <c r="H15" s="8">
        <v>630820.25077635935</v>
      </c>
      <c r="I15" s="8">
        <v>341650.40229258954</v>
      </c>
      <c r="J15" s="8">
        <v>484280.72562151938</v>
      </c>
      <c r="K15" s="8">
        <v>383809.86190329946</v>
      </c>
      <c r="L15" s="8">
        <v>1476304.4062907784</v>
      </c>
      <c r="M15" s="8">
        <v>420597.14573081949</v>
      </c>
      <c r="N15" s="8">
        <v>793902.2797550892</v>
      </c>
      <c r="O15" s="30">
        <v>6440823.5125099244</v>
      </c>
    </row>
    <row r="16" spans="1:15">
      <c r="A16" s="2"/>
      <c r="B16" s="6" t="s">
        <v>29</v>
      </c>
      <c r="C16" s="8">
        <v>334845.5675487296</v>
      </c>
      <c r="D16" s="8">
        <v>422614.15109087934</v>
      </c>
      <c r="E16" s="8">
        <v>1088162.5173208187</v>
      </c>
      <c r="F16" s="8">
        <v>530717.64690325933</v>
      </c>
      <c r="G16" s="8">
        <v>993245.17180890881</v>
      </c>
      <c r="H16" s="8">
        <v>423228.88712097937</v>
      </c>
      <c r="I16" s="8">
        <v>426204.04245159938</v>
      </c>
      <c r="J16" s="8">
        <v>396736.41490788944</v>
      </c>
      <c r="K16" s="8">
        <v>405888.59697438951</v>
      </c>
      <c r="L16" s="8">
        <v>320244.2539475396</v>
      </c>
      <c r="M16" s="8">
        <v>346343.89037152962</v>
      </c>
      <c r="N16" s="8">
        <v>312291.4454458796</v>
      </c>
      <c r="O16" s="30">
        <v>6000522.5858924016</v>
      </c>
    </row>
    <row r="17" spans="1:15">
      <c r="A17" s="2"/>
      <c r="B17" s="6" t="s">
        <v>30</v>
      </c>
      <c r="C17" s="8">
        <v>572090.45725427929</v>
      </c>
      <c r="D17" s="8">
        <v>272078.3109977197</v>
      </c>
      <c r="E17" s="8">
        <v>359618.13773948955</v>
      </c>
      <c r="F17" s="8">
        <v>548047.39330735931</v>
      </c>
      <c r="G17" s="8">
        <v>521290.94676468929</v>
      </c>
      <c r="H17" s="8">
        <v>388094.67387370957</v>
      </c>
      <c r="I17" s="8">
        <v>585887.91775379935</v>
      </c>
      <c r="J17" s="8">
        <v>488305.92275546934</v>
      </c>
      <c r="K17" s="8">
        <v>494644.98646247934</v>
      </c>
      <c r="L17" s="8">
        <v>436201.42256724951</v>
      </c>
      <c r="M17" s="8">
        <v>391028.69606793957</v>
      </c>
      <c r="N17" s="8">
        <v>479670.35834565945</v>
      </c>
      <c r="O17" s="30">
        <v>5536959.2238898436</v>
      </c>
    </row>
    <row r="18" spans="1:15">
      <c r="A18" s="2"/>
      <c r="B18" s="6" t="s">
        <v>31</v>
      </c>
      <c r="C18" s="8">
        <v>340696.90978687961</v>
      </c>
      <c r="D18" s="8">
        <v>381251.20089278952</v>
      </c>
      <c r="E18" s="8">
        <v>430888.48032055947</v>
      </c>
      <c r="F18" s="8">
        <v>604558.16910078924</v>
      </c>
      <c r="G18" s="8">
        <v>613636.85862606927</v>
      </c>
      <c r="H18" s="8">
        <v>518895.15595423954</v>
      </c>
      <c r="I18" s="8">
        <v>455250.70093501941</v>
      </c>
      <c r="J18" s="8">
        <v>506054.02278012934</v>
      </c>
      <c r="K18" s="8">
        <v>434754.84565314942</v>
      </c>
      <c r="L18" s="8">
        <v>411106.60159949953</v>
      </c>
      <c r="M18" s="8">
        <v>415993.07778457948</v>
      </c>
      <c r="N18" s="8">
        <v>257169.17673359968</v>
      </c>
      <c r="O18" s="30">
        <v>5370255.200167303</v>
      </c>
    </row>
    <row r="19" spans="1:15">
      <c r="A19" s="2"/>
      <c r="B19" s="6" t="s">
        <v>32</v>
      </c>
      <c r="C19" s="8">
        <v>403485.83483623946</v>
      </c>
      <c r="D19" s="8">
        <v>427163.3699936695</v>
      </c>
      <c r="E19" s="8">
        <v>527713.36704997928</v>
      </c>
      <c r="F19" s="8">
        <v>780840.21682610898</v>
      </c>
      <c r="G19" s="8">
        <v>683262.59189127921</v>
      </c>
      <c r="H19" s="8">
        <v>523388.32370854937</v>
      </c>
      <c r="I19" s="8">
        <v>603161.87220777932</v>
      </c>
      <c r="J19" s="8">
        <v>353789.47041054955</v>
      </c>
      <c r="K19" s="8">
        <v>634652.35806991928</v>
      </c>
      <c r="L19" s="8">
        <v>402720.70267003949</v>
      </c>
      <c r="M19" s="8">
        <v>428428.60771390941</v>
      </c>
      <c r="N19" s="8">
        <v>278478.72332055966</v>
      </c>
      <c r="O19" s="30">
        <v>6047085.4386985824</v>
      </c>
    </row>
    <row r="20" spans="1:15">
      <c r="A20" s="2"/>
      <c r="B20" s="6" t="s">
        <v>33</v>
      </c>
      <c r="C20" s="8">
        <v>364804.3162661196</v>
      </c>
      <c r="D20" s="8">
        <v>242922.76841176971</v>
      </c>
      <c r="E20" s="8">
        <v>425706.71995492955</v>
      </c>
      <c r="F20" s="8">
        <v>691082.30782814918</v>
      </c>
      <c r="G20" s="8">
        <v>365268.41627553955</v>
      </c>
      <c r="H20" s="8">
        <v>375819.68854568957</v>
      </c>
      <c r="I20" s="8">
        <v>427020.7618644195</v>
      </c>
      <c r="J20" s="8">
        <v>438461.52809317951</v>
      </c>
      <c r="K20" s="8">
        <v>554368.83530887926</v>
      </c>
      <c r="L20" s="8">
        <v>557776.39411765931</v>
      </c>
      <c r="M20" s="8">
        <v>247781.32473316969</v>
      </c>
      <c r="N20" s="8">
        <v>267307.16417146969</v>
      </c>
      <c r="O20" s="30">
        <v>4958320.2255709739</v>
      </c>
    </row>
    <row r="21" spans="1:15">
      <c r="A21" s="2"/>
      <c r="B21" s="6" t="s">
        <v>34</v>
      </c>
      <c r="C21" s="8">
        <v>499785.28173302929</v>
      </c>
      <c r="D21" s="8">
        <v>265314.97040436964</v>
      </c>
      <c r="E21" s="8">
        <v>676742.00174150907</v>
      </c>
      <c r="F21" s="8">
        <v>516970.35482068936</v>
      </c>
      <c r="G21" s="8">
        <v>286355.55347277963</v>
      </c>
      <c r="H21" s="8">
        <v>343856.42976630956</v>
      </c>
      <c r="I21" s="8">
        <v>259126.39593015966</v>
      </c>
      <c r="J21" s="8">
        <v>314796.26510652958</v>
      </c>
      <c r="K21" s="8">
        <v>329532.59618501959</v>
      </c>
      <c r="L21" s="8">
        <v>419177.54721664946</v>
      </c>
      <c r="M21" s="8">
        <v>359687.84128630953</v>
      </c>
      <c r="N21" s="8">
        <v>254321.55717366969</v>
      </c>
      <c r="O21" s="30">
        <v>4525666.7948370241</v>
      </c>
    </row>
    <row r="22" spans="1:15">
      <c r="A22" s="2"/>
      <c r="B22" s="6" t="s">
        <v>35</v>
      </c>
      <c r="C22" s="8">
        <v>348988.66080915957</v>
      </c>
      <c r="D22" s="8">
        <v>208956.62472202975</v>
      </c>
      <c r="E22" s="8">
        <v>370951.3626315695</v>
      </c>
      <c r="F22" s="8">
        <v>629879.66951464908</v>
      </c>
      <c r="G22" s="8">
        <v>447020.67063260946</v>
      </c>
      <c r="H22" s="8">
        <v>393136.4796017895</v>
      </c>
      <c r="I22" s="8">
        <v>361203.80623409955</v>
      </c>
      <c r="J22" s="8">
        <v>577937.88560182927</v>
      </c>
      <c r="K22" s="8">
        <v>441698.98573112942</v>
      </c>
      <c r="L22" s="8">
        <v>532831.89158682921</v>
      </c>
      <c r="M22" s="8">
        <v>370155.40137179953</v>
      </c>
      <c r="N22" s="8">
        <v>452286.79992787942</v>
      </c>
      <c r="O22" s="30">
        <v>5135048.2383653726</v>
      </c>
    </row>
    <row r="23" spans="1:15">
      <c r="A23" s="2"/>
      <c r="B23" s="6" t="s">
        <v>36</v>
      </c>
      <c r="C23" s="8">
        <v>416348.57382506947</v>
      </c>
      <c r="D23" s="8">
        <v>584148.29706709913</v>
      </c>
      <c r="E23" s="8">
        <v>490182.64994018932</v>
      </c>
      <c r="F23" s="8">
        <v>671829.58960856905</v>
      </c>
      <c r="G23" s="8">
        <v>297104.52089185966</v>
      </c>
      <c r="H23" s="8">
        <v>450254.92021862941</v>
      </c>
      <c r="I23" s="8">
        <v>473233.23429160938</v>
      </c>
      <c r="J23" s="8">
        <v>432710.57982319943</v>
      </c>
      <c r="K23" s="8">
        <v>479548.66728818935</v>
      </c>
      <c r="L23" s="8">
        <v>262123.96616535971</v>
      </c>
      <c r="M23" s="8">
        <v>297813.84295180964</v>
      </c>
      <c r="N23" s="8">
        <v>441737.70147936948</v>
      </c>
      <c r="O23" s="30">
        <v>5297036.5435509533</v>
      </c>
    </row>
    <row r="24" spans="1:15">
      <c r="A24" s="2"/>
      <c r="B24" s="6" t="s">
        <v>37</v>
      </c>
      <c r="C24" s="8">
        <v>357142.21257675957</v>
      </c>
      <c r="D24" s="8">
        <v>391103.06936894951</v>
      </c>
      <c r="E24" s="8">
        <v>619870.33435119921</v>
      </c>
      <c r="F24" s="8">
        <v>606364.79059854918</v>
      </c>
      <c r="G24" s="8">
        <v>707805.77998797921</v>
      </c>
      <c r="H24" s="8">
        <v>691181.79177282925</v>
      </c>
      <c r="I24" s="8">
        <v>455684.92124263942</v>
      </c>
      <c r="J24" s="8">
        <v>534546.38886693935</v>
      </c>
      <c r="K24" s="8">
        <v>296363.37509275961</v>
      </c>
      <c r="L24" s="8">
        <v>399834.45723116951</v>
      </c>
      <c r="M24" s="8">
        <v>405066.90006610949</v>
      </c>
      <c r="N24" s="8">
        <v>539316.01361515943</v>
      </c>
      <c r="O24" s="30">
        <v>6004280.0347710438</v>
      </c>
    </row>
    <row r="25" spans="1:15">
      <c r="A25" s="2"/>
      <c r="B25" s="6" t="s">
        <v>38</v>
      </c>
      <c r="C25" s="8">
        <v>286467.25233335968</v>
      </c>
      <c r="D25" s="8">
        <v>437519.33153842937</v>
      </c>
      <c r="E25" s="8">
        <v>624279.37552497908</v>
      </c>
      <c r="F25" s="8">
        <v>607385.32770686911</v>
      </c>
      <c r="G25" s="8">
        <v>377308.61539047956</v>
      </c>
      <c r="H25" s="8">
        <v>343471.78893174964</v>
      </c>
      <c r="I25" s="8">
        <v>285554.42511476966</v>
      </c>
      <c r="J25" s="8">
        <v>402659.77608972951</v>
      </c>
      <c r="K25" s="8">
        <v>345192.95815193956</v>
      </c>
      <c r="L25" s="8">
        <v>497125.66673970933</v>
      </c>
      <c r="M25" s="8">
        <v>293246.21652921964</v>
      </c>
      <c r="N25" s="8">
        <v>271684.70493113971</v>
      </c>
      <c r="O25" s="30">
        <v>4771895.438982374</v>
      </c>
    </row>
    <row r="26" spans="1:15">
      <c r="A26" s="2"/>
      <c r="B26" s="6" t="s">
        <v>39</v>
      </c>
      <c r="C26" s="8">
        <v>353617.40268287959</v>
      </c>
      <c r="D26" s="8">
        <v>522292.50156388932</v>
      </c>
      <c r="E26" s="8">
        <v>399765.4401682695</v>
      </c>
      <c r="F26" s="8">
        <v>498069.01380744932</v>
      </c>
      <c r="G26" s="8">
        <v>485615.36152295937</v>
      </c>
      <c r="H26" s="8">
        <v>440591.49854282942</v>
      </c>
      <c r="I26" s="8">
        <v>316705.77021437965</v>
      </c>
      <c r="J26" s="8">
        <v>258393.5959614598</v>
      </c>
      <c r="K26" s="8">
        <v>353843.28655672981</v>
      </c>
      <c r="L26" s="8">
        <v>294419.22545224981</v>
      </c>
      <c r="M26" s="8">
        <v>284099.79396550986</v>
      </c>
      <c r="N26" s="8">
        <v>226625.96053286985</v>
      </c>
      <c r="O26" s="30">
        <v>4434038.8509714752</v>
      </c>
    </row>
    <row r="27" spans="1:15">
      <c r="A27" s="2"/>
      <c r="B27" s="6" t="s">
        <v>40</v>
      </c>
      <c r="C27" s="8">
        <v>437196.32322988968</v>
      </c>
      <c r="D27" s="8">
        <v>495307.77140995959</v>
      </c>
      <c r="E27" s="8">
        <v>461886.20347919979</v>
      </c>
      <c r="F27" s="8">
        <v>235308.98743853986</v>
      </c>
      <c r="G27" s="8">
        <v>162987.60225650988</v>
      </c>
      <c r="H27" s="8">
        <v>189116.15032782988</v>
      </c>
      <c r="I27" s="8">
        <v>201209.59043699989</v>
      </c>
      <c r="J27" s="8">
        <v>336013.55290266976</v>
      </c>
      <c r="K27" s="8">
        <v>294892.4815800598</v>
      </c>
      <c r="L27" s="8">
        <v>374623.63381000975</v>
      </c>
      <c r="M27" s="8">
        <v>400397.53986827971</v>
      </c>
      <c r="N27" s="8">
        <v>303390.59582280979</v>
      </c>
      <c r="O27" s="30">
        <v>3892330.4325627573</v>
      </c>
    </row>
    <row r="28" spans="1:15">
      <c r="A28" s="2"/>
      <c r="B28" s="6" t="s">
        <v>41</v>
      </c>
      <c r="C28" s="8">
        <v>319203.86701623973</v>
      </c>
      <c r="D28" s="8">
        <v>428420.98684179969</v>
      </c>
      <c r="E28" s="8">
        <v>447488.58597461961</v>
      </c>
      <c r="F28" s="8">
        <v>440674.6387388297</v>
      </c>
      <c r="G28" s="8">
        <v>575761.50391539955</v>
      </c>
      <c r="H28" s="8">
        <v>467912.00396912964</v>
      </c>
      <c r="I28" s="8">
        <v>332060.13562525983</v>
      </c>
      <c r="J28" s="8">
        <v>351093.02325705974</v>
      </c>
      <c r="K28" s="8">
        <v>308083.61957364978</v>
      </c>
      <c r="L28" s="8">
        <v>417969.76991005969</v>
      </c>
      <c r="M28" s="8">
        <v>280438.5791301998</v>
      </c>
      <c r="N28" s="8">
        <v>409242.90615604969</v>
      </c>
      <c r="O28" s="30">
        <v>4778349.6201082971</v>
      </c>
    </row>
    <row r="29" spans="1:15">
      <c r="A29" s="2"/>
      <c r="B29" s="6" t="s">
        <v>42</v>
      </c>
      <c r="C29" s="8">
        <v>370942.88863696973</v>
      </c>
      <c r="D29" s="8">
        <v>482811.13509297959</v>
      </c>
      <c r="E29" s="8">
        <v>517229.84998395969</v>
      </c>
      <c r="F29" s="8">
        <v>532605.70196734974</v>
      </c>
      <c r="G29" s="8">
        <v>344988.35253322968</v>
      </c>
      <c r="H29" s="8">
        <v>272501.93918072979</v>
      </c>
      <c r="I29" s="8">
        <v>185581.12313488987</v>
      </c>
      <c r="J29" s="8">
        <v>293449.08989622979</v>
      </c>
      <c r="K29" s="8">
        <v>611610.88593807956</v>
      </c>
      <c r="L29" s="8">
        <v>459370.91318225971</v>
      </c>
      <c r="M29" s="8">
        <v>382072.81339987979</v>
      </c>
      <c r="N29" s="8">
        <v>340075.21882010973</v>
      </c>
      <c r="O29" s="30">
        <v>4793239.9117666669</v>
      </c>
    </row>
    <row r="30" spans="1:15">
      <c r="A30" s="2"/>
      <c r="B30" s="6" t="s">
        <v>43</v>
      </c>
      <c r="C30" s="8">
        <v>268761.30141599977</v>
      </c>
      <c r="D30" s="8">
        <v>326649.59757991985</v>
      </c>
      <c r="E30" s="8">
        <v>306041.40501861984</v>
      </c>
      <c r="F30" s="8">
        <v>504848.71158500982</v>
      </c>
      <c r="G30" s="8">
        <v>385963.01094804972</v>
      </c>
      <c r="H30" s="8">
        <v>327531.36514145974</v>
      </c>
      <c r="I30" s="8">
        <v>314143.46577393985</v>
      </c>
      <c r="J30" s="8">
        <v>270187.5539115998</v>
      </c>
      <c r="K30" s="8">
        <v>325908.94353835972</v>
      </c>
      <c r="L30" s="8">
        <v>473175.44752979971</v>
      </c>
      <c r="M30" s="8">
        <v>425075.81043502974</v>
      </c>
      <c r="N30" s="8">
        <v>456061.85129542986</v>
      </c>
      <c r="O30" s="30">
        <v>4384348.4641732173</v>
      </c>
    </row>
    <row r="31" spans="1:15">
      <c r="A31" s="2"/>
      <c r="B31" s="6" t="s">
        <v>44</v>
      </c>
      <c r="C31" s="8">
        <v>324153.08369477984</v>
      </c>
      <c r="D31" s="8">
        <v>461599.06649425975</v>
      </c>
      <c r="E31" s="8">
        <v>561021.72830980981</v>
      </c>
      <c r="F31" s="8">
        <v>552753.6707769098</v>
      </c>
      <c r="G31" s="8">
        <v>330905.02110297984</v>
      </c>
      <c r="H31" s="8">
        <v>309801.5439236798</v>
      </c>
      <c r="I31" s="8">
        <v>400579.15814874985</v>
      </c>
      <c r="J31" s="8">
        <v>347254.56171304983</v>
      </c>
      <c r="K31" s="8">
        <v>416748.65207545983</v>
      </c>
      <c r="L31" s="8">
        <v>599332.28030888981</v>
      </c>
      <c r="M31" s="8">
        <v>415940.43510629982</v>
      </c>
      <c r="N31" s="8">
        <v>486661.80702746985</v>
      </c>
      <c r="O31" s="30">
        <v>5206751.0086823376</v>
      </c>
    </row>
    <row r="32" spans="1:15">
      <c r="A32" s="2"/>
      <c r="B32" s="6" t="s">
        <v>45</v>
      </c>
      <c r="C32" s="8">
        <v>444063.1901417498</v>
      </c>
      <c r="D32" s="8">
        <v>290715.52636477986</v>
      </c>
      <c r="E32" s="8">
        <v>289755.81476691982</v>
      </c>
      <c r="F32" s="8">
        <v>360334.53554479987</v>
      </c>
      <c r="G32" s="8">
        <v>333283.29310490983</v>
      </c>
      <c r="H32" s="8">
        <v>305168.25510167988</v>
      </c>
      <c r="I32" s="8">
        <v>287867.63724415982</v>
      </c>
      <c r="J32" s="7"/>
      <c r="K32" s="7"/>
      <c r="L32" s="7"/>
      <c r="M32" s="7"/>
      <c r="N32" s="7"/>
      <c r="O32" s="30">
        <v>2311188.2522689989</v>
      </c>
    </row>
    <row r="33" spans="1:15">
      <c r="A33" s="9"/>
      <c r="B33" s="10"/>
      <c r="C33" s="11"/>
      <c r="D33" s="11"/>
      <c r="E33" s="11"/>
      <c r="F33" s="11"/>
      <c r="G33" s="11"/>
      <c r="H33" s="11"/>
      <c r="I33" s="11"/>
      <c r="J33" s="11"/>
      <c r="K33" s="11"/>
      <c r="L33" s="11"/>
      <c r="M33" s="11"/>
      <c r="N33" s="11"/>
      <c r="O33" s="31"/>
    </row>
    <row r="34" spans="1:15">
      <c r="A34" s="2"/>
      <c r="B34" s="2"/>
      <c r="C34" s="2"/>
      <c r="D34" s="2"/>
      <c r="E34" s="2"/>
      <c r="F34" s="2"/>
      <c r="G34" s="2"/>
      <c r="H34" s="2"/>
      <c r="I34" s="2"/>
      <c r="J34" s="2"/>
      <c r="K34" s="2"/>
      <c r="L34" s="2"/>
      <c r="M34" s="2"/>
      <c r="N34" s="2"/>
      <c r="O34" s="24"/>
    </row>
    <row r="35" spans="1:15" ht="72">
      <c r="A35" s="1" t="s">
        <v>57</v>
      </c>
      <c r="B35" s="2"/>
      <c r="C35" s="2"/>
      <c r="D35" s="2"/>
      <c r="E35" s="2"/>
      <c r="F35" s="2"/>
      <c r="G35" s="2"/>
      <c r="H35" s="2"/>
      <c r="I35" s="2"/>
      <c r="J35" s="2"/>
      <c r="K35" s="2"/>
      <c r="L35" s="2"/>
      <c r="M35" s="2"/>
      <c r="N35" s="2"/>
      <c r="O35" s="24"/>
    </row>
    <row r="36" spans="1:15" ht="180">
      <c r="A36" s="1" t="s">
        <v>58</v>
      </c>
      <c r="B36" s="2"/>
      <c r="C36" s="2"/>
      <c r="D36" s="2"/>
      <c r="E36" s="2"/>
      <c r="F36" s="2"/>
      <c r="G36" s="2"/>
      <c r="H36" s="2"/>
      <c r="I36" s="2"/>
      <c r="J36" s="2"/>
      <c r="K36" s="2"/>
      <c r="L36" s="2"/>
      <c r="M36" s="2"/>
      <c r="N36" s="2"/>
      <c r="O36" s="24"/>
    </row>
    <row r="37" spans="1:15">
      <c r="A37" s="12" t="s">
        <v>50</v>
      </c>
      <c r="B37" s="2"/>
      <c r="C37" s="2"/>
      <c r="D37" s="2"/>
      <c r="E37" s="2"/>
      <c r="F37" s="2"/>
      <c r="G37" s="2"/>
      <c r="H37" s="2"/>
      <c r="I37" s="2"/>
      <c r="J37" s="2"/>
      <c r="K37" s="2"/>
      <c r="L37" s="2"/>
      <c r="M37" s="2"/>
      <c r="N37" s="2"/>
      <c r="O37" s="24"/>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E422A9-5D7A-3843-91FA-44A19DAEB5EF}">
  <dimension ref="A1:O36"/>
  <sheetViews>
    <sheetView zoomScale="112" workbookViewId="0">
      <selection activeCell="A33" sqref="A33:XFD33"/>
    </sheetView>
  </sheetViews>
  <sheetFormatPr baseColWidth="10" defaultRowHeight="16"/>
  <cols>
    <col min="15" max="15" width="10.83203125" style="27"/>
  </cols>
  <sheetData>
    <row r="1" spans="1:15" ht="36">
      <c r="A1" s="1" t="s">
        <v>52</v>
      </c>
      <c r="B1" s="2"/>
      <c r="C1" s="2"/>
      <c r="D1" s="2"/>
      <c r="E1" s="2"/>
      <c r="F1" s="2"/>
      <c r="G1" s="2"/>
      <c r="H1" s="2"/>
      <c r="I1" s="2"/>
      <c r="J1" s="2"/>
      <c r="K1" s="2"/>
      <c r="L1" s="2"/>
      <c r="M1" s="2"/>
      <c r="N1" s="2"/>
      <c r="O1" s="24"/>
    </row>
    <row r="2" spans="1:15" ht="25">
      <c r="A2" s="3" t="s">
        <v>53</v>
      </c>
      <c r="B2" s="4"/>
      <c r="C2" s="5" t="s">
        <v>11</v>
      </c>
      <c r="D2" s="5" t="s">
        <v>12</v>
      </c>
      <c r="E2" s="5" t="s">
        <v>13</v>
      </c>
      <c r="F2" s="5" t="s">
        <v>2</v>
      </c>
      <c r="G2" s="5" t="s">
        <v>3</v>
      </c>
      <c r="H2" s="5" t="s">
        <v>4</v>
      </c>
      <c r="I2" s="5" t="s">
        <v>5</v>
      </c>
      <c r="J2" s="5" t="s">
        <v>6</v>
      </c>
      <c r="K2" s="5" t="s">
        <v>7</v>
      </c>
      <c r="L2" s="5" t="s">
        <v>8</v>
      </c>
      <c r="M2" s="5" t="s">
        <v>9</v>
      </c>
      <c r="N2" s="5" t="s">
        <v>10</v>
      </c>
      <c r="O2" s="28" t="s">
        <v>54</v>
      </c>
    </row>
    <row r="3" spans="1:15">
      <c r="A3" s="6" t="s">
        <v>55</v>
      </c>
      <c r="B3" s="6" t="s">
        <v>16</v>
      </c>
      <c r="C3" s="7"/>
      <c r="D3" s="7"/>
      <c r="E3" s="7"/>
      <c r="F3" s="7"/>
      <c r="G3" s="7"/>
      <c r="H3" s="7"/>
      <c r="I3" s="7"/>
      <c r="J3" s="8">
        <v>417784.96755225933</v>
      </c>
      <c r="K3" s="8">
        <v>439958.39504000929</v>
      </c>
      <c r="L3" s="8">
        <v>2424381.061262155</v>
      </c>
      <c r="M3" s="8">
        <v>14373833.20709838</v>
      </c>
      <c r="N3" s="8">
        <v>10571462.591048598</v>
      </c>
      <c r="O3" s="29"/>
    </row>
    <row r="4" spans="1:15">
      <c r="A4" s="2"/>
      <c r="B4" s="6" t="s">
        <v>17</v>
      </c>
      <c r="C4" s="8">
        <v>8169340.4891706826</v>
      </c>
      <c r="D4" s="8">
        <v>10690552.619208878</v>
      </c>
      <c r="E4" s="8">
        <v>9985797.5966023393</v>
      </c>
      <c r="F4" s="8">
        <v>9274484.3581342995</v>
      </c>
      <c r="G4" s="8">
        <v>5354195.8452197686</v>
      </c>
      <c r="H4" s="8">
        <v>5397789.3259855779</v>
      </c>
      <c r="I4" s="8">
        <v>10571944.977992598</v>
      </c>
      <c r="J4" s="8">
        <v>7000416.9541139957</v>
      </c>
      <c r="K4" s="8">
        <v>7084286.3745531449</v>
      </c>
      <c r="L4" s="8">
        <v>5024081.2091864692</v>
      </c>
      <c r="M4" s="8">
        <v>9812501.2430436909</v>
      </c>
      <c r="N4" s="8">
        <v>9086502.0777344294</v>
      </c>
      <c r="O4" s="30">
        <v>97451893.070945904</v>
      </c>
    </row>
    <row r="5" spans="1:15">
      <c r="A5" s="2"/>
      <c r="B5" s="6" t="s">
        <v>18</v>
      </c>
      <c r="C5" s="8">
        <v>11513895.748123595</v>
      </c>
      <c r="D5" s="8">
        <v>10087120.21016535</v>
      </c>
      <c r="E5" s="8">
        <v>10539637.064951269</v>
      </c>
      <c r="F5" s="8">
        <v>3087525.8495416641</v>
      </c>
      <c r="G5" s="8">
        <v>14670657.129031239</v>
      </c>
      <c r="H5" s="8">
        <v>9386411.6763900593</v>
      </c>
      <c r="I5" s="8">
        <v>13433856.892663233</v>
      </c>
      <c r="J5" s="8">
        <v>5997143.5219672285</v>
      </c>
      <c r="K5" s="8">
        <v>1508113.1594984271</v>
      </c>
      <c r="L5" s="8">
        <v>2944676.4935980737</v>
      </c>
      <c r="M5" s="8">
        <v>1083195.3555570282</v>
      </c>
      <c r="N5" s="8">
        <v>3739708.8780983025</v>
      </c>
      <c r="O5" s="30">
        <v>87991941.979585469</v>
      </c>
    </row>
    <row r="6" spans="1:15">
      <c r="A6" s="2"/>
      <c r="B6" s="6" t="s">
        <v>19</v>
      </c>
      <c r="C6" s="8">
        <v>1328726.1390863275</v>
      </c>
      <c r="D6" s="8">
        <v>6485164.9923565974</v>
      </c>
      <c r="E6" s="8">
        <v>8107336.8642706331</v>
      </c>
      <c r="F6" s="8">
        <v>9507942.8580732308</v>
      </c>
      <c r="G6" s="8">
        <v>13776415.080883941</v>
      </c>
      <c r="H6" s="8">
        <v>15448916.372340146</v>
      </c>
      <c r="I6" s="8">
        <v>8234726.474384293</v>
      </c>
      <c r="J6" s="8">
        <v>11782313.845476579</v>
      </c>
      <c r="K6" s="8">
        <v>5698245.4823992588</v>
      </c>
      <c r="L6" s="8">
        <v>2130608.0870259996</v>
      </c>
      <c r="M6" s="8">
        <v>12749186.582777768</v>
      </c>
      <c r="N6" s="8">
        <v>7546219.8807923393</v>
      </c>
      <c r="O6" s="30">
        <v>102795802.65986712</v>
      </c>
    </row>
    <row r="7" spans="1:15">
      <c r="A7" s="2"/>
      <c r="B7" s="6" t="s">
        <v>20</v>
      </c>
      <c r="C7" s="8">
        <v>7571349.3277672986</v>
      </c>
      <c r="D7" s="8">
        <v>5669887.6339506693</v>
      </c>
      <c r="E7" s="8">
        <v>7769055.9074418284</v>
      </c>
      <c r="F7" s="8">
        <v>5968022.7476689089</v>
      </c>
      <c r="G7" s="8">
        <v>7581021.5611331183</v>
      </c>
      <c r="H7" s="8">
        <v>10406611.850415811</v>
      </c>
      <c r="I7" s="8">
        <v>9162048.1057848483</v>
      </c>
      <c r="J7" s="8">
        <v>4645436.7179042697</v>
      </c>
      <c r="K7" s="8">
        <v>10362364.160839999</v>
      </c>
      <c r="L7" s="8">
        <v>7324734.2814930975</v>
      </c>
      <c r="M7" s="8">
        <v>8851067.9528889172</v>
      </c>
      <c r="N7" s="8">
        <v>6935035.5542476792</v>
      </c>
      <c r="O7" s="30">
        <v>92246635.801536441</v>
      </c>
    </row>
    <row r="8" spans="1:15">
      <c r="A8" s="2"/>
      <c r="B8" s="6" t="s">
        <v>21</v>
      </c>
      <c r="C8" s="8">
        <v>5772239.1126451669</v>
      </c>
      <c r="D8" s="8">
        <v>5810001.2752462989</v>
      </c>
      <c r="E8" s="8">
        <v>7034348.5680390792</v>
      </c>
      <c r="F8" s="8">
        <v>3775619.0629798984</v>
      </c>
      <c r="G8" s="8">
        <v>7279118.6675063204</v>
      </c>
      <c r="H8" s="8">
        <v>6417954.9229406193</v>
      </c>
      <c r="I8" s="8">
        <v>8213409.9963864889</v>
      </c>
      <c r="J8" s="8">
        <v>874280.03622723953</v>
      </c>
      <c r="K8" s="8">
        <v>3786329.5719835698</v>
      </c>
      <c r="L8" s="8">
        <v>3025487.1573645994</v>
      </c>
      <c r="M8" s="8">
        <v>13070171.103354897</v>
      </c>
      <c r="N8" s="8">
        <v>10413804.689212639</v>
      </c>
      <c r="O8" s="30">
        <v>75472764.163886815</v>
      </c>
    </row>
    <row r="9" spans="1:15">
      <c r="A9" s="2"/>
      <c r="B9" s="6" t="s">
        <v>22</v>
      </c>
      <c r="C9" s="8">
        <v>2158954.6879941989</v>
      </c>
      <c r="D9" s="8">
        <v>12824548.175555473</v>
      </c>
      <c r="E9" s="8">
        <v>7588506.2957366984</v>
      </c>
      <c r="F9" s="8">
        <v>5108066.9158483092</v>
      </c>
      <c r="G9" s="8">
        <v>5887250.112975548</v>
      </c>
      <c r="H9" s="8">
        <v>10189980.7879597</v>
      </c>
      <c r="I9" s="8">
        <v>6939739.7989898594</v>
      </c>
      <c r="J9" s="8">
        <v>3297399.6460637189</v>
      </c>
      <c r="K9" s="8">
        <v>2407919.0986127788</v>
      </c>
      <c r="L9" s="8">
        <v>9352612.5989368279</v>
      </c>
      <c r="M9" s="8">
        <v>2656740.681059598</v>
      </c>
      <c r="N9" s="8">
        <v>7744874.8352941982</v>
      </c>
      <c r="O9" s="30">
        <v>76156593.635026902</v>
      </c>
    </row>
    <row r="10" spans="1:15">
      <c r="A10" s="2"/>
      <c r="B10" s="6" t="s">
        <v>23</v>
      </c>
      <c r="C10" s="8">
        <v>5235936.6620448083</v>
      </c>
      <c r="D10" s="8">
        <v>6016639.4856215389</v>
      </c>
      <c r="E10" s="8">
        <v>7814993.0528714005</v>
      </c>
      <c r="F10" s="8">
        <v>5424100.763714348</v>
      </c>
      <c r="G10" s="8">
        <v>6024479.6925434591</v>
      </c>
      <c r="H10" s="8">
        <v>2421161.9280318078</v>
      </c>
      <c r="I10" s="8">
        <v>9737796.307578139</v>
      </c>
      <c r="J10" s="8">
        <v>10609042.727689009</v>
      </c>
      <c r="K10" s="8">
        <v>2480709.3708383786</v>
      </c>
      <c r="L10" s="8">
        <v>8636644.5849157386</v>
      </c>
      <c r="M10" s="8">
        <v>3989129.965518489</v>
      </c>
      <c r="N10" s="8">
        <v>5512359.0818475075</v>
      </c>
      <c r="O10" s="30">
        <v>73902993.623214632</v>
      </c>
    </row>
    <row r="11" spans="1:15">
      <c r="A11" s="2"/>
      <c r="B11" s="6" t="s">
        <v>24</v>
      </c>
      <c r="C11" s="8">
        <v>3739387.7213908685</v>
      </c>
      <c r="D11" s="8">
        <v>1910968.6224881092</v>
      </c>
      <c r="E11" s="8">
        <v>4176799.4246737389</v>
      </c>
      <c r="F11" s="8">
        <v>6215883.4046802297</v>
      </c>
      <c r="G11" s="8">
        <v>4760377.5648163995</v>
      </c>
      <c r="H11" s="8">
        <v>2563961.1256190496</v>
      </c>
      <c r="I11" s="8">
        <v>3220060.9876066889</v>
      </c>
      <c r="J11" s="8">
        <v>2197107.3382672989</v>
      </c>
      <c r="K11" s="8">
        <v>4354419.7645034688</v>
      </c>
      <c r="L11" s="8">
        <v>2749170.382382038</v>
      </c>
      <c r="M11" s="8">
        <v>2801347.9447378181</v>
      </c>
      <c r="N11" s="8">
        <v>2656209.0082229283</v>
      </c>
      <c r="O11" s="30">
        <v>41345693.289388627</v>
      </c>
    </row>
    <row r="12" spans="1:15">
      <c r="A12" s="2"/>
      <c r="B12" s="6" t="s">
        <v>25</v>
      </c>
      <c r="C12" s="8">
        <v>8517477.5922589581</v>
      </c>
      <c r="D12" s="8">
        <v>7912384.3398013683</v>
      </c>
      <c r="E12" s="8">
        <v>10659193.510935029</v>
      </c>
      <c r="F12" s="8">
        <v>14556177.56380423</v>
      </c>
      <c r="G12" s="8">
        <v>17752723.57206108</v>
      </c>
      <c r="H12" s="8">
        <v>7861547.6496291496</v>
      </c>
      <c r="I12" s="8">
        <v>3731304.497241369</v>
      </c>
      <c r="J12" s="8">
        <v>2084067.5574297789</v>
      </c>
      <c r="K12" s="8">
        <v>3461088.9399746386</v>
      </c>
      <c r="L12" s="8">
        <v>4372786.7509766789</v>
      </c>
      <c r="M12" s="8">
        <v>2340281.4582832088</v>
      </c>
      <c r="N12" s="8">
        <v>1187153.0755339488</v>
      </c>
      <c r="O12" s="30">
        <v>84436186.507929429</v>
      </c>
    </row>
    <row r="13" spans="1:15">
      <c r="A13" s="2"/>
      <c r="B13" s="6" t="s">
        <v>26</v>
      </c>
      <c r="C13" s="8">
        <v>2126220.2590685789</v>
      </c>
      <c r="D13" s="8">
        <v>3157710.5996206081</v>
      </c>
      <c r="E13" s="8">
        <v>5281957.7243243298</v>
      </c>
      <c r="F13" s="8">
        <v>6371500.4198352583</v>
      </c>
      <c r="G13" s="8">
        <v>2008277.4470606286</v>
      </c>
      <c r="H13" s="8">
        <v>2874662.4453343083</v>
      </c>
      <c r="I13" s="8">
        <v>1725646.6921185995</v>
      </c>
      <c r="J13" s="8">
        <v>3347035.1510730498</v>
      </c>
      <c r="K13" s="8">
        <v>3685471.8805628489</v>
      </c>
      <c r="L13" s="8">
        <v>3081486.1257974682</v>
      </c>
      <c r="M13" s="8">
        <v>2157699.1627165386</v>
      </c>
      <c r="N13" s="8">
        <v>3007482.6327100387</v>
      </c>
      <c r="O13" s="30">
        <v>38825150.540222257</v>
      </c>
    </row>
    <row r="14" spans="1:15">
      <c r="A14" s="2"/>
      <c r="B14" s="6" t="s">
        <v>27</v>
      </c>
      <c r="C14" s="8">
        <v>2565971.9233017592</v>
      </c>
      <c r="D14" s="8">
        <v>1365860.6159995892</v>
      </c>
      <c r="E14" s="8">
        <v>5894577.709647039</v>
      </c>
      <c r="F14" s="8">
        <v>2924808.7407160592</v>
      </c>
      <c r="G14" s="8">
        <v>5267793.5405571796</v>
      </c>
      <c r="H14" s="8">
        <v>2410882.1821681494</v>
      </c>
      <c r="I14" s="8">
        <v>2987356.5720025189</v>
      </c>
      <c r="J14" s="8">
        <v>3816832.2188102193</v>
      </c>
      <c r="K14" s="8">
        <v>2624139.2456603693</v>
      </c>
      <c r="L14" s="8">
        <v>2068079.4912605288</v>
      </c>
      <c r="M14" s="8">
        <v>2013296.0975487791</v>
      </c>
      <c r="N14" s="8">
        <v>2447654.861274899</v>
      </c>
      <c r="O14" s="30">
        <v>36387253.198947094</v>
      </c>
    </row>
    <row r="15" spans="1:15">
      <c r="A15" s="2"/>
      <c r="B15" s="6" t="s">
        <v>28</v>
      </c>
      <c r="C15" s="8">
        <v>2137972.8820992187</v>
      </c>
      <c r="D15" s="8">
        <v>3390461.8517018594</v>
      </c>
      <c r="E15" s="8">
        <v>5085497.1165993791</v>
      </c>
      <c r="F15" s="8">
        <v>12799314.636368901</v>
      </c>
      <c r="G15" s="8">
        <v>8677428.8810641784</v>
      </c>
      <c r="H15" s="8">
        <v>5535314.2366210893</v>
      </c>
      <c r="I15" s="8">
        <v>6922687.77483375</v>
      </c>
      <c r="J15" s="8">
        <v>6658810.5278642187</v>
      </c>
      <c r="K15" s="8">
        <v>4301512.6252473993</v>
      </c>
      <c r="L15" s="8">
        <v>4501060.9401884396</v>
      </c>
      <c r="M15" s="8">
        <v>2348659.2077126787</v>
      </c>
      <c r="N15" s="8">
        <v>4254053.6119351191</v>
      </c>
      <c r="O15" s="30">
        <v>66612774.292236231</v>
      </c>
    </row>
    <row r="16" spans="1:15">
      <c r="A16" s="2"/>
      <c r="B16" s="6" t="s">
        <v>29</v>
      </c>
      <c r="C16" s="8">
        <v>4024955.1698236391</v>
      </c>
      <c r="D16" s="8">
        <v>1894470.5865188986</v>
      </c>
      <c r="E16" s="8">
        <v>6917909.8665994899</v>
      </c>
      <c r="F16" s="8">
        <v>1916152.4447769192</v>
      </c>
      <c r="G16" s="8">
        <v>4326227.957917829</v>
      </c>
      <c r="H16" s="8">
        <v>2759906.4054367188</v>
      </c>
      <c r="I16" s="8">
        <v>2574213.4495271593</v>
      </c>
      <c r="J16" s="8">
        <v>1386456.0662867199</v>
      </c>
      <c r="K16" s="8">
        <v>2546856.8458483391</v>
      </c>
      <c r="L16" s="8">
        <v>1274094.3704809893</v>
      </c>
      <c r="M16" s="8">
        <v>1455437.5697654393</v>
      </c>
      <c r="N16" s="8">
        <v>2141224.7041444788</v>
      </c>
      <c r="O16" s="30">
        <v>33217905.437126622</v>
      </c>
    </row>
    <row r="17" spans="1:15">
      <c r="A17" s="2"/>
      <c r="B17" s="6" t="s">
        <v>30</v>
      </c>
      <c r="C17" s="8">
        <v>3522021.6551348791</v>
      </c>
      <c r="D17" s="8">
        <v>2125538.3282732992</v>
      </c>
      <c r="E17" s="8">
        <v>2830153.064821749</v>
      </c>
      <c r="F17" s="8">
        <v>3206685.3201523195</v>
      </c>
      <c r="G17" s="8">
        <v>1891442.8257313296</v>
      </c>
      <c r="H17" s="8">
        <v>2522980.6598878396</v>
      </c>
      <c r="I17" s="8">
        <v>2741937.5359422001</v>
      </c>
      <c r="J17" s="8">
        <v>3140806.9072515499</v>
      </c>
      <c r="K17" s="8">
        <v>3104393.7053829092</v>
      </c>
      <c r="L17" s="8">
        <v>2157436.0482608792</v>
      </c>
      <c r="M17" s="8">
        <v>4765975.20643833</v>
      </c>
      <c r="N17" s="8">
        <v>4041421.9145109495</v>
      </c>
      <c r="O17" s="30">
        <v>36050793.171788231</v>
      </c>
    </row>
    <row r="18" spans="1:15">
      <c r="A18" s="2"/>
      <c r="B18" s="6" t="s">
        <v>31</v>
      </c>
      <c r="C18" s="8">
        <v>1135843.640360049</v>
      </c>
      <c r="D18" s="8">
        <v>1241367.0577855194</v>
      </c>
      <c r="E18" s="8">
        <v>2928251.1045084498</v>
      </c>
      <c r="F18" s="8">
        <v>1866193.3139302193</v>
      </c>
      <c r="G18" s="8">
        <v>5533414.4913792796</v>
      </c>
      <c r="H18" s="8">
        <v>3085696.3126144204</v>
      </c>
      <c r="I18" s="8">
        <v>4114992.3928653197</v>
      </c>
      <c r="J18" s="8">
        <v>789233.98618335929</v>
      </c>
      <c r="K18" s="8">
        <v>2878424.1895884788</v>
      </c>
      <c r="L18" s="8">
        <v>736876.39579848899</v>
      </c>
      <c r="M18" s="8">
        <v>1348783.6550542184</v>
      </c>
      <c r="N18" s="8">
        <v>754258.15164527914</v>
      </c>
      <c r="O18" s="30">
        <v>26413334.691713087</v>
      </c>
    </row>
    <row r="19" spans="1:15">
      <c r="A19" s="2"/>
      <c r="B19" s="6" t="s">
        <v>32</v>
      </c>
      <c r="C19" s="8">
        <v>3229484.1098459475</v>
      </c>
      <c r="D19" s="8">
        <v>1222809.6717010688</v>
      </c>
      <c r="E19" s="8">
        <v>1174095.1556132787</v>
      </c>
      <c r="F19" s="8">
        <v>1697343.732972119</v>
      </c>
      <c r="G19" s="8">
        <v>4153549.9786158786</v>
      </c>
      <c r="H19" s="8">
        <v>3034719.7952821092</v>
      </c>
      <c r="I19" s="8">
        <v>2909051.660704439</v>
      </c>
      <c r="J19" s="8">
        <v>4970921.9747445993</v>
      </c>
      <c r="K19" s="8">
        <v>2024132.2889812181</v>
      </c>
      <c r="L19" s="8">
        <v>2770849.4242782788</v>
      </c>
      <c r="M19" s="8">
        <v>6502136.4832534678</v>
      </c>
      <c r="N19" s="8">
        <v>4684779.7304233685</v>
      </c>
      <c r="O19" s="30">
        <v>38373874.006415769</v>
      </c>
    </row>
    <row r="20" spans="1:15">
      <c r="A20" s="2"/>
      <c r="B20" s="6" t="s">
        <v>33</v>
      </c>
      <c r="C20" s="8">
        <v>4843940.9420265183</v>
      </c>
      <c r="D20" s="8">
        <v>5349102.6351750977</v>
      </c>
      <c r="E20" s="8">
        <v>6759331.3860037392</v>
      </c>
      <c r="F20" s="8">
        <v>7700102.3041318376</v>
      </c>
      <c r="G20" s="8">
        <v>6517388.6105229184</v>
      </c>
      <c r="H20" s="8">
        <v>2163025.2941607386</v>
      </c>
      <c r="I20" s="8">
        <v>1388930.4165091983</v>
      </c>
      <c r="J20" s="8">
        <v>1831245.2704736472</v>
      </c>
      <c r="K20" s="8">
        <v>2096872.4324246277</v>
      </c>
      <c r="L20" s="8">
        <v>2230587.5077514481</v>
      </c>
      <c r="M20" s="8">
        <v>4188628.7578645684</v>
      </c>
      <c r="N20" s="8">
        <v>2720458.1012706272</v>
      </c>
      <c r="O20" s="30">
        <v>47789613.658314973</v>
      </c>
    </row>
    <row r="21" spans="1:15">
      <c r="A21" s="2"/>
      <c r="B21" s="6" t="s">
        <v>34</v>
      </c>
      <c r="C21" s="8">
        <v>2111086.5377208772</v>
      </c>
      <c r="D21" s="8">
        <v>1948408.4280426679</v>
      </c>
      <c r="E21" s="8">
        <v>1632881.7370924386</v>
      </c>
      <c r="F21" s="8">
        <v>3274363.8556648586</v>
      </c>
      <c r="G21" s="8">
        <v>3961975.8258524984</v>
      </c>
      <c r="H21" s="8">
        <v>4945627.2631583577</v>
      </c>
      <c r="I21" s="8">
        <v>3153532.9388956879</v>
      </c>
      <c r="J21" s="8">
        <v>5382904.8157491274</v>
      </c>
      <c r="K21" s="8">
        <v>3942173.7070463584</v>
      </c>
      <c r="L21" s="8">
        <v>2995867.7341306172</v>
      </c>
      <c r="M21" s="8">
        <v>2563850.9951907471</v>
      </c>
      <c r="N21" s="8">
        <v>2340807.3288540468</v>
      </c>
      <c r="O21" s="30">
        <v>38253481.167398289</v>
      </c>
    </row>
    <row r="22" spans="1:15">
      <c r="A22" s="2"/>
      <c r="B22" s="6" t="s">
        <v>35</v>
      </c>
      <c r="C22" s="8">
        <v>3082443.602004576</v>
      </c>
      <c r="D22" s="8">
        <v>2557515.6707384363</v>
      </c>
      <c r="E22" s="8">
        <v>3306652.175768056</v>
      </c>
      <c r="F22" s="8">
        <v>8511696.6183387768</v>
      </c>
      <c r="G22" s="8">
        <v>11058129.145484976</v>
      </c>
      <c r="H22" s="8">
        <v>11114288.968811626</v>
      </c>
      <c r="I22" s="8">
        <v>3275268.6996954065</v>
      </c>
      <c r="J22" s="8">
        <v>7306217.5522087961</v>
      </c>
      <c r="K22" s="8">
        <v>5853317.5495390762</v>
      </c>
      <c r="L22" s="8">
        <v>4681226.842581016</v>
      </c>
      <c r="M22" s="8">
        <v>6913990.1553353965</v>
      </c>
      <c r="N22" s="8">
        <v>4102072.5798281962</v>
      </c>
      <c r="O22" s="30">
        <v>71762819.560334325</v>
      </c>
    </row>
    <row r="23" spans="1:15">
      <c r="A23" s="2"/>
      <c r="B23" s="6" t="s">
        <v>36</v>
      </c>
      <c r="C23" s="8">
        <v>3807349.2411775859</v>
      </c>
      <c r="D23" s="8">
        <v>3004412.170964736</v>
      </c>
      <c r="E23" s="8">
        <v>4261539.7955118958</v>
      </c>
      <c r="F23" s="8">
        <v>7471569.6823242549</v>
      </c>
      <c r="G23" s="8">
        <v>4284051.1461567562</v>
      </c>
      <c r="H23" s="8">
        <v>3780504.5700922348</v>
      </c>
      <c r="I23" s="8">
        <v>3037889.3265145663</v>
      </c>
      <c r="J23" s="8">
        <v>3674306.6185694351</v>
      </c>
      <c r="K23" s="8">
        <v>2408056.6768533769</v>
      </c>
      <c r="L23" s="8">
        <v>2734086.5461429167</v>
      </c>
      <c r="M23" s="8">
        <v>2110763.2197349174</v>
      </c>
      <c r="N23" s="8">
        <v>3030204.4874465959</v>
      </c>
      <c r="O23" s="30">
        <v>43604733.481489263</v>
      </c>
    </row>
    <row r="24" spans="1:15">
      <c r="A24" s="2"/>
      <c r="B24" s="6" t="s">
        <v>37</v>
      </c>
      <c r="C24" s="8">
        <v>3247157.0944228657</v>
      </c>
      <c r="D24" s="8">
        <v>2835032.8010534467</v>
      </c>
      <c r="E24" s="8">
        <v>2826021.4329389264</v>
      </c>
      <c r="F24" s="8">
        <v>2320475.2611271371</v>
      </c>
      <c r="G24" s="8">
        <v>3304942.6933472357</v>
      </c>
      <c r="H24" s="8">
        <v>2623992.1458927067</v>
      </c>
      <c r="I24" s="8">
        <v>2640524.7960150172</v>
      </c>
      <c r="J24" s="8">
        <v>2604817.937743797</v>
      </c>
      <c r="K24" s="8">
        <v>2039300.2791352773</v>
      </c>
      <c r="L24" s="8">
        <v>2248521.3517047372</v>
      </c>
      <c r="M24" s="8">
        <v>2487734.8748743171</v>
      </c>
      <c r="N24" s="8">
        <v>2390156.5703139869</v>
      </c>
      <c r="O24" s="30">
        <v>31568677.23856945</v>
      </c>
    </row>
    <row r="25" spans="1:15">
      <c r="A25" s="2"/>
      <c r="B25" s="6" t="s">
        <v>38</v>
      </c>
      <c r="C25" s="8">
        <v>2147734.0287014372</v>
      </c>
      <c r="D25" s="8">
        <v>2734736.8558255355</v>
      </c>
      <c r="E25" s="8">
        <v>2317552.3047987167</v>
      </c>
      <c r="F25" s="8">
        <v>4927425.4682289567</v>
      </c>
      <c r="G25" s="8">
        <v>2668909.9419048168</v>
      </c>
      <c r="H25" s="8">
        <v>3037156.8465355569</v>
      </c>
      <c r="I25" s="8">
        <v>2208128.2634443771</v>
      </c>
      <c r="J25" s="8">
        <v>1715113.6866708477</v>
      </c>
      <c r="K25" s="8">
        <v>2338017.1315082377</v>
      </c>
      <c r="L25" s="8">
        <v>2832959.4803800364</v>
      </c>
      <c r="M25" s="8">
        <v>2109340.0797209176</v>
      </c>
      <c r="N25" s="8">
        <v>2593066.116159576</v>
      </c>
      <c r="O25" s="30">
        <v>31630140.203879014</v>
      </c>
    </row>
    <row r="26" spans="1:15">
      <c r="A26" s="2"/>
      <c r="B26" s="6" t="s">
        <v>39</v>
      </c>
      <c r="C26" s="8">
        <v>2247572.3056559865</v>
      </c>
      <c r="D26" s="8">
        <v>3230985.8501068372</v>
      </c>
      <c r="E26" s="8">
        <v>3417676.5537443571</v>
      </c>
      <c r="F26" s="8">
        <v>4132567.2820428177</v>
      </c>
      <c r="G26" s="8">
        <v>2153561.8557204567</v>
      </c>
      <c r="H26" s="8">
        <v>1621386.6425053482</v>
      </c>
      <c r="I26" s="8">
        <v>1061120.1917474989</v>
      </c>
      <c r="J26" s="8">
        <v>1602640.4743961778</v>
      </c>
      <c r="K26" s="8">
        <v>2163690.5934382575</v>
      </c>
      <c r="L26" s="8">
        <v>2357597.1979076769</v>
      </c>
      <c r="M26" s="8">
        <v>2682480.6196231563</v>
      </c>
      <c r="N26" s="8">
        <v>3246952.5540034352</v>
      </c>
      <c r="O26" s="30">
        <v>29918232.120892003</v>
      </c>
    </row>
    <row r="27" spans="1:15">
      <c r="A27" s="2"/>
      <c r="B27" s="6" t="s">
        <v>40</v>
      </c>
      <c r="C27" s="8">
        <v>2778245.7664798764</v>
      </c>
      <c r="D27" s="8">
        <v>2910519.6449910561</v>
      </c>
      <c r="E27" s="8">
        <v>5158212.3235432468</v>
      </c>
      <c r="F27" s="8">
        <v>3869584.5257693967</v>
      </c>
      <c r="G27" s="8">
        <v>2743690.3167052777</v>
      </c>
      <c r="H27" s="8">
        <v>1991423.3521282175</v>
      </c>
      <c r="I27" s="8">
        <v>1945515.8842415772</v>
      </c>
      <c r="J27" s="8">
        <v>1871183.0685036178</v>
      </c>
      <c r="K27" s="8">
        <v>1717092.7324937177</v>
      </c>
      <c r="L27" s="8">
        <v>2672428.7879175767</v>
      </c>
      <c r="M27" s="8">
        <v>2411942.4662295366</v>
      </c>
      <c r="N27" s="8">
        <v>2462337.6015942665</v>
      </c>
      <c r="O27" s="30">
        <v>32532176.470597368</v>
      </c>
    </row>
    <row r="28" spans="1:15">
      <c r="A28" s="2"/>
      <c r="B28" s="6" t="s">
        <v>41</v>
      </c>
      <c r="C28" s="8">
        <v>2222497.3584264568</v>
      </c>
      <c r="D28" s="8">
        <v>2337254.3810570771</v>
      </c>
      <c r="E28" s="8">
        <v>4214024.0553049967</v>
      </c>
      <c r="F28" s="8">
        <v>3626292.8177302363</v>
      </c>
      <c r="G28" s="8">
        <v>3100902.8986718766</v>
      </c>
      <c r="H28" s="8">
        <v>2588198.7888033073</v>
      </c>
      <c r="I28" s="8">
        <v>2411691.3266253173</v>
      </c>
      <c r="J28" s="8">
        <v>4762583.042293787</v>
      </c>
      <c r="K28" s="8">
        <v>2354565.8646021169</v>
      </c>
      <c r="L28" s="8">
        <v>2895685.467506587</v>
      </c>
      <c r="M28" s="8">
        <v>2617654.2621323364</v>
      </c>
      <c r="N28" s="8">
        <v>5865467.2543161158</v>
      </c>
      <c r="O28" s="30">
        <v>38996817.517470218</v>
      </c>
    </row>
    <row r="29" spans="1:15">
      <c r="A29" s="2"/>
      <c r="B29" s="6" t="s">
        <v>42</v>
      </c>
      <c r="C29" s="8">
        <v>3054639.6866003769</v>
      </c>
      <c r="D29" s="8">
        <v>3554646.1593163968</v>
      </c>
      <c r="E29" s="8">
        <v>3304577.9590137368</v>
      </c>
      <c r="F29" s="8">
        <v>3660556.6559893368</v>
      </c>
      <c r="G29" s="8">
        <v>2973214.2606497658</v>
      </c>
      <c r="H29" s="8">
        <v>4338147.3587249164</v>
      </c>
      <c r="I29" s="8">
        <v>2156847.3385455376</v>
      </c>
      <c r="J29" s="8">
        <v>3099969.6303991666</v>
      </c>
      <c r="K29" s="8">
        <v>3554327.5269529168</v>
      </c>
      <c r="L29" s="8">
        <v>4175555.7395192664</v>
      </c>
      <c r="M29" s="8">
        <v>2874630.4046063265</v>
      </c>
      <c r="N29" s="8">
        <v>3215945.0040421775</v>
      </c>
      <c r="O29" s="30">
        <v>39963057.724359922</v>
      </c>
    </row>
    <row r="30" spans="1:15">
      <c r="A30" s="2"/>
      <c r="B30" s="6" t="s">
        <v>43</v>
      </c>
      <c r="C30" s="8">
        <v>3206428.3523802171</v>
      </c>
      <c r="D30" s="8">
        <v>2726469.0020186068</v>
      </c>
      <c r="E30" s="8">
        <v>3386810.3405155865</v>
      </c>
      <c r="F30" s="8">
        <v>2321332.0643297778</v>
      </c>
      <c r="G30" s="8">
        <v>3061963.5855893567</v>
      </c>
      <c r="H30" s="8">
        <v>3754915.6069144071</v>
      </c>
      <c r="I30" s="8">
        <v>3177813.6003217474</v>
      </c>
      <c r="J30" s="8">
        <v>2488333.3144317972</v>
      </c>
      <c r="K30" s="8">
        <v>2819089.2606697669</v>
      </c>
      <c r="L30" s="8">
        <v>2376604.0249683568</v>
      </c>
      <c r="M30" s="8">
        <v>2040180.9108728271</v>
      </c>
      <c r="N30" s="8">
        <v>1926295.4273419373</v>
      </c>
      <c r="O30" s="30">
        <v>33286235.490354385</v>
      </c>
    </row>
    <row r="31" spans="1:15">
      <c r="A31" s="2"/>
      <c r="B31" s="6" t="s">
        <v>44</v>
      </c>
      <c r="C31" s="8">
        <v>2190326.0876585972</v>
      </c>
      <c r="D31" s="8">
        <v>2623458.0632971362</v>
      </c>
      <c r="E31" s="8">
        <v>3096926.3362992355</v>
      </c>
      <c r="F31" s="8">
        <v>2653566.0511987158</v>
      </c>
      <c r="G31" s="8">
        <v>2352092.4541580966</v>
      </c>
      <c r="H31" s="8">
        <v>2231388.7299888171</v>
      </c>
      <c r="I31" s="8">
        <v>2416489.8874517768</v>
      </c>
      <c r="J31" s="8">
        <v>2582139.4893497564</v>
      </c>
      <c r="K31" s="8">
        <v>2952805.4633299764</v>
      </c>
      <c r="L31" s="8">
        <v>3302734.9746693755</v>
      </c>
      <c r="M31" s="8">
        <v>2941093.6005001059</v>
      </c>
      <c r="N31" s="8">
        <v>3498873.9055695259</v>
      </c>
      <c r="O31" s="30">
        <v>32841895.043471102</v>
      </c>
    </row>
    <row r="32" spans="1:15">
      <c r="A32" s="2"/>
      <c r="B32" s="6" t="s">
        <v>45</v>
      </c>
      <c r="C32" s="8">
        <v>3605402.1235092357</v>
      </c>
      <c r="D32" s="8">
        <v>2498997.6174673769</v>
      </c>
      <c r="E32" s="8">
        <v>2971414.473699396</v>
      </c>
      <c r="F32" s="8">
        <v>2969782.6147752171</v>
      </c>
      <c r="G32" s="8">
        <v>3404351.8392086956</v>
      </c>
      <c r="H32" s="8">
        <v>3077680.8056592359</v>
      </c>
      <c r="I32" s="8">
        <v>3166336.9386599855</v>
      </c>
      <c r="J32" s="7"/>
      <c r="K32" s="7"/>
      <c r="L32" s="7"/>
      <c r="M32" s="7"/>
      <c r="N32" s="7"/>
      <c r="O32" s="30">
        <v>21693966.412979141</v>
      </c>
    </row>
    <row r="33" spans="1:15">
      <c r="A33" s="2"/>
      <c r="B33" s="2"/>
      <c r="C33" s="2"/>
      <c r="D33" s="2"/>
      <c r="E33" s="2"/>
      <c r="F33" s="2"/>
      <c r="G33" s="2"/>
      <c r="H33" s="2"/>
      <c r="I33" s="2"/>
      <c r="J33" s="2"/>
      <c r="K33" s="2"/>
      <c r="L33" s="2"/>
      <c r="M33" s="2"/>
      <c r="N33" s="2"/>
      <c r="O33" s="24"/>
    </row>
    <row r="34" spans="1:15" ht="72">
      <c r="A34" s="1" t="s">
        <v>57</v>
      </c>
      <c r="B34" s="2"/>
      <c r="C34" s="2"/>
      <c r="D34" s="2"/>
      <c r="E34" s="2"/>
      <c r="F34" s="2"/>
      <c r="G34" s="2"/>
      <c r="H34" s="2"/>
      <c r="I34" s="2"/>
      <c r="J34" s="2"/>
      <c r="K34" s="2"/>
      <c r="L34" s="2"/>
      <c r="M34" s="2"/>
      <c r="N34" s="2"/>
      <c r="O34" s="24"/>
    </row>
    <row r="35" spans="1:15" ht="180">
      <c r="A35" s="1" t="s">
        <v>58</v>
      </c>
      <c r="B35" s="2"/>
      <c r="C35" s="2"/>
      <c r="D35" s="2"/>
      <c r="E35" s="2"/>
      <c r="F35" s="2"/>
      <c r="G35" s="2"/>
      <c r="H35" s="2"/>
      <c r="I35" s="2"/>
      <c r="J35" s="2"/>
      <c r="K35" s="2"/>
      <c r="L35" s="2"/>
      <c r="M35" s="2"/>
      <c r="N35" s="2"/>
      <c r="O35" s="24"/>
    </row>
    <row r="36" spans="1:15">
      <c r="A36" s="12" t="s">
        <v>50</v>
      </c>
      <c r="B36" s="2"/>
      <c r="C36" s="2"/>
      <c r="D36" s="2"/>
      <c r="E36" s="2"/>
      <c r="F36" s="2"/>
      <c r="G36" s="2"/>
      <c r="H36" s="2"/>
      <c r="I36" s="2"/>
      <c r="J36" s="2"/>
      <c r="K36" s="2"/>
      <c r="L36" s="2"/>
      <c r="M36" s="2"/>
      <c r="N36" s="2"/>
      <c r="O36" s="24"/>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94E120-7767-D44C-8A76-9022E14BFAD4}">
  <dimension ref="A1:L49"/>
  <sheetViews>
    <sheetView topLeftCell="A13" workbookViewId="0">
      <selection activeCell="A45" sqref="A45"/>
    </sheetView>
  </sheetViews>
  <sheetFormatPr baseColWidth="10" defaultRowHeight="16"/>
  <cols>
    <col min="8" max="8" width="10.83203125" style="27"/>
  </cols>
  <sheetData>
    <row r="1" spans="1:12">
      <c r="A1" s="37" t="s">
        <v>156</v>
      </c>
      <c r="B1" s="38"/>
      <c r="C1" s="38"/>
      <c r="D1" s="38"/>
      <c r="E1" s="38"/>
      <c r="F1" s="38"/>
      <c r="G1" s="38"/>
      <c r="H1" s="87"/>
      <c r="I1" s="38"/>
      <c r="J1" s="38"/>
      <c r="K1" s="38"/>
      <c r="L1" s="38"/>
    </row>
    <row r="2" spans="1:12">
      <c r="A2" t="s">
        <v>157</v>
      </c>
      <c r="B2" s="39"/>
      <c r="C2" s="40" t="s">
        <v>83</v>
      </c>
      <c r="D2" s="39"/>
      <c r="E2" s="39"/>
      <c r="G2" s="39"/>
      <c r="H2" s="88" t="s">
        <v>84</v>
      </c>
      <c r="I2" s="39"/>
      <c r="J2" s="39"/>
      <c r="L2" s="41" t="s">
        <v>158</v>
      </c>
    </row>
    <row r="3" spans="1:12">
      <c r="A3" t="s">
        <v>159</v>
      </c>
      <c r="B3" s="42" t="s">
        <v>150</v>
      </c>
      <c r="I3" s="42" t="s">
        <v>160</v>
      </c>
      <c r="K3" s="42" t="s">
        <v>161</v>
      </c>
      <c r="L3" s="42" t="s">
        <v>162</v>
      </c>
    </row>
    <row r="4" spans="1:12">
      <c r="A4" t="s">
        <v>163</v>
      </c>
      <c r="B4" s="43" t="s">
        <v>151</v>
      </c>
      <c r="C4" s="43" t="s">
        <v>87</v>
      </c>
      <c r="D4" s="43" t="s">
        <v>146</v>
      </c>
      <c r="E4" s="43" t="s">
        <v>164</v>
      </c>
      <c r="G4" s="42" t="s">
        <v>165</v>
      </c>
      <c r="H4" s="89" t="s">
        <v>148</v>
      </c>
      <c r="I4" s="42" t="s">
        <v>166</v>
      </c>
      <c r="J4" s="42" t="s">
        <v>152</v>
      </c>
      <c r="K4" s="42" t="s">
        <v>151</v>
      </c>
      <c r="L4" s="42" t="s">
        <v>167</v>
      </c>
    </row>
    <row r="5" spans="1:12">
      <c r="A5" s="38"/>
      <c r="B5" s="38"/>
      <c r="C5" s="38"/>
      <c r="D5" s="38"/>
      <c r="E5" s="38"/>
      <c r="F5" s="38"/>
      <c r="G5" s="41"/>
      <c r="H5" s="90"/>
      <c r="I5" s="41" t="s">
        <v>168</v>
      </c>
      <c r="J5" s="41"/>
      <c r="K5" s="38"/>
      <c r="L5" s="41" t="s">
        <v>169</v>
      </c>
    </row>
    <row r="6" spans="1:12">
      <c r="C6" s="44"/>
      <c r="D6" s="44"/>
      <c r="E6" s="44"/>
      <c r="F6" s="44"/>
      <c r="G6" s="44" t="s">
        <v>170</v>
      </c>
      <c r="H6" s="91"/>
      <c r="I6" s="44"/>
      <c r="J6" s="44"/>
      <c r="K6" s="44"/>
      <c r="L6" s="42" t="s">
        <v>171</v>
      </c>
    </row>
    <row r="7" spans="1:12">
      <c r="B7" s="45"/>
      <c r="C7" s="45"/>
      <c r="D7" s="45"/>
      <c r="E7" s="45"/>
      <c r="F7" s="45"/>
      <c r="G7" s="45"/>
      <c r="H7" s="92"/>
      <c r="I7" s="45"/>
      <c r="J7" s="45"/>
      <c r="K7" s="45"/>
      <c r="L7" s="42"/>
    </row>
    <row r="8" spans="1:12">
      <c r="A8" s="46">
        <v>1980</v>
      </c>
      <c r="B8" s="47">
        <v>358</v>
      </c>
      <c r="C8" s="47">
        <f>+[1]tab02!E26/1000</f>
        <v>1797.5429999999999</v>
      </c>
      <c r="D8" s="47">
        <v>0</v>
      </c>
      <c r="E8" s="48">
        <f t="shared" ref="E8:E44" si="0">+B8+C8+D8</f>
        <v>2155.5429999999997</v>
      </c>
      <c r="F8" s="47"/>
      <c r="G8" s="47">
        <v>1020</v>
      </c>
      <c r="H8" s="93">
        <v>724</v>
      </c>
      <c r="I8" s="47">
        <f t="shared" ref="I8:I41" si="1">+J8-G8-H8</f>
        <v>98.535999999999603</v>
      </c>
      <c r="J8" s="47">
        <f t="shared" ref="J8:J41" si="2">+E8-K8</f>
        <v>1842.5359999999996</v>
      </c>
      <c r="K8" s="47">
        <v>313.00700000000001</v>
      </c>
      <c r="L8" s="49">
        <v>7.57</v>
      </c>
    </row>
    <row r="9" spans="1:12">
      <c r="A9" s="46">
        <v>1981</v>
      </c>
      <c r="B9" s="47">
        <f t="shared" ref="B9:B41" si="3">+K8</f>
        <v>313.00700000000001</v>
      </c>
      <c r="C9" s="47">
        <f>+[1]tab02!E27/1000</f>
        <v>1989.11</v>
      </c>
      <c r="D9" s="47">
        <v>0</v>
      </c>
      <c r="E9" s="48">
        <f t="shared" si="0"/>
        <v>2302.1169999999997</v>
      </c>
      <c r="F9" s="47"/>
      <c r="G9" s="47">
        <v>1030</v>
      </c>
      <c r="H9" s="93">
        <v>929</v>
      </c>
      <c r="I9" s="47">
        <f t="shared" si="1"/>
        <v>88.605999999999767</v>
      </c>
      <c r="J9" s="47">
        <f t="shared" si="2"/>
        <v>2047.6059999999998</v>
      </c>
      <c r="K9" s="47">
        <v>254.511</v>
      </c>
      <c r="L9" s="49">
        <v>6.07</v>
      </c>
    </row>
    <row r="10" spans="1:12">
      <c r="A10" s="46">
        <v>1982</v>
      </c>
      <c r="B10" s="47">
        <f t="shared" si="3"/>
        <v>254.511</v>
      </c>
      <c r="C10" s="47">
        <f>+[1]tab02!E28/1000</f>
        <v>2190.297</v>
      </c>
      <c r="D10" s="47">
        <v>0</v>
      </c>
      <c r="E10" s="48">
        <f t="shared" si="0"/>
        <v>2444.808</v>
      </c>
      <c r="F10" s="47"/>
      <c r="G10" s="47">
        <v>1108</v>
      </c>
      <c r="H10" s="93">
        <v>905</v>
      </c>
      <c r="I10" s="47">
        <f t="shared" si="1"/>
        <v>87.173999999999978</v>
      </c>
      <c r="J10" s="47">
        <f t="shared" si="2"/>
        <v>2100.174</v>
      </c>
      <c r="K10" s="47">
        <v>344.63400000000001</v>
      </c>
      <c r="L10" s="49">
        <v>5.71</v>
      </c>
    </row>
    <row r="11" spans="1:12">
      <c r="A11" s="46">
        <v>1983</v>
      </c>
      <c r="B11" s="47">
        <f t="shared" si="3"/>
        <v>344.63400000000001</v>
      </c>
      <c r="C11" s="47">
        <f>+[1]tab02!E29/1000</f>
        <v>1635.7719999999999</v>
      </c>
      <c r="D11" s="47">
        <v>0</v>
      </c>
      <c r="E11" s="48">
        <f t="shared" si="0"/>
        <v>1980.4059999999999</v>
      </c>
      <c r="F11" s="47"/>
      <c r="G11" s="47">
        <v>983</v>
      </c>
      <c r="H11" s="93">
        <v>743</v>
      </c>
      <c r="I11" s="47">
        <f t="shared" si="1"/>
        <v>78.710000000000036</v>
      </c>
      <c r="J11" s="47">
        <f t="shared" si="2"/>
        <v>1804.71</v>
      </c>
      <c r="K11" s="47">
        <v>175.696</v>
      </c>
      <c r="L11" s="49">
        <v>7.83</v>
      </c>
    </row>
    <row r="12" spans="1:12">
      <c r="A12" s="46">
        <v>1984</v>
      </c>
      <c r="B12" s="47">
        <f t="shared" si="3"/>
        <v>175.696</v>
      </c>
      <c r="C12" s="47">
        <f>+[1]tab02!E30/1000</f>
        <v>1860.8630000000001</v>
      </c>
      <c r="D12" s="47">
        <v>0</v>
      </c>
      <c r="E12" s="48">
        <f t="shared" si="0"/>
        <v>2036.559</v>
      </c>
      <c r="F12" s="47"/>
      <c r="G12" s="47">
        <v>1030</v>
      </c>
      <c r="H12" s="93">
        <v>598</v>
      </c>
      <c r="I12" s="47">
        <f t="shared" si="1"/>
        <v>92.501999999999953</v>
      </c>
      <c r="J12" s="47">
        <f t="shared" si="2"/>
        <v>1720.502</v>
      </c>
      <c r="K12" s="47">
        <v>316.05700000000002</v>
      </c>
      <c r="L12" s="49">
        <v>5.84</v>
      </c>
    </row>
    <row r="13" spans="1:12">
      <c r="A13" s="46">
        <v>1985</v>
      </c>
      <c r="B13" s="47">
        <f t="shared" si="3"/>
        <v>316.05700000000002</v>
      </c>
      <c r="C13" s="47">
        <f>+[1]tab02!E31/1000</f>
        <v>2099.056</v>
      </c>
      <c r="D13" s="47">
        <v>1</v>
      </c>
      <c r="E13" s="48">
        <f t="shared" si="0"/>
        <v>2416.1130000000003</v>
      </c>
      <c r="F13" s="47"/>
      <c r="G13" s="47">
        <v>1053</v>
      </c>
      <c r="H13" s="93">
        <v>741</v>
      </c>
      <c r="I13" s="47">
        <f t="shared" si="1"/>
        <v>85.748000000000275</v>
      </c>
      <c r="J13" s="47">
        <f t="shared" si="2"/>
        <v>1879.7480000000003</v>
      </c>
      <c r="K13" s="47">
        <v>536.36500000000001</v>
      </c>
      <c r="L13" s="49">
        <v>5.05</v>
      </c>
    </row>
    <row r="14" spans="1:12">
      <c r="A14" s="46">
        <v>1986</v>
      </c>
      <c r="B14" s="47">
        <f t="shared" si="3"/>
        <v>536.36500000000001</v>
      </c>
      <c r="C14" s="47">
        <f>+[1]tab02!E32/1000</f>
        <v>1942.558</v>
      </c>
      <c r="D14" s="47">
        <v>0</v>
      </c>
      <c r="E14" s="48">
        <f t="shared" si="0"/>
        <v>2478.9229999999998</v>
      </c>
      <c r="F14" s="47"/>
      <c r="G14" s="47">
        <v>1179</v>
      </c>
      <c r="H14" s="93">
        <v>757</v>
      </c>
      <c r="I14" s="47">
        <f t="shared" si="1"/>
        <v>106.47599999999966</v>
      </c>
      <c r="J14" s="47">
        <f t="shared" si="2"/>
        <v>2042.4759999999997</v>
      </c>
      <c r="K14" s="47">
        <v>436.447</v>
      </c>
      <c r="L14" s="49">
        <v>4.78</v>
      </c>
    </row>
    <row r="15" spans="1:12">
      <c r="A15" s="46">
        <v>1987</v>
      </c>
      <c r="B15" s="47">
        <f t="shared" si="3"/>
        <v>436.447</v>
      </c>
      <c r="C15" s="47">
        <f>+[1]tab02!E33/1000</f>
        <v>1937.722</v>
      </c>
      <c r="D15" s="47">
        <v>1</v>
      </c>
      <c r="E15" s="48">
        <f t="shared" si="0"/>
        <v>2375.1689999999999</v>
      </c>
      <c r="F15" s="47"/>
      <c r="G15" s="47">
        <v>1174</v>
      </c>
      <c r="H15" s="93">
        <v>804</v>
      </c>
      <c r="I15" s="47">
        <f t="shared" si="1"/>
        <v>94.692999999999756</v>
      </c>
      <c r="J15" s="47">
        <f t="shared" si="2"/>
        <v>2072.6929999999998</v>
      </c>
      <c r="K15" s="47">
        <v>302.476</v>
      </c>
      <c r="L15" s="49">
        <v>5.88</v>
      </c>
    </row>
    <row r="16" spans="1:12">
      <c r="A16" s="46">
        <v>1988</v>
      </c>
      <c r="B16" s="47">
        <f t="shared" si="3"/>
        <v>302.476</v>
      </c>
      <c r="C16" s="47">
        <f>+[1]tab02!E34/1000</f>
        <v>1548.8409999999999</v>
      </c>
      <c r="D16" s="47">
        <v>4</v>
      </c>
      <c r="E16" s="48">
        <f t="shared" si="0"/>
        <v>1855.317</v>
      </c>
      <c r="F16" s="47"/>
      <c r="G16" s="47">
        <v>1058</v>
      </c>
      <c r="H16" s="93">
        <v>527</v>
      </c>
      <c r="I16" s="47">
        <f t="shared" si="1"/>
        <v>88.288000000000011</v>
      </c>
      <c r="J16" s="47">
        <f t="shared" si="2"/>
        <v>1673.288</v>
      </c>
      <c r="K16" s="47">
        <v>182.029</v>
      </c>
      <c r="L16" s="49">
        <v>7.42</v>
      </c>
    </row>
    <row r="17" spans="1:12">
      <c r="A17" s="46">
        <v>1989</v>
      </c>
      <c r="B17" s="47">
        <f t="shared" si="3"/>
        <v>182.029</v>
      </c>
      <c r="C17" s="47">
        <f>+[1]tab02!E35/1000</f>
        <v>1923.6659999999999</v>
      </c>
      <c r="D17" s="47">
        <v>1</v>
      </c>
      <c r="E17" s="48">
        <f t="shared" si="0"/>
        <v>2106.6949999999997</v>
      </c>
      <c r="F17" s="47"/>
      <c r="G17" s="47">
        <v>1146</v>
      </c>
      <c r="H17" s="93">
        <v>622</v>
      </c>
      <c r="I17" s="47">
        <f t="shared" si="1"/>
        <v>99.555999999999585</v>
      </c>
      <c r="J17" s="47">
        <f t="shared" si="2"/>
        <v>1867.5559999999996</v>
      </c>
      <c r="K17" s="47">
        <v>239.13900000000001</v>
      </c>
      <c r="L17" s="49">
        <v>5.69</v>
      </c>
    </row>
    <row r="18" spans="1:12">
      <c r="A18" s="46">
        <v>1990</v>
      </c>
      <c r="B18" s="47">
        <f t="shared" si="3"/>
        <v>239.13900000000001</v>
      </c>
      <c r="C18" s="47">
        <f>+[1]tab02!E36/1000</f>
        <v>1925.9469999999999</v>
      </c>
      <c r="D18" s="47">
        <v>3</v>
      </c>
      <c r="E18" s="48">
        <f t="shared" si="0"/>
        <v>2168.0859999999998</v>
      </c>
      <c r="F18" s="47"/>
      <c r="G18" s="47">
        <v>1187</v>
      </c>
      <c r="H18" s="93">
        <v>557</v>
      </c>
      <c r="I18" s="47">
        <f t="shared" si="1"/>
        <v>95.043999999999869</v>
      </c>
      <c r="J18" s="47">
        <f t="shared" si="2"/>
        <v>1839.0439999999999</v>
      </c>
      <c r="K18" s="47">
        <v>329.04199999999997</v>
      </c>
      <c r="L18" s="49">
        <v>5.74</v>
      </c>
    </row>
    <row r="19" spans="1:12">
      <c r="A19" s="46">
        <v>1991</v>
      </c>
      <c r="B19" s="47">
        <f t="shared" si="3"/>
        <v>329.04199999999997</v>
      </c>
      <c r="C19" s="47">
        <f>+[1]tab02!E37/1000</f>
        <v>1986.539</v>
      </c>
      <c r="D19" s="47">
        <v>3</v>
      </c>
      <c r="E19" s="48">
        <f t="shared" si="0"/>
        <v>2318.5810000000001</v>
      </c>
      <c r="F19" s="47"/>
      <c r="G19" s="47">
        <v>1254</v>
      </c>
      <c r="H19" s="93">
        <v>684</v>
      </c>
      <c r="I19" s="47">
        <f t="shared" si="1"/>
        <v>102.14400000000023</v>
      </c>
      <c r="J19" s="47">
        <f t="shared" si="2"/>
        <v>2040.1440000000002</v>
      </c>
      <c r="K19" s="47">
        <v>278.43700000000001</v>
      </c>
      <c r="L19" s="49">
        <v>5.58</v>
      </c>
    </row>
    <row r="20" spans="1:12">
      <c r="A20" s="46">
        <v>1992</v>
      </c>
      <c r="B20" s="47">
        <f t="shared" si="3"/>
        <v>278.43700000000001</v>
      </c>
      <c r="C20" s="47">
        <f>+[1]tab02!E38/1000</f>
        <v>2190.3539999999998</v>
      </c>
      <c r="D20" s="47">
        <v>2.0567152327931999</v>
      </c>
      <c r="E20" s="48">
        <f t="shared" si="0"/>
        <v>2470.8477152327928</v>
      </c>
      <c r="F20" s="47"/>
      <c r="G20" s="47">
        <v>1279</v>
      </c>
      <c r="H20" s="93">
        <v>771</v>
      </c>
      <c r="I20" s="47">
        <f t="shared" si="1"/>
        <v>128.56371523279267</v>
      </c>
      <c r="J20" s="47">
        <f t="shared" si="2"/>
        <v>2178.5637152327927</v>
      </c>
      <c r="K20" s="47">
        <v>292.28399999999999</v>
      </c>
      <c r="L20" s="49">
        <v>5.56</v>
      </c>
    </row>
    <row r="21" spans="1:12">
      <c r="A21" s="46">
        <v>1993</v>
      </c>
      <c r="B21" s="47">
        <f t="shared" si="3"/>
        <v>292.28399999999999</v>
      </c>
      <c r="C21" s="47">
        <f>+[1]tab02!E39/1000</f>
        <v>1869.7180000000001</v>
      </c>
      <c r="D21" s="47">
        <v>6.4164705762675007</v>
      </c>
      <c r="E21" s="48">
        <f t="shared" si="0"/>
        <v>2168.4184705762673</v>
      </c>
      <c r="F21" s="47"/>
      <c r="G21" s="47">
        <v>1276</v>
      </c>
      <c r="H21" s="93">
        <v>588</v>
      </c>
      <c r="I21" s="47">
        <f t="shared" si="1"/>
        <v>95.30147057626732</v>
      </c>
      <c r="J21" s="47">
        <f t="shared" si="2"/>
        <v>1959.3014705762673</v>
      </c>
      <c r="K21" s="47">
        <v>209.11699999999999</v>
      </c>
      <c r="L21" s="49">
        <v>6.4</v>
      </c>
    </row>
    <row r="22" spans="1:12">
      <c r="A22" s="46">
        <v>1994</v>
      </c>
      <c r="B22" s="47">
        <f t="shared" si="3"/>
        <v>209.11699999999999</v>
      </c>
      <c r="C22" s="47">
        <f>+[1]tab02!E40/1000</f>
        <v>2514.8690000000001</v>
      </c>
      <c r="D22" s="47">
        <v>5.4799449460455003</v>
      </c>
      <c r="E22" s="48">
        <f t="shared" si="0"/>
        <v>2729.465944946046</v>
      </c>
      <c r="F22" s="47"/>
      <c r="G22" s="47">
        <v>1405</v>
      </c>
      <c r="H22" s="93">
        <v>840</v>
      </c>
      <c r="I22" s="47">
        <f t="shared" si="1"/>
        <v>149.65194494604611</v>
      </c>
      <c r="J22" s="47">
        <f t="shared" si="2"/>
        <v>2394.6519449460461</v>
      </c>
      <c r="K22" s="47">
        <v>334.81400000000002</v>
      </c>
      <c r="L22" s="49">
        <v>5.48</v>
      </c>
    </row>
    <row r="23" spans="1:12">
      <c r="A23" s="46">
        <v>1995</v>
      </c>
      <c r="B23" s="47">
        <f t="shared" si="3"/>
        <v>334.81400000000002</v>
      </c>
      <c r="C23" s="47">
        <f>+[1]tab02!E41/1000</f>
        <v>2174.2539999999999</v>
      </c>
      <c r="D23" s="47">
        <v>4.4558110914512996</v>
      </c>
      <c r="E23" s="48">
        <f t="shared" si="0"/>
        <v>2513.5238110914511</v>
      </c>
      <c r="F23" s="47"/>
      <c r="G23" s="47">
        <v>1370</v>
      </c>
      <c r="H23" s="93">
        <v>849</v>
      </c>
      <c r="I23" s="47">
        <f t="shared" si="1"/>
        <v>111.065811091451</v>
      </c>
      <c r="J23" s="47">
        <f t="shared" si="2"/>
        <v>2330.065811091451</v>
      </c>
      <c r="K23" s="47">
        <v>183.458</v>
      </c>
      <c r="L23" s="49">
        <v>6.72</v>
      </c>
    </row>
    <row r="24" spans="1:12">
      <c r="A24" s="46">
        <v>1996</v>
      </c>
      <c r="B24" s="47">
        <f t="shared" si="3"/>
        <v>183.458</v>
      </c>
      <c r="C24" s="47">
        <f>+[1]tab02!E42/1000</f>
        <v>2380.2739999999999</v>
      </c>
      <c r="D24" s="47">
        <v>8.9039324246229015</v>
      </c>
      <c r="E24" s="48">
        <f t="shared" si="0"/>
        <v>2572.6359324246228</v>
      </c>
      <c r="F24" s="47"/>
      <c r="G24" s="47">
        <v>1436</v>
      </c>
      <c r="H24" s="93">
        <v>886</v>
      </c>
      <c r="I24" s="47">
        <f t="shared" si="1"/>
        <v>118.80293242462267</v>
      </c>
      <c r="J24" s="47">
        <f t="shared" si="2"/>
        <v>2440.8029324246227</v>
      </c>
      <c r="K24" s="47">
        <v>131.833</v>
      </c>
      <c r="L24" s="49">
        <v>7.35</v>
      </c>
    </row>
    <row r="25" spans="1:12">
      <c r="A25" s="46">
        <v>1997</v>
      </c>
      <c r="B25" s="47">
        <f t="shared" si="3"/>
        <v>131.833</v>
      </c>
      <c r="C25" s="47">
        <f>+[1]tab02!E43/1000</f>
        <v>2688.75</v>
      </c>
      <c r="D25" s="47">
        <v>5.0059507383774005</v>
      </c>
      <c r="E25" s="48">
        <f t="shared" si="0"/>
        <v>2825.5889507383777</v>
      </c>
      <c r="F25" s="47"/>
      <c r="G25" s="47">
        <v>1597</v>
      </c>
      <c r="H25" s="93">
        <v>874</v>
      </c>
      <c r="I25" s="47">
        <f t="shared" si="1"/>
        <v>154.78995073837768</v>
      </c>
      <c r="J25" s="47">
        <f t="shared" si="2"/>
        <v>2625.7899507383777</v>
      </c>
      <c r="K25" s="47">
        <v>199.79900000000001</v>
      </c>
      <c r="L25" s="49">
        <v>6.47</v>
      </c>
    </row>
    <row r="26" spans="1:12">
      <c r="A26" s="46">
        <v>1998</v>
      </c>
      <c r="B26" s="47">
        <f t="shared" si="3"/>
        <v>199.79900000000001</v>
      </c>
      <c r="C26" s="47">
        <f>+[1]tab02!E44/1000</f>
        <v>2741.0140000000001</v>
      </c>
      <c r="D26" s="47">
        <v>3.5211952517805001</v>
      </c>
      <c r="E26" s="48">
        <f t="shared" si="0"/>
        <v>2944.3341952517808</v>
      </c>
      <c r="F26" s="47"/>
      <c r="G26" s="47">
        <v>1590</v>
      </c>
      <c r="H26" s="93">
        <v>805</v>
      </c>
      <c r="I26" s="47">
        <f t="shared" si="1"/>
        <v>200.85219525178081</v>
      </c>
      <c r="J26" s="47">
        <f t="shared" si="2"/>
        <v>2595.8521952517808</v>
      </c>
      <c r="K26" s="47">
        <v>348.48200000000003</v>
      </c>
      <c r="L26" s="49">
        <v>4.93</v>
      </c>
    </row>
    <row r="27" spans="1:12">
      <c r="A27" s="46">
        <v>1999</v>
      </c>
      <c r="B27" s="47">
        <f t="shared" si="3"/>
        <v>348.48200000000003</v>
      </c>
      <c r="C27" s="47">
        <f>+[1]tab02!E45/1000</f>
        <v>2653.7579999999998</v>
      </c>
      <c r="D27" s="47">
        <v>4.1711473593153006</v>
      </c>
      <c r="E27" s="48">
        <f t="shared" si="0"/>
        <v>3006.4111473593152</v>
      </c>
      <c r="F27" s="47"/>
      <c r="G27" s="47">
        <v>1578</v>
      </c>
      <c r="H27" s="93">
        <v>973</v>
      </c>
      <c r="I27" s="47">
        <f t="shared" si="1"/>
        <v>165.24914735931543</v>
      </c>
      <c r="J27" s="47">
        <f t="shared" si="2"/>
        <v>2716.2491473593154</v>
      </c>
      <c r="K27" s="47">
        <f>+[1]tab01!D8/1000</f>
        <v>290.16199999999998</v>
      </c>
      <c r="L27" s="49">
        <v>4.63</v>
      </c>
    </row>
    <row r="28" spans="1:12">
      <c r="A28" s="46">
        <v>2000</v>
      </c>
      <c r="B28" s="47">
        <f t="shared" si="3"/>
        <v>290.16199999999998</v>
      </c>
      <c r="C28" s="47">
        <f>+[1]tab02!E46/1000</f>
        <v>2757.81</v>
      </c>
      <c r="D28" s="47">
        <v>3.5678253219336002</v>
      </c>
      <c r="E28" s="48">
        <f t="shared" si="0"/>
        <v>3051.5398253219332</v>
      </c>
      <c r="F28" s="48"/>
      <c r="G28" s="48">
        <f>[1]tab6!F12/1000</f>
        <v>1639.67</v>
      </c>
      <c r="H28" s="94">
        <f>[1]tab6!G12/1000</f>
        <v>995.87118845340001</v>
      </c>
      <c r="I28" s="47">
        <f t="shared" si="1"/>
        <v>168.2516368685333</v>
      </c>
      <c r="J28" s="47">
        <f t="shared" si="2"/>
        <v>2803.7928253219334</v>
      </c>
      <c r="K28" s="48">
        <f>+[1]tab01!D13/1000</f>
        <v>247.74700000000001</v>
      </c>
      <c r="L28" s="49">
        <v>4.54</v>
      </c>
    </row>
    <row r="29" spans="1:12">
      <c r="A29" s="50">
        <v>2001</v>
      </c>
      <c r="B29" s="47">
        <f t="shared" si="3"/>
        <v>247.74700000000001</v>
      </c>
      <c r="C29" s="47">
        <f>+[1]tab02!E47/1000</f>
        <v>2890.6819999999998</v>
      </c>
      <c r="D29" s="47">
        <v>2.3197743674594999</v>
      </c>
      <c r="E29" s="48">
        <f t="shared" si="0"/>
        <v>3140.7487743674592</v>
      </c>
      <c r="F29" s="47"/>
      <c r="G29" s="47">
        <f>[1]tab6!F19/1000</f>
        <v>1699.7408</v>
      </c>
      <c r="H29" s="93">
        <f>[1]tab6!G19/1000</f>
        <v>1063.6514467383001</v>
      </c>
      <c r="I29" s="47">
        <f t="shared" si="1"/>
        <v>169.29552762915887</v>
      </c>
      <c r="J29" s="47">
        <f t="shared" si="2"/>
        <v>2932.687774367459</v>
      </c>
      <c r="K29" s="47">
        <f>+[1]tab01!D18/1000</f>
        <v>208.06100000000001</v>
      </c>
      <c r="L29" s="49">
        <v>4.38</v>
      </c>
    </row>
    <row r="30" spans="1:12">
      <c r="A30" s="50">
        <v>2002</v>
      </c>
      <c r="B30" s="47">
        <f t="shared" si="3"/>
        <v>208.06100000000001</v>
      </c>
      <c r="C30" s="47">
        <f>+[1]tab02!E48/1000</f>
        <v>2756.1469999999999</v>
      </c>
      <c r="D30" s="47">
        <v>4.6609782486581999</v>
      </c>
      <c r="E30" s="48">
        <f t="shared" si="0"/>
        <v>2968.8689782486581</v>
      </c>
      <c r="F30" s="47"/>
      <c r="G30" s="47">
        <f>[1]tab6!F26/1000</f>
        <v>1614.7874333333334</v>
      </c>
      <c r="H30" s="93">
        <f>[1]tab6!G26/1000</f>
        <v>1044.3721008357002</v>
      </c>
      <c r="I30" s="47">
        <f t="shared" si="1"/>
        <v>131.38044407962434</v>
      </c>
      <c r="J30" s="47">
        <f t="shared" si="2"/>
        <v>2790.5399782486579</v>
      </c>
      <c r="K30" s="47">
        <f>+[1]tab01!D23/1000</f>
        <v>178.32900000000001</v>
      </c>
      <c r="L30" s="49">
        <v>5.53</v>
      </c>
    </row>
    <row r="31" spans="1:12">
      <c r="A31" s="50">
        <v>2003</v>
      </c>
      <c r="B31" s="47">
        <f t="shared" si="3"/>
        <v>178.32900000000001</v>
      </c>
      <c r="C31" s="47">
        <f>+[1]tab02!E49/1000</f>
        <v>2453.8449999999998</v>
      </c>
      <c r="D31" s="47">
        <v>5.5615535121069</v>
      </c>
      <c r="E31" s="48">
        <f t="shared" si="0"/>
        <v>2637.7355535121069</v>
      </c>
      <c r="F31" s="47"/>
      <c r="G31" s="47">
        <f>[1]tab6!F33/1000</f>
        <v>1529.6987333333334</v>
      </c>
      <c r="H31" s="93">
        <f>[1]tab6!G33/1000</f>
        <v>886.55056059570006</v>
      </c>
      <c r="I31" s="47">
        <f t="shared" si="1"/>
        <v>109.07225958307322</v>
      </c>
      <c r="J31" s="47">
        <f t="shared" si="2"/>
        <v>2525.3215535121067</v>
      </c>
      <c r="K31" s="47">
        <f>+[1]tab01!D28/1000</f>
        <v>112.414</v>
      </c>
      <c r="L31" s="49">
        <v>7.34</v>
      </c>
    </row>
    <row r="32" spans="1:12">
      <c r="A32" s="50">
        <v>2004</v>
      </c>
      <c r="B32" s="47">
        <f t="shared" si="3"/>
        <v>112.414</v>
      </c>
      <c r="C32" s="47">
        <f>+[1]tab02!E50/1000</f>
        <v>3123.79</v>
      </c>
      <c r="D32" s="47">
        <v>5.5775644691508006</v>
      </c>
      <c r="E32" s="48">
        <f t="shared" si="0"/>
        <v>3241.7815644691509</v>
      </c>
      <c r="F32" s="47"/>
      <c r="G32" s="47">
        <f>[1]tab6!F40/1000</f>
        <v>1696.0812333333333</v>
      </c>
      <c r="H32" s="93">
        <f>[1]tab6!G40/1000</f>
        <v>1097.1562998144</v>
      </c>
      <c r="I32" s="47">
        <f t="shared" si="1"/>
        <v>192.80603132141778</v>
      </c>
      <c r="J32" s="47">
        <f t="shared" si="2"/>
        <v>2986.0435644691511</v>
      </c>
      <c r="K32" s="47">
        <f>[1]tab01!D33/1000</f>
        <v>255.738</v>
      </c>
      <c r="L32" s="49">
        <v>5.74</v>
      </c>
    </row>
    <row r="33" spans="1:12">
      <c r="A33" s="50">
        <v>2005</v>
      </c>
      <c r="B33" s="47">
        <f t="shared" si="3"/>
        <v>255.738</v>
      </c>
      <c r="C33" s="47">
        <f>+[1]tab02!E51/1000</f>
        <v>3068.3420000000001</v>
      </c>
      <c r="D33" s="47">
        <v>3.3720085912715998</v>
      </c>
      <c r="E33" s="48">
        <f t="shared" si="0"/>
        <v>3327.4520085912714</v>
      </c>
      <c r="F33" s="47"/>
      <c r="G33" s="47">
        <f>[1]tab6!F47/1000</f>
        <v>1738.8517333333334</v>
      </c>
      <c r="H33" s="93">
        <f>[1]tab6!G47/1000</f>
        <v>939.87875005290005</v>
      </c>
      <c r="I33" s="47">
        <f t="shared" si="1"/>
        <v>199.39552520503787</v>
      </c>
      <c r="J33" s="47">
        <f t="shared" si="2"/>
        <v>2878.1260085912713</v>
      </c>
      <c r="K33" s="47">
        <f>[1]tab01!D38/1000</f>
        <v>449.32600000000002</v>
      </c>
      <c r="L33" s="49">
        <v>5.66</v>
      </c>
    </row>
    <row r="34" spans="1:12">
      <c r="A34" s="50">
        <v>2006</v>
      </c>
      <c r="B34" s="47">
        <f t="shared" si="3"/>
        <v>449.32600000000002</v>
      </c>
      <c r="C34" s="47">
        <f>+[1]tab02!E52/1000</f>
        <v>3196.7260000000001</v>
      </c>
      <c r="D34" s="47">
        <v>9.0337511501685004</v>
      </c>
      <c r="E34" s="48">
        <f t="shared" si="0"/>
        <v>3655.0857511501686</v>
      </c>
      <c r="F34" s="47"/>
      <c r="G34" s="47">
        <f>[1]tab6!F54/1000</f>
        <v>1807.7056423333333</v>
      </c>
      <c r="H34" s="93">
        <f>[1]tab6!G54/1000</f>
        <v>1116.4958686412999</v>
      </c>
      <c r="I34" s="47">
        <f t="shared" si="1"/>
        <v>157.07424017553535</v>
      </c>
      <c r="J34" s="47">
        <f t="shared" si="2"/>
        <v>3081.2757511501686</v>
      </c>
      <c r="K34" s="47">
        <f>[1]tab01!D43/1000</f>
        <v>573.80999999999995</v>
      </c>
      <c r="L34" s="49">
        <v>6.43</v>
      </c>
    </row>
    <row r="35" spans="1:12">
      <c r="A35" s="50">
        <v>2007</v>
      </c>
      <c r="B35" s="47">
        <f t="shared" si="3"/>
        <v>573.80999999999995</v>
      </c>
      <c r="C35" s="47">
        <f>+[1]tab02!E53/1000</f>
        <v>2677.1170000000002</v>
      </c>
      <c r="D35" s="47">
        <v>9.8708029129773003</v>
      </c>
      <c r="E35" s="48">
        <f t="shared" si="0"/>
        <v>3260.7978029129777</v>
      </c>
      <c r="F35" s="47"/>
      <c r="G35" s="47">
        <f>[1]tab6!F61/1000</f>
        <v>1803.4073376666665</v>
      </c>
      <c r="H35" s="93">
        <f>[1]tab6!G61/1000</f>
        <v>1158.8290570290001</v>
      </c>
      <c r="I35" s="47">
        <f t="shared" si="1"/>
        <v>93.527408217310949</v>
      </c>
      <c r="J35" s="47">
        <f t="shared" si="2"/>
        <v>3055.7638029129776</v>
      </c>
      <c r="K35" s="47">
        <f>[1]tab01!D48/1000</f>
        <v>205.03399999999999</v>
      </c>
      <c r="L35" s="49">
        <v>10.1</v>
      </c>
    </row>
    <row r="36" spans="1:12">
      <c r="A36" s="50">
        <v>2008</v>
      </c>
      <c r="B36" s="47">
        <f t="shared" si="3"/>
        <v>205.03399999999999</v>
      </c>
      <c r="C36" s="47">
        <f>+[1]tab02!E54/1000</f>
        <v>2967.0070000000001</v>
      </c>
      <c r="D36" s="47">
        <v>13.2631296312942</v>
      </c>
      <c r="E36" s="48">
        <f t="shared" si="0"/>
        <v>3185.3041296312945</v>
      </c>
      <c r="F36" s="47"/>
      <c r="G36" s="47">
        <f>[1]tab6!F68/1000</f>
        <v>1661.9220666666665</v>
      </c>
      <c r="H36" s="93">
        <f>[1]tab6!G68/1000</f>
        <v>1279.2935714286</v>
      </c>
      <c r="I36" s="47">
        <f t="shared" si="1"/>
        <v>105.89049153602809</v>
      </c>
      <c r="J36" s="47">
        <f t="shared" si="2"/>
        <v>3047.1061296312946</v>
      </c>
      <c r="K36" s="47">
        <f>[1]tab01!D53/1000</f>
        <v>138.19800000000001</v>
      </c>
      <c r="L36" s="49">
        <v>9.9700000000000006</v>
      </c>
    </row>
    <row r="37" spans="1:12">
      <c r="A37" s="50">
        <v>2009</v>
      </c>
      <c r="B37" s="47">
        <f t="shared" si="3"/>
        <v>138.19800000000001</v>
      </c>
      <c r="C37" s="47">
        <f>+[1]tab02!E55/1000</f>
        <v>3360.931</v>
      </c>
      <c r="D37" s="47">
        <v>14.5881068286513</v>
      </c>
      <c r="E37" s="48">
        <f t="shared" si="0"/>
        <v>3513.7171068286511</v>
      </c>
      <c r="F37" s="47"/>
      <c r="G37" s="47">
        <f>[1]tab6!F75/1000</f>
        <v>1751.6862683333336</v>
      </c>
      <c r="H37" s="93">
        <f>[1]tab6!G75/1000</f>
        <v>1499.0481245103001</v>
      </c>
      <c r="I37" s="47">
        <f t="shared" si="1"/>
        <v>112.09771398501766</v>
      </c>
      <c r="J37" s="47">
        <f t="shared" si="2"/>
        <v>3362.8321068286514</v>
      </c>
      <c r="K37" s="47">
        <f>[1]tab01!D58/1000</f>
        <v>150.88499999999999</v>
      </c>
      <c r="L37" s="49">
        <v>9.59</v>
      </c>
    </row>
    <row r="38" spans="1:12">
      <c r="A38" s="50">
        <v>2010</v>
      </c>
      <c r="B38" s="47">
        <f t="shared" si="3"/>
        <v>150.88499999999999</v>
      </c>
      <c r="C38" s="47">
        <f>+[1]tab02!E56/1000</f>
        <v>3331.306</v>
      </c>
      <c r="D38" s="47">
        <v>14.4490964828322</v>
      </c>
      <c r="E38" s="48">
        <f t="shared" si="0"/>
        <v>3496.6400964828322</v>
      </c>
      <c r="F38" s="47"/>
      <c r="G38" s="47">
        <f>[1]tab6!F82/1000</f>
        <v>1648.0425946666669</v>
      </c>
      <c r="H38" s="93">
        <f>[1]tab6!G82/1000</f>
        <v>1504.9776390978</v>
      </c>
      <c r="I38" s="47">
        <f t="shared" si="1"/>
        <v>128.60686271836539</v>
      </c>
      <c r="J38" s="47">
        <f t="shared" si="2"/>
        <v>3281.6270964828323</v>
      </c>
      <c r="K38" s="47">
        <f>[1]tab01!D63/1000</f>
        <v>215.01300000000001</v>
      </c>
      <c r="L38" s="49">
        <v>11.3</v>
      </c>
    </row>
    <row r="39" spans="1:12">
      <c r="A39" s="50">
        <v>2011</v>
      </c>
      <c r="B39" s="47">
        <f t="shared" si="3"/>
        <v>215.01300000000001</v>
      </c>
      <c r="C39" s="47">
        <f>+[1]tab02!E57/1000</f>
        <v>3097.1790000000001</v>
      </c>
      <c r="D39" s="47">
        <v>16.132001704578901</v>
      </c>
      <c r="E39" s="48">
        <f t="shared" si="0"/>
        <v>3328.3240017045791</v>
      </c>
      <c r="F39" s="47"/>
      <c r="G39" s="47">
        <f>[1]tab6!F89/1000</f>
        <v>1703.019</v>
      </c>
      <c r="H39" s="93">
        <f>[1]tab6!G89/1000</f>
        <v>1365.2509814978098</v>
      </c>
      <c r="I39" s="47">
        <f t="shared" si="1"/>
        <v>90.684020206769446</v>
      </c>
      <c r="J39" s="47">
        <f t="shared" si="2"/>
        <v>3158.9540017045792</v>
      </c>
      <c r="K39" s="47">
        <f>[1]tab01!D68/1000</f>
        <v>169.37</v>
      </c>
      <c r="L39" s="49">
        <v>12.5</v>
      </c>
    </row>
    <row r="40" spans="1:12">
      <c r="A40" s="50">
        <v>2012</v>
      </c>
      <c r="B40" s="47">
        <f t="shared" si="3"/>
        <v>169.37</v>
      </c>
      <c r="C40" s="47">
        <f>+[1]tab02!E58/1000</f>
        <v>3042.0439999999999</v>
      </c>
      <c r="D40" s="47">
        <v>40.516441188976195</v>
      </c>
      <c r="E40" s="48">
        <f t="shared" si="0"/>
        <v>3251.9304411889761</v>
      </c>
      <c r="F40" s="47"/>
      <c r="G40" s="47">
        <f>[1]tab6!F96/1000</f>
        <v>1688.903</v>
      </c>
      <c r="H40" s="93">
        <f>[1]tab6!G96/1000</f>
        <v>1327.5260000000001</v>
      </c>
      <c r="I40" s="47">
        <f t="shared" si="1"/>
        <v>94.94444118897627</v>
      </c>
      <c r="J40" s="47">
        <f t="shared" si="2"/>
        <v>3111.3734411889764</v>
      </c>
      <c r="K40" s="47">
        <f>[1]tab01!D73/1000</f>
        <v>140.55699999999999</v>
      </c>
      <c r="L40" s="49">
        <v>14.4</v>
      </c>
    </row>
    <row r="41" spans="1:12">
      <c r="A41" s="50">
        <v>2013</v>
      </c>
      <c r="B41" s="47">
        <f t="shared" si="3"/>
        <v>140.55699999999999</v>
      </c>
      <c r="C41" s="47">
        <f>+[1]tab02!E59/1000</f>
        <v>3357.9839999999999</v>
      </c>
      <c r="D41" s="47">
        <v>71.777046168786015</v>
      </c>
      <c r="E41" s="48">
        <f t="shared" si="0"/>
        <v>3570.3180461687857</v>
      </c>
      <c r="F41" s="47"/>
      <c r="G41" s="47">
        <f>[1]tab6!F103/1000</f>
        <v>1733.8879999999999</v>
      </c>
      <c r="H41" s="93">
        <f>[1]tab6!G103/1000</f>
        <v>1638.5589397691786</v>
      </c>
      <c r="I41" s="47">
        <f t="shared" si="1"/>
        <v>105.88010639960726</v>
      </c>
      <c r="J41" s="47">
        <f t="shared" si="2"/>
        <v>3478.3270461687857</v>
      </c>
      <c r="K41" s="47">
        <f>[1]tab01!D78/1000</f>
        <v>91.991</v>
      </c>
      <c r="L41" s="49">
        <v>13</v>
      </c>
    </row>
    <row r="42" spans="1:12">
      <c r="A42" s="50">
        <v>2014</v>
      </c>
      <c r="B42" s="47">
        <f>+K41</f>
        <v>91.991</v>
      </c>
      <c r="C42" s="47">
        <f>+[1]tab02!E60/1000</f>
        <v>3927.09</v>
      </c>
      <c r="D42" s="47">
        <v>33.224673398137199</v>
      </c>
      <c r="E42" s="48">
        <f t="shared" si="0"/>
        <v>4052.3056733981375</v>
      </c>
      <c r="F42" s="47"/>
      <c r="G42" s="47">
        <f>[1]tab6!F110/1000</f>
        <v>1873.4937851587886</v>
      </c>
      <c r="H42" s="93">
        <f>[1]tab6!G110/1000</f>
        <v>1842.4226925928908</v>
      </c>
      <c r="I42" s="47">
        <f>+J42-G42-H42</f>
        <v>145.77919564645799</v>
      </c>
      <c r="J42" s="47">
        <f>+E42-K42</f>
        <v>3861.6956733981374</v>
      </c>
      <c r="K42" s="47">
        <f>[1]tab01!D83/1000</f>
        <v>190.61</v>
      </c>
      <c r="L42" s="49">
        <v>10.1</v>
      </c>
    </row>
    <row r="43" spans="1:12">
      <c r="A43" s="50">
        <v>2015</v>
      </c>
      <c r="B43" s="47">
        <f>+K42</f>
        <v>190.61</v>
      </c>
      <c r="C43" s="47">
        <f>+[1]tab02!E61/1000</f>
        <v>3926.3389999999999</v>
      </c>
      <c r="D43" s="47">
        <v>23.540639630852397</v>
      </c>
      <c r="E43" s="48">
        <f t="shared" si="0"/>
        <v>4140.4896396308523</v>
      </c>
      <c r="F43" s="47"/>
      <c r="G43" s="47">
        <f>[1]tab6!F129/1000</f>
        <v>1886.2368000000001</v>
      </c>
      <c r="H43" s="93">
        <f>[1]tab6!G129/1000</f>
        <v>1942.256289243398</v>
      </c>
      <c r="I43" s="47">
        <v>115</v>
      </c>
      <c r="J43" s="47">
        <f>+E43-K43</f>
        <v>3943.7606396308524</v>
      </c>
      <c r="K43" s="47">
        <f>[1]tab01!D88/1000</f>
        <v>196.72900000000001</v>
      </c>
      <c r="L43" s="49">
        <v>8.9499999999999993</v>
      </c>
    </row>
    <row r="44" spans="1:12">
      <c r="A44" s="50">
        <v>2016</v>
      </c>
      <c r="B44" s="47">
        <f>+K43</f>
        <v>196.72900000000001</v>
      </c>
      <c r="C44" s="51">
        <f>+[1]tab02!E62/1000</f>
        <v>4296.0860000000002</v>
      </c>
      <c r="D44" s="51">
        <v>22.241776548522299</v>
      </c>
      <c r="E44" s="48">
        <f t="shared" si="0"/>
        <v>4515.056776548523</v>
      </c>
      <c r="F44" s="47"/>
      <c r="G44" s="51">
        <f>[1]tab6!F148/1000</f>
        <v>1901.1980666666666</v>
      </c>
      <c r="H44" s="93">
        <f>[1]tab6!G148/1000</f>
        <v>2173.6525417372668</v>
      </c>
      <c r="I44" s="47">
        <v>141</v>
      </c>
      <c r="J44" s="47">
        <f>+E44-K44</f>
        <v>4213.056776548523</v>
      </c>
      <c r="K44" s="47">
        <v>302</v>
      </c>
      <c r="L44" s="52">
        <v>9.4700000000000006</v>
      </c>
    </row>
    <row r="45" spans="1:12">
      <c r="A45" s="50">
        <v>2017</v>
      </c>
      <c r="B45" s="53">
        <f>+K44</f>
        <v>302</v>
      </c>
      <c r="C45" s="53">
        <f>+[1]tab02!E63/1000</f>
        <v>4391.5529999999999</v>
      </c>
      <c r="D45" s="54">
        <v>25</v>
      </c>
      <c r="E45" s="53">
        <f>+B45+C45+D45</f>
        <v>4718.5529999999999</v>
      </c>
      <c r="F45" s="53"/>
      <c r="G45" s="54">
        <v>1960</v>
      </c>
      <c r="H45" s="95">
        <v>2065</v>
      </c>
      <c r="I45" s="53">
        <f>+J45-G45-H45</f>
        <v>138.55299999999988</v>
      </c>
      <c r="J45" s="53">
        <f>+E45-K45</f>
        <v>4163.5529999999999</v>
      </c>
      <c r="K45" s="54">
        <v>555</v>
      </c>
      <c r="L45" s="55" t="s">
        <v>172</v>
      </c>
    </row>
    <row r="46" spans="1:12">
      <c r="A46" s="56" t="s">
        <v>173</v>
      </c>
      <c r="E46" s="47"/>
      <c r="G46" s="47"/>
      <c r="I46" s="57"/>
      <c r="J46" s="57"/>
    </row>
    <row r="47" spans="1:12">
      <c r="A47" s="58" t="s">
        <v>174</v>
      </c>
    </row>
    <row r="48" spans="1:12">
      <c r="A48" s="46" t="s">
        <v>175</v>
      </c>
    </row>
    <row r="49" spans="11:12">
      <c r="K49" s="59"/>
      <c r="L49" s="59" t="s">
        <v>176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1EBE19-C808-A546-A01C-89FE9C93668D}">
  <dimension ref="A1:S59"/>
  <sheetViews>
    <sheetView topLeftCell="A36" workbookViewId="0">
      <selection activeCell="M42" sqref="M42"/>
    </sheetView>
  </sheetViews>
  <sheetFormatPr baseColWidth="10" defaultRowHeight="16"/>
  <cols>
    <col min="3" max="3" width="17.1640625" bestFit="1" customWidth="1"/>
    <col min="8" max="8" width="16" bestFit="1" customWidth="1"/>
    <col min="9" max="9" width="11.1640625" bestFit="1" customWidth="1"/>
  </cols>
  <sheetData>
    <row r="1" spans="1:19">
      <c r="A1" s="62" t="s">
        <v>190</v>
      </c>
      <c r="E1" s="27"/>
      <c r="M1" t="s">
        <v>148</v>
      </c>
    </row>
    <row r="2" spans="1:19">
      <c r="A2" s="63"/>
      <c r="B2" s="64" t="s">
        <v>191</v>
      </c>
      <c r="C2" s="63"/>
      <c r="D2" s="63"/>
      <c r="E2" s="65" t="s">
        <v>192</v>
      </c>
      <c r="F2" s="63"/>
      <c r="G2" s="63"/>
      <c r="H2" s="63" t="s">
        <v>193</v>
      </c>
      <c r="I2" s="63"/>
      <c r="M2" t="s">
        <v>178</v>
      </c>
      <c r="N2" t="s">
        <v>177</v>
      </c>
      <c r="O2" t="s">
        <v>179</v>
      </c>
      <c r="P2" t="s">
        <v>180</v>
      </c>
      <c r="Q2" t="s">
        <v>181</v>
      </c>
      <c r="R2" t="s">
        <v>184</v>
      </c>
      <c r="S2" t="s">
        <v>183</v>
      </c>
    </row>
    <row r="3" spans="1:19" ht="32">
      <c r="A3" s="66" t="s">
        <v>194</v>
      </c>
      <c r="B3" s="66" t="s">
        <v>195</v>
      </c>
      <c r="C3" s="66" t="s">
        <v>196</v>
      </c>
      <c r="D3" s="66" t="s">
        <v>197</v>
      </c>
      <c r="E3" s="67" t="s">
        <v>198</v>
      </c>
      <c r="F3" s="66" t="s">
        <v>199</v>
      </c>
      <c r="G3" s="66" t="s">
        <v>200</v>
      </c>
      <c r="H3" s="66" t="s">
        <v>201</v>
      </c>
      <c r="I3" s="66" t="s">
        <v>202</v>
      </c>
      <c r="M3">
        <v>2002</v>
      </c>
      <c r="N3" s="60">
        <v>60.774168449999998</v>
      </c>
      <c r="O3" s="60">
        <v>654.95393999999999</v>
      </c>
      <c r="P3" s="60">
        <v>531.73129749999998</v>
      </c>
      <c r="Q3" s="60">
        <v>2201.8035140000002</v>
      </c>
      <c r="R3" s="61">
        <f>SUM(N3:Q3)</f>
        <v>3449.2629199500002</v>
      </c>
      <c r="S3" s="16">
        <f>R3*10^6*0.453592</f>
        <v>1564558066.3859606</v>
      </c>
    </row>
    <row r="4" spans="1:19">
      <c r="A4" s="62"/>
      <c r="B4" s="62" t="s">
        <v>203</v>
      </c>
      <c r="C4" s="62"/>
      <c r="D4" s="62"/>
      <c r="E4" s="68"/>
      <c r="F4" s="62"/>
      <c r="G4" s="62" t="s">
        <v>204</v>
      </c>
      <c r="H4" s="62" t="s">
        <v>205</v>
      </c>
      <c r="I4" s="62"/>
    </row>
    <row r="5" spans="1:19">
      <c r="A5" s="69">
        <v>1970</v>
      </c>
      <c r="B5" s="60">
        <v>12812.02</v>
      </c>
      <c r="C5" s="60">
        <v>172.304</v>
      </c>
      <c r="D5" s="60">
        <v>12984.324000000001</v>
      </c>
      <c r="E5" s="70">
        <v>310.74900000000002</v>
      </c>
      <c r="F5" s="60">
        <v>12673.575000000001</v>
      </c>
      <c r="G5" s="71">
        <v>61.8</v>
      </c>
      <c r="H5" s="71" t="s">
        <v>99</v>
      </c>
      <c r="I5" s="71" t="s">
        <v>99</v>
      </c>
    </row>
    <row r="6" spans="1:19">
      <c r="A6" s="72">
        <v>1971</v>
      </c>
      <c r="B6" s="60">
        <v>11783.42</v>
      </c>
      <c r="C6" s="60">
        <v>148.44200000000001</v>
      </c>
      <c r="D6" s="60">
        <v>11931.862000000001</v>
      </c>
      <c r="E6" s="70">
        <v>288.39499999999998</v>
      </c>
      <c r="F6" s="60">
        <v>11643.467000000001</v>
      </c>
      <c r="G6" s="71">
        <v>56.1</v>
      </c>
      <c r="H6" s="71" t="s">
        <v>99</v>
      </c>
      <c r="I6" s="71" t="s">
        <v>99</v>
      </c>
      <c r="M6" t="s">
        <v>185</v>
      </c>
      <c r="N6" t="s">
        <v>182</v>
      </c>
      <c r="O6" t="s">
        <v>188</v>
      </c>
    </row>
    <row r="7" spans="1:19">
      <c r="A7" s="72">
        <v>1972</v>
      </c>
      <c r="B7" s="60">
        <v>12451.54</v>
      </c>
      <c r="C7" s="60">
        <v>75.605999999999995</v>
      </c>
      <c r="D7" s="60">
        <v>12527.146000000001</v>
      </c>
      <c r="E7" s="70">
        <v>383.774</v>
      </c>
      <c r="F7" s="60">
        <v>12143.372000000001</v>
      </c>
      <c r="G7" s="71">
        <v>57.9</v>
      </c>
      <c r="H7" s="71" t="s">
        <v>99</v>
      </c>
      <c r="I7" s="71" t="s">
        <v>99</v>
      </c>
      <c r="M7">
        <v>2002</v>
      </c>
      <c r="N7" s="60">
        <v>696.89620669999999</v>
      </c>
      <c r="O7" s="16">
        <f>N7*0.45*10^6</f>
        <v>313603293.01500005</v>
      </c>
      <c r="P7" t="s">
        <v>189</v>
      </c>
    </row>
    <row r="8" spans="1:19">
      <c r="A8" s="72">
        <v>1973</v>
      </c>
      <c r="B8" s="60">
        <v>11484.41</v>
      </c>
      <c r="C8" s="60">
        <v>85.512</v>
      </c>
      <c r="D8" s="60">
        <v>11569.922</v>
      </c>
      <c r="E8" s="70">
        <v>461.899</v>
      </c>
      <c r="F8" s="60">
        <v>11108.023000000001</v>
      </c>
      <c r="G8" s="71">
        <v>52.4</v>
      </c>
      <c r="H8" s="71" t="s">
        <v>99</v>
      </c>
      <c r="I8" s="71" t="s">
        <v>99</v>
      </c>
    </row>
    <row r="9" spans="1:19">
      <c r="A9" s="72">
        <v>1974</v>
      </c>
      <c r="B9" s="60">
        <v>10873.09</v>
      </c>
      <c r="C9" s="60">
        <v>187.66900000000001</v>
      </c>
      <c r="D9" s="60">
        <v>11060.759</v>
      </c>
      <c r="E9" s="70">
        <v>506.96300000000002</v>
      </c>
      <c r="F9" s="60">
        <v>10553.796</v>
      </c>
      <c r="G9" s="71">
        <v>49.4</v>
      </c>
      <c r="H9" s="71" t="s">
        <v>99</v>
      </c>
      <c r="I9" s="71" t="s">
        <v>99</v>
      </c>
    </row>
    <row r="10" spans="1:19">
      <c r="A10" s="72">
        <v>1975</v>
      </c>
      <c r="B10" s="60">
        <v>11693.44</v>
      </c>
      <c r="C10" s="60">
        <v>142.006</v>
      </c>
      <c r="D10" s="60">
        <v>11835.446</v>
      </c>
      <c r="E10" s="70">
        <v>465.71899999999999</v>
      </c>
      <c r="F10" s="60">
        <v>11369.727000000001</v>
      </c>
      <c r="G10" s="71">
        <v>52.6</v>
      </c>
      <c r="H10" s="71" t="s">
        <v>99</v>
      </c>
      <c r="I10" s="71" t="s">
        <v>99</v>
      </c>
      <c r="M10" t="s">
        <v>186</v>
      </c>
    </row>
    <row r="11" spans="1:19">
      <c r="A11" s="72">
        <v>1976</v>
      </c>
      <c r="B11" s="60">
        <v>12089.44</v>
      </c>
      <c r="C11" s="60">
        <v>53.247</v>
      </c>
      <c r="D11" s="60">
        <v>12142.687</v>
      </c>
      <c r="E11" s="70">
        <v>1361.4739999999999</v>
      </c>
      <c r="F11" s="60">
        <v>10781.213</v>
      </c>
      <c r="G11" s="71">
        <v>49.4</v>
      </c>
      <c r="H11" s="71" t="s">
        <v>99</v>
      </c>
      <c r="I11" s="71" t="s">
        <v>99</v>
      </c>
      <c r="M11" t="s">
        <v>178</v>
      </c>
      <c r="N11" t="s">
        <v>177</v>
      </c>
      <c r="O11" t="s">
        <v>179</v>
      </c>
      <c r="P11" t="s">
        <v>180</v>
      </c>
      <c r="Q11" t="s">
        <v>181</v>
      </c>
      <c r="R11" t="s">
        <v>184</v>
      </c>
      <c r="S11" t="s">
        <v>183</v>
      </c>
    </row>
    <row r="12" spans="1:19">
      <c r="A12" s="72">
        <v>1977</v>
      </c>
      <c r="B12" s="60">
        <v>11615.82</v>
      </c>
      <c r="C12" s="60">
        <v>106.447</v>
      </c>
      <c r="D12" s="60">
        <v>11722.267</v>
      </c>
      <c r="E12" s="70">
        <v>693.37900000000002</v>
      </c>
      <c r="F12" s="60">
        <v>11028.887999999999</v>
      </c>
      <c r="G12" s="71">
        <v>50.1</v>
      </c>
      <c r="H12" s="71" t="s">
        <v>99</v>
      </c>
      <c r="I12" s="71" t="s">
        <v>99</v>
      </c>
      <c r="M12">
        <v>2002</v>
      </c>
      <c r="N12" s="60">
        <v>452.39710000000008</v>
      </c>
      <c r="O12" s="60">
        <v>5197.3</v>
      </c>
      <c r="P12" s="60">
        <v>4577.5</v>
      </c>
      <c r="Q12" s="60">
        <v>14992.189200000001</v>
      </c>
      <c r="R12" s="61">
        <f>SUM(N12:Q12)</f>
        <v>25219.386300000002</v>
      </c>
      <c r="S12" s="16">
        <f>R12*10^6*0.453592</f>
        <v>11439311870.589602</v>
      </c>
    </row>
    <row r="13" spans="1:19">
      <c r="A13" s="72">
        <v>1978</v>
      </c>
      <c r="B13" s="60">
        <v>10487.9</v>
      </c>
      <c r="C13" s="60">
        <v>150.05000000000001</v>
      </c>
      <c r="D13" s="60">
        <v>10637.949999999999</v>
      </c>
      <c r="E13" s="70">
        <v>406.62900000000002</v>
      </c>
      <c r="F13" s="60">
        <v>10231.320999999998</v>
      </c>
      <c r="G13" s="71">
        <v>46</v>
      </c>
      <c r="H13" s="71" t="s">
        <v>99</v>
      </c>
      <c r="I13" s="71" t="s">
        <v>99</v>
      </c>
    </row>
    <row r="14" spans="1:19">
      <c r="A14" s="72">
        <v>1979</v>
      </c>
      <c r="B14" s="60">
        <v>11360.7</v>
      </c>
      <c r="C14" s="60">
        <v>159.434</v>
      </c>
      <c r="D14" s="60">
        <v>11520.134</v>
      </c>
      <c r="E14" s="70">
        <v>414.66699999999997</v>
      </c>
      <c r="F14" s="60">
        <v>11105.467000000001</v>
      </c>
      <c r="G14" s="71">
        <v>49.3</v>
      </c>
      <c r="H14" s="71" t="s">
        <v>99</v>
      </c>
      <c r="I14" s="71" t="s">
        <v>99</v>
      </c>
      <c r="P14" t="s">
        <v>187</v>
      </c>
    </row>
    <row r="15" spans="1:19">
      <c r="A15" s="72">
        <v>1980</v>
      </c>
      <c r="B15" s="60">
        <v>11697.98</v>
      </c>
      <c r="C15" s="60">
        <v>218.36600000000001</v>
      </c>
      <c r="D15" s="60">
        <v>11916.346</v>
      </c>
      <c r="E15" s="70">
        <v>274.63200000000001</v>
      </c>
      <c r="F15" s="60">
        <v>11641.714</v>
      </c>
      <c r="G15" s="71">
        <v>51.121584711451483</v>
      </c>
      <c r="H15" s="71" t="s">
        <v>99</v>
      </c>
      <c r="I15" s="71" t="s">
        <v>99</v>
      </c>
      <c r="M15" t="s">
        <v>185</v>
      </c>
      <c r="N15" t="s">
        <v>182</v>
      </c>
      <c r="O15" t="s">
        <v>188</v>
      </c>
    </row>
    <row r="16" spans="1:19">
      <c r="A16" s="72">
        <v>1981</v>
      </c>
      <c r="B16" s="60">
        <v>10549.01</v>
      </c>
      <c r="C16" s="60">
        <v>392.35300000000001</v>
      </c>
      <c r="D16" s="60">
        <v>10941.362999999999</v>
      </c>
      <c r="E16" s="70">
        <v>398.57799999999997</v>
      </c>
      <c r="F16" s="60">
        <v>10542.785</v>
      </c>
      <c r="G16" s="71">
        <v>45.844972735099972</v>
      </c>
      <c r="H16" s="71" t="s">
        <v>99</v>
      </c>
      <c r="I16" s="71" t="s">
        <v>99</v>
      </c>
      <c r="M16">
        <v>2002</v>
      </c>
      <c r="N16" s="60">
        <v>12567.166700000002</v>
      </c>
      <c r="O16" s="16">
        <f>N16*0.45*10^6</f>
        <v>5655225015.000001</v>
      </c>
    </row>
    <row r="17" spans="1:9">
      <c r="A17" s="72">
        <v>1982</v>
      </c>
      <c r="B17" s="60">
        <v>10765.42</v>
      </c>
      <c r="C17" s="60">
        <v>478.4</v>
      </c>
      <c r="D17" s="60">
        <v>11243.82</v>
      </c>
      <c r="E17" s="70">
        <v>305.15600000000001</v>
      </c>
      <c r="F17" s="60">
        <v>10938.663999999999</v>
      </c>
      <c r="G17" s="71">
        <v>47.111237445518285</v>
      </c>
      <c r="H17" s="71" t="s">
        <v>99</v>
      </c>
      <c r="I17" s="71" t="s">
        <v>99</v>
      </c>
    </row>
    <row r="18" spans="1:9">
      <c r="A18" s="72">
        <v>1983</v>
      </c>
      <c r="B18" s="60">
        <v>11600.85</v>
      </c>
      <c r="C18" s="60">
        <v>349.08600000000001</v>
      </c>
      <c r="D18" s="60">
        <v>11949.936</v>
      </c>
      <c r="E18" s="70">
        <v>283.23700000000002</v>
      </c>
      <c r="F18" s="60">
        <v>11666.699000000001</v>
      </c>
      <c r="G18" s="71">
        <v>49.792362157340591</v>
      </c>
      <c r="H18" s="71" t="s">
        <v>99</v>
      </c>
      <c r="I18" s="71" t="s">
        <v>99</v>
      </c>
    </row>
    <row r="19" spans="1:9">
      <c r="A19" s="72">
        <v>1984</v>
      </c>
      <c r="B19" s="60">
        <v>11450.05</v>
      </c>
      <c r="C19" s="60">
        <v>325.149</v>
      </c>
      <c r="D19" s="60">
        <v>11775.198999999999</v>
      </c>
      <c r="E19" s="70">
        <v>360.32499999999999</v>
      </c>
      <c r="F19" s="60">
        <v>11414.873999999998</v>
      </c>
      <c r="G19" s="71">
        <v>48.296892717518226</v>
      </c>
      <c r="H19" s="71">
        <v>7.54</v>
      </c>
      <c r="I19" s="71">
        <v>13.579468707789285</v>
      </c>
    </row>
    <row r="20" spans="1:9">
      <c r="A20" s="72">
        <v>1985</v>
      </c>
      <c r="B20" s="60">
        <v>10965.72</v>
      </c>
      <c r="C20" s="60">
        <v>405.87200000000001</v>
      </c>
      <c r="D20" s="60">
        <v>11371.591999999999</v>
      </c>
      <c r="E20" s="70">
        <v>329.88499999999999</v>
      </c>
      <c r="F20" s="60">
        <v>11041.706999999999</v>
      </c>
      <c r="G20" s="71">
        <v>46.303066265211804</v>
      </c>
      <c r="H20" s="71">
        <v>4.16</v>
      </c>
      <c r="I20" s="71">
        <v>7.2597815084988309</v>
      </c>
    </row>
    <row r="21" spans="1:9">
      <c r="A21" s="72">
        <v>1986</v>
      </c>
      <c r="B21" s="60">
        <v>11744.81</v>
      </c>
      <c r="C21" s="60">
        <v>344.45800000000003</v>
      </c>
      <c r="D21" s="60">
        <v>12089.268</v>
      </c>
      <c r="E21" s="70">
        <v>340.60700000000003</v>
      </c>
      <c r="F21" s="60">
        <v>11748.661</v>
      </c>
      <c r="G21" s="71">
        <v>48.820329024188553</v>
      </c>
      <c r="H21" s="71">
        <v>6.39</v>
      </c>
      <c r="I21" s="71">
        <v>10.930924766499023</v>
      </c>
    </row>
    <row r="22" spans="1:9">
      <c r="A22" s="72">
        <v>1987</v>
      </c>
      <c r="B22" s="60">
        <v>11600.18</v>
      </c>
      <c r="C22" s="60">
        <v>402.8</v>
      </c>
      <c r="D22" s="60">
        <v>12002.98</v>
      </c>
      <c r="E22" s="70">
        <v>363.21499999999997</v>
      </c>
      <c r="F22" s="60">
        <v>11639.764999999999</v>
      </c>
      <c r="G22" s="71">
        <v>47.93893428444342</v>
      </c>
      <c r="H22" s="71">
        <v>5.08</v>
      </c>
      <c r="I22" s="71">
        <v>8.4738694557040155</v>
      </c>
    </row>
    <row r="23" spans="1:9">
      <c r="A23" s="72">
        <v>1988</v>
      </c>
      <c r="B23" s="60">
        <v>12095.17</v>
      </c>
      <c r="C23" s="60">
        <v>483.423</v>
      </c>
      <c r="D23" s="60">
        <v>12578.593000000001</v>
      </c>
      <c r="E23" s="70">
        <v>421.98500000000001</v>
      </c>
      <c r="F23" s="60">
        <v>12156.608</v>
      </c>
      <c r="G23" s="71">
        <v>49.6145554870807</v>
      </c>
      <c r="H23" s="71">
        <v>8.24</v>
      </c>
      <c r="I23" s="71">
        <v>13.28004125838061</v>
      </c>
    </row>
    <row r="24" spans="1:9">
      <c r="A24" s="72">
        <v>1989</v>
      </c>
      <c r="B24" s="60">
        <v>12172.84</v>
      </c>
      <c r="C24" s="60">
        <v>670.27756314999999</v>
      </c>
      <c r="D24" s="60">
        <v>12843.117563150001</v>
      </c>
      <c r="E24" s="70">
        <v>467.8</v>
      </c>
      <c r="F24" s="60">
        <v>12375.317563150002</v>
      </c>
      <c r="G24" s="71">
        <v>50.033223484689216</v>
      </c>
      <c r="H24" s="71">
        <v>10.8</v>
      </c>
      <c r="I24" s="71">
        <v>16.75457648153894</v>
      </c>
    </row>
    <row r="25" spans="1:9">
      <c r="A25" s="72">
        <v>1990</v>
      </c>
      <c r="B25" s="60">
        <v>11334.753000000002</v>
      </c>
      <c r="C25" s="60">
        <v>683.94575740999994</v>
      </c>
      <c r="D25" s="60">
        <v>12018.698757410002</v>
      </c>
      <c r="E25" s="70">
        <v>327.33331300000003</v>
      </c>
      <c r="F25" s="60">
        <v>11691.365444410003</v>
      </c>
      <c r="G25" s="71">
        <v>46.740782644403765</v>
      </c>
      <c r="H25" s="71">
        <v>8.01</v>
      </c>
      <c r="I25" s="71">
        <v>11.982945620465255</v>
      </c>
    </row>
    <row r="26" spans="1:9">
      <c r="A26" s="72">
        <v>1991</v>
      </c>
      <c r="B26" s="60">
        <v>12452.085300000001</v>
      </c>
      <c r="C26" s="60">
        <v>616.25526366000008</v>
      </c>
      <c r="D26" s="60">
        <v>13068.34056366</v>
      </c>
      <c r="E26" s="70">
        <v>341.68218199999995</v>
      </c>
      <c r="F26" s="60">
        <v>12726.65838166</v>
      </c>
      <c r="G26" s="71">
        <v>50.205166934234867</v>
      </c>
      <c r="H26" s="71">
        <v>5.65</v>
      </c>
      <c r="I26" s="71">
        <v>8.1802255715299204</v>
      </c>
    </row>
    <row r="27" spans="1:9">
      <c r="A27" s="72">
        <v>1992</v>
      </c>
      <c r="B27" s="60">
        <v>12551.8151</v>
      </c>
      <c r="C27" s="60">
        <v>401.58523690000004</v>
      </c>
      <c r="D27" s="60">
        <v>12953.4003369</v>
      </c>
      <c r="E27" s="70">
        <v>537.93899999999996</v>
      </c>
      <c r="F27" s="60">
        <v>12415.4613369</v>
      </c>
      <c r="G27" s="71">
        <v>48.32912149330074</v>
      </c>
      <c r="H27" s="71">
        <v>6.76</v>
      </c>
      <c r="I27" s="71">
        <v>9.5691070720797224</v>
      </c>
    </row>
    <row r="28" spans="1:9">
      <c r="A28" s="72">
        <v>1993</v>
      </c>
      <c r="B28" s="60">
        <v>12873.902599999999</v>
      </c>
      <c r="C28" s="60">
        <v>712.58219050000002</v>
      </c>
      <c r="D28" s="60">
        <v>13586.484790499999</v>
      </c>
      <c r="E28" s="70">
        <v>539.34492499999988</v>
      </c>
      <c r="F28" s="60">
        <v>13047.139865499999</v>
      </c>
      <c r="G28" s="71">
        <v>50.132139115482893</v>
      </c>
      <c r="H28" s="71">
        <v>7.96</v>
      </c>
      <c r="I28" s="71">
        <v>11.005876253024542</v>
      </c>
    </row>
    <row r="29" spans="1:9">
      <c r="A29" s="72">
        <v>1994</v>
      </c>
      <c r="B29" s="60">
        <v>13086.245800000001</v>
      </c>
      <c r="C29" s="60">
        <v>642.80937360000007</v>
      </c>
      <c r="D29" s="60">
        <v>13729.055173600002</v>
      </c>
      <c r="E29" s="70">
        <v>655.02611899999999</v>
      </c>
      <c r="F29" s="60">
        <v>13074.029054600001</v>
      </c>
      <c r="G29" s="71">
        <v>49.62886262545743</v>
      </c>
      <c r="H29" s="71">
        <v>6.87</v>
      </c>
      <c r="I29" s="71">
        <v>9.3007513707439262</v>
      </c>
    </row>
    <row r="30" spans="1:9">
      <c r="A30" s="72">
        <v>1995</v>
      </c>
      <c r="B30" s="60">
        <v>13019.526700000002</v>
      </c>
      <c r="C30" s="60">
        <v>684.86972288000004</v>
      </c>
      <c r="D30" s="60">
        <v>13704.396422880001</v>
      </c>
      <c r="E30" s="70">
        <v>583.93817499999989</v>
      </c>
      <c r="F30" s="60">
        <v>13120.458247880002</v>
      </c>
      <c r="G30" s="71">
        <v>49.221960960995212</v>
      </c>
      <c r="H30" s="71">
        <v>8.8699999999999992</v>
      </c>
      <c r="I30" s="71">
        <v>11.762989682518631</v>
      </c>
    </row>
    <row r="31" spans="1:9">
      <c r="A31" s="72">
        <v>1996</v>
      </c>
      <c r="B31" s="60">
        <v>13091.416499999999</v>
      </c>
      <c r="C31" s="60">
        <v>986.46529890000011</v>
      </c>
      <c r="D31" s="60">
        <v>14077.8817989</v>
      </c>
      <c r="E31" s="70">
        <v>610.05337600000007</v>
      </c>
      <c r="F31" s="60">
        <v>13467.8284229</v>
      </c>
      <c r="G31" s="71">
        <v>49.942441688823628</v>
      </c>
      <c r="H31" s="71">
        <v>5.05</v>
      </c>
      <c r="I31" s="71">
        <v>6.5769766745243086</v>
      </c>
    </row>
    <row r="32" spans="1:9">
      <c r="A32" s="72">
        <v>1997</v>
      </c>
      <c r="B32" s="60">
        <v>12816.034</v>
      </c>
      <c r="C32" s="60">
        <v>764.81936288000009</v>
      </c>
      <c r="D32" s="60">
        <v>13580.85336288</v>
      </c>
      <c r="E32" s="70">
        <v>670.26948979999997</v>
      </c>
      <c r="F32" s="60">
        <v>12910.583873079999</v>
      </c>
      <c r="G32" s="71">
        <v>47.306765085741922</v>
      </c>
      <c r="H32" s="71">
        <v>6.65</v>
      </c>
      <c r="I32" s="71">
        <v>8.5151608276992423</v>
      </c>
    </row>
    <row r="33" spans="1:9">
      <c r="A33" s="72">
        <v>1998</v>
      </c>
      <c r="B33" s="60">
        <v>12529.7701</v>
      </c>
      <c r="C33" s="60">
        <v>1061.02290399</v>
      </c>
      <c r="D33" s="60">
        <v>13590.79300399</v>
      </c>
      <c r="E33" s="70">
        <v>650.91737999999998</v>
      </c>
      <c r="F33" s="60">
        <v>12939.875623989999</v>
      </c>
      <c r="G33" s="71">
        <v>46.864080633033332</v>
      </c>
      <c r="H33" s="71">
        <v>6.94</v>
      </c>
      <c r="I33" s="71">
        <v>8.7910417511147152</v>
      </c>
    </row>
    <row r="34" spans="1:9">
      <c r="A34" s="72">
        <v>1999</v>
      </c>
      <c r="B34" s="60">
        <v>12999.9565</v>
      </c>
      <c r="C34" s="60">
        <v>923.48809314999994</v>
      </c>
      <c r="D34" s="60">
        <v>13923.444593149999</v>
      </c>
      <c r="E34" s="70">
        <v>599.06589659999997</v>
      </c>
      <c r="F34" s="60">
        <v>13324.37869655</v>
      </c>
      <c r="G34" s="71">
        <v>47.707186654075436</v>
      </c>
      <c r="H34" s="71">
        <v>6.94</v>
      </c>
      <c r="I34" s="71">
        <v>8.6673077643591316</v>
      </c>
    </row>
    <row r="35" spans="1:9">
      <c r="A35" s="72">
        <v>2000</v>
      </c>
      <c r="B35" s="60">
        <v>13184.780400000001</v>
      </c>
      <c r="C35" s="60">
        <v>805.45865775000004</v>
      </c>
      <c r="D35" s="60">
        <v>13990.239057750001</v>
      </c>
      <c r="E35" s="70">
        <v>676.57625500000006</v>
      </c>
      <c r="F35" s="60">
        <v>13313.662802750001</v>
      </c>
      <c r="G35" s="71">
        <v>47.147272878346527</v>
      </c>
      <c r="H35" s="71">
        <v>5.27</v>
      </c>
      <c r="I35" s="71">
        <v>6.4353836196895857</v>
      </c>
    </row>
    <row r="36" spans="1:9">
      <c r="A36" s="72">
        <v>2001</v>
      </c>
      <c r="B36" s="60">
        <v>13252.069200000002</v>
      </c>
      <c r="C36" s="60">
        <v>671.05966973</v>
      </c>
      <c r="D36" s="60">
        <v>13923.128869730002</v>
      </c>
      <c r="E36" s="70">
        <v>636.17529949999994</v>
      </c>
      <c r="F36" s="60">
        <v>13286.953570230002</v>
      </c>
      <c r="G36" s="71">
        <v>46.570394503476955</v>
      </c>
      <c r="H36" s="71">
        <v>10.79</v>
      </c>
      <c r="I36" s="71">
        <v>12.881121218632858</v>
      </c>
    </row>
    <row r="37" spans="1:9">
      <c r="A37" s="72">
        <v>2002</v>
      </c>
      <c r="B37" s="60">
        <v>12567.166700000002</v>
      </c>
      <c r="C37" s="60">
        <v>883.10802190000004</v>
      </c>
      <c r="D37" s="60">
        <v>13450.274721900001</v>
      </c>
      <c r="E37" s="70">
        <v>696.89620669999999</v>
      </c>
      <c r="F37" s="60">
        <v>12753.378515200002</v>
      </c>
      <c r="G37" s="71">
        <v>44.266453451673968</v>
      </c>
      <c r="H37" s="71">
        <v>9.59</v>
      </c>
      <c r="I37" s="71">
        <v>11.275189879370751</v>
      </c>
    </row>
    <row r="38" spans="1:9">
      <c r="A38" s="72">
        <v>2003</v>
      </c>
      <c r="B38" s="60">
        <v>13322.058899999998</v>
      </c>
      <c r="C38" s="60">
        <v>872.36970810000003</v>
      </c>
      <c r="D38" s="60">
        <v>14194.428608099999</v>
      </c>
      <c r="E38" s="70">
        <v>590.35208096999997</v>
      </c>
      <c r="F38" s="60">
        <v>13604.076527129999</v>
      </c>
      <c r="G38" s="71">
        <v>46.778397799407166</v>
      </c>
      <c r="H38" s="71">
        <v>7.34</v>
      </c>
      <c r="I38" s="71">
        <v>8.4607049819028521</v>
      </c>
    </row>
    <row r="39" spans="1:9">
      <c r="A39" s="72">
        <v>2004</v>
      </c>
      <c r="B39" s="60">
        <v>13181.281800000001</v>
      </c>
      <c r="C39" s="60">
        <v>755.09774045000006</v>
      </c>
      <c r="D39" s="60">
        <v>13936.379540450002</v>
      </c>
      <c r="E39" s="70">
        <v>484.458977</v>
      </c>
      <c r="F39" s="60">
        <v>13451.920563450001</v>
      </c>
      <c r="G39" s="71">
        <v>45.838528479986344</v>
      </c>
      <c r="H39" s="71">
        <v>6.7</v>
      </c>
      <c r="I39" s="71">
        <v>7.5169411659112324</v>
      </c>
    </row>
    <row r="40" spans="1:9">
      <c r="A40" s="72">
        <v>2005</v>
      </c>
      <c r="B40" s="60">
        <v>12075.4601</v>
      </c>
      <c r="C40" s="60">
        <v>787.82885400000009</v>
      </c>
      <c r="D40" s="60">
        <v>12863.288954</v>
      </c>
      <c r="E40" s="70">
        <v>639.38867400000004</v>
      </c>
      <c r="F40" s="60">
        <v>12223.90028</v>
      </c>
      <c r="G40" s="71">
        <v>41.270996486885807</v>
      </c>
      <c r="H40" s="71">
        <v>10.31</v>
      </c>
      <c r="I40" s="71">
        <v>11.207618136556837</v>
      </c>
    </row>
    <row r="41" spans="1:9">
      <c r="A41" s="72">
        <v>2006</v>
      </c>
      <c r="B41" s="60">
        <v>11347.9478</v>
      </c>
      <c r="C41" s="60">
        <v>817.41887300000008</v>
      </c>
      <c r="D41" s="60">
        <v>12165.366673</v>
      </c>
      <c r="E41" s="70">
        <v>630.72362699999996</v>
      </c>
      <c r="F41" s="60">
        <v>11534.643046000001</v>
      </c>
      <c r="G41" s="71">
        <v>38.577940163545762</v>
      </c>
      <c r="H41" s="71">
        <v>10.25</v>
      </c>
      <c r="I41" s="71">
        <v>10.810183720390643</v>
      </c>
    </row>
    <row r="42" spans="1:9">
      <c r="A42" s="72">
        <v>2007</v>
      </c>
      <c r="B42" s="60">
        <v>11225.2395</v>
      </c>
      <c r="C42" s="60">
        <v>1105.859222</v>
      </c>
      <c r="D42" s="60">
        <v>12331.098721999999</v>
      </c>
      <c r="E42" s="70">
        <v>640.13464899999997</v>
      </c>
      <c r="F42" s="60">
        <v>11690.964072999999</v>
      </c>
      <c r="G42" s="71">
        <v>38.711299472980009</v>
      </c>
      <c r="H42" s="71">
        <v>10.84</v>
      </c>
      <c r="I42" s="71">
        <v>11.13679560281502</v>
      </c>
    </row>
    <row r="43" spans="1:9">
      <c r="A43" s="72">
        <v>2008</v>
      </c>
      <c r="B43" s="60">
        <v>10995.238800000001</v>
      </c>
      <c r="C43" s="60">
        <v>1177.544641658</v>
      </c>
      <c r="D43" s="60">
        <v>12172.783441658001</v>
      </c>
      <c r="E43" s="70">
        <v>641.51421900000003</v>
      </c>
      <c r="F43" s="60">
        <v>11531.269222658</v>
      </c>
      <c r="G43" s="71">
        <v>37.832526016022804</v>
      </c>
      <c r="H43" s="71">
        <v>14.44</v>
      </c>
      <c r="I43" s="71">
        <v>14.55117094602765</v>
      </c>
    </row>
    <row r="44" spans="1:9">
      <c r="A44" s="72">
        <v>2009</v>
      </c>
      <c r="B44" s="60">
        <v>11059.0954</v>
      </c>
      <c r="C44" s="60">
        <v>936.32224439999993</v>
      </c>
      <c r="D44" s="60">
        <v>11995.4176444</v>
      </c>
      <c r="E44" s="70">
        <v>728.7908566000001</v>
      </c>
      <c r="F44" s="60">
        <v>11266.6267878</v>
      </c>
      <c r="G44" s="71">
        <v>36.646658066337793</v>
      </c>
      <c r="H44" s="71">
        <v>8.35</v>
      </c>
      <c r="I44" s="71">
        <v>8.35</v>
      </c>
    </row>
    <row r="45" spans="1:9">
      <c r="A45" s="72">
        <v>2010</v>
      </c>
      <c r="B45" s="60">
        <v>11341.517200000002</v>
      </c>
      <c r="C45" s="60">
        <v>916.36486000000002</v>
      </c>
      <c r="D45" s="60">
        <v>12257.882060000002</v>
      </c>
      <c r="E45" s="70">
        <v>855.59811000000002</v>
      </c>
      <c r="F45" s="60">
        <v>11402.283950000001</v>
      </c>
      <c r="G45" s="71">
        <v>36.809289685692136</v>
      </c>
      <c r="H45" s="71">
        <v>12.71</v>
      </c>
      <c r="I45" s="71">
        <v>12.557923545859639</v>
      </c>
    </row>
    <row r="46" spans="1:9">
      <c r="A46" s="72">
        <v>2011</v>
      </c>
      <c r="B46" s="60">
        <v>10533.707600000002</v>
      </c>
      <c r="C46" s="60">
        <v>1083.66696</v>
      </c>
      <c r="D46" s="60">
        <v>11617.374560000002</v>
      </c>
      <c r="E46" s="70">
        <v>989.97957999999994</v>
      </c>
      <c r="F46" s="60">
        <v>10627.394980000003</v>
      </c>
      <c r="G46" s="71">
        <v>34.047333492052672</v>
      </c>
      <c r="H46" s="71">
        <v>12.82</v>
      </c>
      <c r="I46" s="71">
        <v>12.42260099419568</v>
      </c>
    </row>
    <row r="47" spans="1:9">
      <c r="A47" s="72">
        <v>2012</v>
      </c>
      <c r="B47" s="60">
        <v>11065.227500000001</v>
      </c>
      <c r="C47" s="60">
        <v>778.16631000000007</v>
      </c>
      <c r="D47" s="60">
        <v>11843.393810000001</v>
      </c>
      <c r="E47" s="70">
        <v>986.49772999999993</v>
      </c>
      <c r="F47" s="60">
        <v>10856.896080000002</v>
      </c>
      <c r="G47" s="71">
        <v>34.527808427848356</v>
      </c>
      <c r="H47" s="71">
        <v>9.16</v>
      </c>
      <c r="I47" s="71">
        <v>8.7102257194137707</v>
      </c>
    </row>
    <row r="48" spans="1:9">
      <c r="A48" s="72">
        <v>2013</v>
      </c>
      <c r="B48" s="60">
        <v>11128.935500000001</v>
      </c>
      <c r="C48" s="60">
        <v>861.44646</v>
      </c>
      <c r="D48" s="60">
        <v>11990.381960000001</v>
      </c>
      <c r="E48" s="70">
        <v>1055.51724328</v>
      </c>
      <c r="F48" s="60">
        <v>10934.86471672</v>
      </c>
      <c r="G48" s="71">
        <v>34.524416277785164</v>
      </c>
      <c r="H48" s="71">
        <v>12.63</v>
      </c>
      <c r="I48" s="71">
        <v>11.811934917454403</v>
      </c>
    </row>
    <row r="49" spans="1:9">
      <c r="A49" s="72">
        <v>2014</v>
      </c>
      <c r="B49" s="60">
        <v>10596.118399999999</v>
      </c>
      <c r="C49" s="60">
        <v>1036.4529972</v>
      </c>
      <c r="D49" s="60">
        <v>11632.571397199999</v>
      </c>
      <c r="E49" s="70">
        <v>922.1530755</v>
      </c>
      <c r="F49" s="60">
        <v>10710.418321699999</v>
      </c>
      <c r="G49" s="71">
        <v>33.555692641271492</v>
      </c>
      <c r="H49" s="71">
        <v>10.28</v>
      </c>
      <c r="I49" s="71">
        <v>9.4588315398664893</v>
      </c>
    </row>
    <row r="50" spans="1:9">
      <c r="A50" s="72">
        <v>2015</v>
      </c>
      <c r="B50" s="60">
        <v>10982.137600000002</v>
      </c>
      <c r="C50" s="60">
        <v>882.27676563</v>
      </c>
      <c r="D50" s="60">
        <v>11864.414365630002</v>
      </c>
      <c r="E50" s="70">
        <v>904.78398312000002</v>
      </c>
      <c r="F50" s="60">
        <v>10959.630382510002</v>
      </c>
      <c r="G50" s="71">
        <v>34.128099941052938</v>
      </c>
      <c r="H50" s="71">
        <v>9.7899999999999991</v>
      </c>
      <c r="I50" s="71">
        <v>8.9184043435088753</v>
      </c>
    </row>
    <row r="51" spans="1:9">
      <c r="A51" s="72">
        <v>2016</v>
      </c>
      <c r="B51" s="60">
        <v>10856.579600000001</v>
      </c>
      <c r="C51" s="60">
        <v>1093.3450624699999</v>
      </c>
      <c r="D51" s="60">
        <v>11949.924662470001</v>
      </c>
      <c r="E51" s="70">
        <v>1078.01467224</v>
      </c>
      <c r="F51" s="60">
        <v>10871.90999023</v>
      </c>
      <c r="G51" s="71">
        <v>33.622858655779019</v>
      </c>
      <c r="H51" s="71">
        <v>10.6</v>
      </c>
      <c r="I51" s="71">
        <v>9.5116315588756528</v>
      </c>
    </row>
    <row r="52" spans="1:9">
      <c r="A52" s="72">
        <v>2017</v>
      </c>
      <c r="B52" s="60">
        <v>10960.608347726915</v>
      </c>
      <c r="C52" s="60">
        <v>1106.4542166700001</v>
      </c>
      <c r="D52" s="60">
        <v>12067.062564396914</v>
      </c>
      <c r="E52" s="70">
        <v>1200.69015575</v>
      </c>
      <c r="F52" s="60">
        <v>10866.372408646914</v>
      </c>
      <c r="G52" s="71">
        <v>33.376929314973069</v>
      </c>
      <c r="H52" s="71">
        <v>10.572100155563369</v>
      </c>
      <c r="I52" s="71">
        <v>9.3444793765639247</v>
      </c>
    </row>
    <row r="53" spans="1:9">
      <c r="A53" s="73" t="s">
        <v>206</v>
      </c>
      <c r="B53" s="73"/>
      <c r="C53" s="74"/>
      <c r="D53" s="74"/>
      <c r="E53" s="75"/>
      <c r="F53" s="74"/>
      <c r="G53" s="74"/>
      <c r="H53" s="74"/>
      <c r="I53" s="74"/>
    </row>
    <row r="54" spans="1:9">
      <c r="A54" s="76" t="s">
        <v>207</v>
      </c>
      <c r="B54" s="77"/>
      <c r="C54" s="78"/>
      <c r="D54" s="78"/>
      <c r="E54" s="79"/>
      <c r="F54" s="78"/>
      <c r="G54" s="78"/>
      <c r="H54" s="78"/>
      <c r="I54" s="78"/>
    </row>
    <row r="55" spans="1:9">
      <c r="A55" s="76" t="s">
        <v>208</v>
      </c>
      <c r="B55" s="77"/>
      <c r="C55" s="78"/>
      <c r="D55" s="78"/>
      <c r="E55" s="79"/>
      <c r="F55" s="78"/>
      <c r="G55" s="78"/>
      <c r="H55" s="78"/>
      <c r="I55" s="78"/>
    </row>
    <row r="56" spans="1:9">
      <c r="A56" s="80" t="s">
        <v>209</v>
      </c>
      <c r="B56" s="80"/>
      <c r="C56" s="76"/>
      <c r="D56" s="76"/>
      <c r="E56" s="81"/>
      <c r="F56" s="76"/>
      <c r="G56" s="76"/>
      <c r="H56" s="76"/>
      <c r="I56" s="76"/>
    </row>
    <row r="57" spans="1:9">
      <c r="A57" s="80" t="s">
        <v>210</v>
      </c>
      <c r="B57" s="80"/>
      <c r="C57" s="76"/>
      <c r="D57" s="76"/>
      <c r="E57" s="81"/>
      <c r="F57" s="76"/>
      <c r="G57" s="76"/>
      <c r="H57" s="76"/>
      <c r="I57" s="76"/>
    </row>
    <row r="58" spans="1:9">
      <c r="A58" s="80" t="s">
        <v>211</v>
      </c>
      <c r="B58" s="80"/>
      <c r="C58" s="76"/>
      <c r="D58" s="76"/>
      <c r="E58" s="81"/>
      <c r="F58" s="76"/>
      <c r="G58" s="76"/>
      <c r="H58" s="76"/>
      <c r="I58" s="76"/>
    </row>
    <row r="59" spans="1:9">
      <c r="A59" s="82" t="s">
        <v>212</v>
      </c>
      <c r="B59" s="83"/>
      <c r="C59" s="76"/>
      <c r="D59" s="76"/>
      <c r="E59" s="81"/>
      <c r="F59" s="76"/>
      <c r="G59" s="76"/>
      <c r="H59" s="76"/>
      <c r="I59" s="76"/>
    </row>
  </sheetData>
  <conditionalFormatting sqref="P12">
    <cfRule type="expression" dxfId="23" priority="7">
      <formula>MOD(ROW(),2)=1</formula>
    </cfRule>
  </conditionalFormatting>
  <conditionalFormatting sqref="Q12">
    <cfRule type="expression" dxfId="22" priority="3">
      <formula>MOD(ROW(),2)=1</formula>
    </cfRule>
  </conditionalFormatting>
  <conditionalFormatting sqref="Q3">
    <cfRule type="expression" dxfId="21" priority="14">
      <formula>MOD(ROW(),2)=1</formula>
    </cfRule>
  </conditionalFormatting>
  <conditionalFormatting sqref="P3">
    <cfRule type="expression" dxfId="20" priority="13">
      <formula>MOD(ROW(),2)=1</formula>
    </cfRule>
  </conditionalFormatting>
  <conditionalFormatting sqref="O3">
    <cfRule type="expression" dxfId="19" priority="12">
      <formula>MOD(ROW(),2)=1</formula>
    </cfRule>
  </conditionalFormatting>
  <conditionalFormatting sqref="N3">
    <cfRule type="expression" dxfId="18" priority="11">
      <formula>MOD(ROW(),2)=1</formula>
    </cfRule>
  </conditionalFormatting>
  <conditionalFormatting sqref="N7">
    <cfRule type="expression" dxfId="17" priority="10">
      <formula>MOD(ROW(),2)=1</formula>
    </cfRule>
  </conditionalFormatting>
  <conditionalFormatting sqref="N16">
    <cfRule type="expression" dxfId="16" priority="9">
      <formula>MOD(ROW(),2)=1</formula>
    </cfRule>
  </conditionalFormatting>
  <conditionalFormatting sqref="O12">
    <cfRule type="expression" dxfId="15" priority="6">
      <formula>MOD(ROW(),2)=1</formula>
    </cfRule>
  </conditionalFormatting>
  <conditionalFormatting sqref="A52">
    <cfRule type="expression" dxfId="14" priority="1">
      <formula>MOD(ROW(),2)=1</formula>
    </cfRule>
  </conditionalFormatting>
  <conditionalFormatting sqref="N12">
    <cfRule type="expression" dxfId="13" priority="4">
      <formula>MOD(ROW(),2)=1</formula>
    </cfRule>
  </conditionalFormatting>
  <conditionalFormatting sqref="A5:I51 B52:I52">
    <cfRule type="expression" dxfId="12" priority="2">
      <formula>MOD(ROW(),2)=1</formula>
    </cfRule>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0CB5C7BD841A746A008EF8990FEF8A1" ma:contentTypeVersion="15" ma:contentTypeDescription="Create a new document." ma:contentTypeScope="" ma:versionID="04f0adbf5da449b72a87907c36bfe402">
  <xsd:schema xmlns:xsd="http://www.w3.org/2001/XMLSchema" xmlns:xs="http://www.w3.org/2001/XMLSchema" xmlns:p="http://schemas.microsoft.com/office/2006/metadata/properties" xmlns:ns2="d795cf93-200f-4322-ae4e-3af3c2bc7b07" xmlns:ns3="bec3e06c-9dd4-4aa2-90c9-9a788c41bf59" targetNamespace="http://schemas.microsoft.com/office/2006/metadata/properties" ma:root="true" ma:fieldsID="f5e4044cd58a51a52832fd40a04c970f" ns2:_="" ns3:_="">
    <xsd:import namespace="d795cf93-200f-4322-ae4e-3af3c2bc7b07"/>
    <xsd:import namespace="bec3e06c-9dd4-4aa2-90c9-9a788c41bf5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GenerationTime" minOccurs="0"/>
                <xsd:element ref="ns2:MediaServiceEventHashCode" minOccurs="0"/>
                <xsd:element ref="ns2:MediaServiceOCR" minOccurs="0"/>
                <xsd:element ref="ns2:MediaServiceDateTaken" minOccurs="0"/>
                <xsd:element ref="ns3:SharedWithUsers" minOccurs="0"/>
                <xsd:element ref="ns3:SharedWithDetails" minOccurs="0"/>
                <xsd:element ref="ns2:MediaServiceLocation"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795cf93-200f-4322-ae4e-3af3c2bc7b0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MediaServiceLocation" ma:index="19" nillable="true" ma:displayName="Location" ma:internalName="MediaServiceLocation" ma:readOnly="true">
      <xsd:simpleType>
        <xsd:restriction base="dms:Text"/>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28b28469-8996-4088-bd89-44d87d6385e5"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bec3e06c-9dd4-4aa2-90c9-9a788c41bf59"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68644ca3-003b-4e0e-bb82-ecd3a2033107}" ma:internalName="TaxCatchAll" ma:showField="CatchAllData" ma:web="bec3e06c-9dd4-4aa2-90c9-9a788c41bf5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d795cf93-200f-4322-ae4e-3af3c2bc7b07">
      <Terms xmlns="http://schemas.microsoft.com/office/infopath/2007/PartnerControls"/>
    </lcf76f155ced4ddcb4097134ff3c332f>
    <TaxCatchAll xmlns="bec3e06c-9dd4-4aa2-90c9-9a788c41bf59" xsi:nil="true"/>
  </documentManagement>
</p:properties>
</file>

<file path=customXml/itemProps1.xml><?xml version="1.0" encoding="utf-8"?>
<ds:datastoreItem xmlns:ds="http://schemas.openxmlformats.org/officeDocument/2006/customXml" ds:itemID="{988355D3-D5E4-4365-AB98-650B4FE3FD35}"/>
</file>

<file path=customXml/itemProps2.xml><?xml version="1.0" encoding="utf-8"?>
<ds:datastoreItem xmlns:ds="http://schemas.openxmlformats.org/officeDocument/2006/customXml" ds:itemID="{05A31B02-4B5A-49D9-8C66-116C19D35152}"/>
</file>

<file path=customXml/itemProps3.xml><?xml version="1.0" encoding="utf-8"?>
<ds:datastoreItem xmlns:ds="http://schemas.openxmlformats.org/officeDocument/2006/customXml" ds:itemID="{808B8729-C96A-4B15-9260-40A4CB01576C}"/>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19</vt:i4>
      </vt:variant>
    </vt:vector>
  </HeadingPairs>
  <TitlesOfParts>
    <vt:vector size="19" baseType="lpstr">
      <vt:lpstr>CornGrain</vt:lpstr>
      <vt:lpstr>CornTotal</vt:lpstr>
      <vt:lpstr>SorghumTotal</vt:lpstr>
      <vt:lpstr>SorghumGrain</vt:lpstr>
      <vt:lpstr>Wheat</vt:lpstr>
      <vt:lpstr>Oats</vt:lpstr>
      <vt:lpstr>Barley</vt:lpstr>
      <vt:lpstr>Soybeans</vt:lpstr>
      <vt:lpstr>Potatoes_fresh</vt:lpstr>
      <vt:lpstr>Potatoes_can</vt:lpstr>
      <vt:lpstr>Potatoes_chip</vt:lpstr>
      <vt:lpstr>Potatoes_dehy</vt:lpstr>
      <vt:lpstr>Potatoes_frz</vt:lpstr>
      <vt:lpstr>Rye</vt:lpstr>
      <vt:lpstr>Rice</vt:lpstr>
      <vt:lpstr>Hay</vt:lpstr>
      <vt:lpstr>Peanuts</vt:lpstr>
      <vt:lpstr>DGS</vt:lpstr>
      <vt:lpstr>Conversions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Mikaela Algren</dc:creator>
  <cp:lastModifiedBy>Mikaela Algren</cp:lastModifiedBy>
  <dcterms:created xsi:type="dcterms:W3CDTF">2018-05-07T21:28:59Z</dcterms:created>
  <dcterms:modified xsi:type="dcterms:W3CDTF">2020-07-15T02:46:17Z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0x01010050CB5C7BD841A746A008EF8990FEF8A1</vt:lpwstr>
  </property>
</Properties>
</file>