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Виталий\Downloads\"/>
    </mc:Choice>
  </mc:AlternateContent>
  <bookViews>
    <workbookView xWindow="0" yWindow="0" windowWidth="23040" windowHeight="9195"/>
  </bookViews>
  <sheets>
    <sheet name="Общая" sheetId="1" r:id="rId1"/>
    <sheet name="ФОТ рабоч" sheetId="2" r:id="rId2"/>
    <sheet name="ФОТ МОП" sheetId="3" r:id="rId3"/>
    <sheet name="Санитарка" sheetId="4" r:id="rId4"/>
    <sheet name=" Смета ремонт" sheetId="5" r:id="rId5"/>
    <sheet name="эксплуат" sheetId="6" r:id="rId6"/>
    <sheet name="лифты" sheetId="7" r:id="rId7"/>
    <sheet name="ДУ ППА" sheetId="8" r:id="rId8"/>
    <sheet name="мусор" sheetId="9" r:id="rId9"/>
    <sheet name="дератизация" sheetId="10" r:id="rId10"/>
    <sheet name="Охрана" sheetId="11" r:id="rId11"/>
    <sheet name="электроэнергия" sheetId="12" r:id="rId12"/>
  </sheets>
  <externalReferences>
    <externalReference r:id="rId13"/>
    <externalReference r:id="rId14"/>
    <externalReference r:id="rId15"/>
  </externalReferences>
  <definedNames>
    <definedName name="_GoBack" localSheetId="3">Санитарка!#REF!</definedName>
    <definedName name="_xlnm._FilterDatabase" localSheetId="3" hidden="1">Санитарка!$A$4:$J$193</definedName>
    <definedName name="_xlnm._FilterDatabase" localSheetId="2" hidden="1">'ФОТ МОП'!#REF!</definedName>
    <definedName name="Z_0BBC8003_169E_4733_BF4E_8E8F48AC168A_.wvu.Cols" localSheetId="3" hidden="1">Санитарка!$C:$C,Санитарка!#REF!</definedName>
    <definedName name="Z_0BBC8003_169E_4733_BF4E_8E8F48AC168A_.wvu.PrintArea" localSheetId="3" hidden="1">Санитарка!$A$1:$K$197</definedName>
    <definedName name="Z_E5778808_3814_41D3_BCA7_0ACE2CBD5D1F_.wvu.Cols" localSheetId="3" hidden="1">Санитарка!$C:$C,Санитарка!$E:$E,Санитарка!$G:$G</definedName>
    <definedName name="Z_E5778808_3814_41D3_BCA7_0ACE2CBD5D1F_.wvu.PrintArea" localSheetId="3" hidden="1">Санитарка!$A$1:$K$197</definedName>
    <definedName name="_xlnm.Print_Area" localSheetId="3">Санитарка!$A$1:$K$197</definedName>
    <definedName name="Справочник_работ_и_услуг">OFFSET([1]СпрРабУсл!$A$1:$A$65535,,,COUNTA([1]СпрРабУсл!$A$1:$A$65535))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2" l="1"/>
  <c r="B11" i="12"/>
  <c r="D16" i="11"/>
  <c r="D17" i="11" s="1"/>
  <c r="D12" i="11"/>
  <c r="E12" i="11" s="1"/>
  <c r="E13" i="11" s="1"/>
  <c r="D3" i="11"/>
  <c r="E3" i="11" s="1"/>
  <c r="E10" i="10"/>
  <c r="D10" i="10"/>
  <c r="E9" i="10"/>
  <c r="D9" i="10"/>
  <c r="I9" i="10" s="1"/>
  <c r="C9" i="10"/>
  <c r="C10" i="10" s="1"/>
  <c r="B9" i="10"/>
  <c r="B10" i="10" s="1"/>
  <c r="E4" i="10"/>
  <c r="I3" i="10"/>
  <c r="I2" i="10"/>
  <c r="D34" i="9"/>
  <c r="J34" i="9" s="1"/>
  <c r="C22" i="1" s="1"/>
  <c r="C27" i="9"/>
  <c r="E27" i="9" s="1"/>
  <c r="E31" i="9" s="1"/>
  <c r="B27" i="9"/>
  <c r="L26" i="9"/>
  <c r="I26" i="9"/>
  <c r="F16" i="9"/>
  <c r="F19" i="9" s="1"/>
  <c r="F20" i="9" s="1"/>
  <c r="I10" i="9"/>
  <c r="K10" i="9" s="1"/>
  <c r="H10" i="9"/>
  <c r="L10" i="9" s="1"/>
  <c r="M10" i="9" s="1"/>
  <c r="G10" i="9"/>
  <c r="F10" i="9"/>
  <c r="D10" i="9"/>
  <c r="C10" i="9"/>
  <c r="B10" i="9"/>
  <c r="L9" i="9"/>
  <c r="M9" i="9" s="1"/>
  <c r="H9" i="9"/>
  <c r="J9" i="9" s="1"/>
  <c r="G9" i="9"/>
  <c r="F9" i="9"/>
  <c r="D9" i="9"/>
  <c r="I9" i="9" s="1"/>
  <c r="K9" i="9" s="1"/>
  <c r="C9" i="9"/>
  <c r="B9" i="9"/>
  <c r="G7" i="8"/>
  <c r="J7" i="8" s="1"/>
  <c r="G6" i="8"/>
  <c r="J6" i="8" s="1"/>
  <c r="G5" i="8"/>
  <c r="J5" i="8" s="1"/>
  <c r="J8" i="8" s="1"/>
  <c r="C16" i="1" s="1"/>
  <c r="D16" i="1" s="1"/>
  <c r="C5" i="8"/>
  <c r="I5" i="8" s="1"/>
  <c r="B5" i="8"/>
  <c r="H10" i="7"/>
  <c r="J10" i="7" s="1"/>
  <c r="J9" i="7"/>
  <c r="H9" i="7"/>
  <c r="I9" i="7" s="1"/>
  <c r="H8" i="7"/>
  <c r="J8" i="7" s="1"/>
  <c r="J7" i="7"/>
  <c r="H7" i="7"/>
  <c r="I7" i="7" s="1"/>
  <c r="S8" i="6"/>
  <c r="J8" i="6"/>
  <c r="I8" i="6"/>
  <c r="H8" i="6"/>
  <c r="F8" i="6"/>
  <c r="E8" i="6"/>
  <c r="B8" i="6"/>
  <c r="D24" i="5"/>
  <c r="D23" i="5"/>
  <c r="D22" i="5"/>
  <c r="F19" i="5"/>
  <c r="G19" i="5" s="1"/>
  <c r="D13" i="5"/>
  <c r="F8" i="5"/>
  <c r="D191" i="4"/>
  <c r="J190" i="4"/>
  <c r="H190" i="4"/>
  <c r="G190" i="4"/>
  <c r="D190" i="4"/>
  <c r="J189" i="4"/>
  <c r="H189" i="4"/>
  <c r="G189" i="4"/>
  <c r="D189" i="4"/>
  <c r="I188" i="4"/>
  <c r="J188" i="4" s="1"/>
  <c r="H188" i="4"/>
  <c r="G188" i="4"/>
  <c r="D188" i="4"/>
  <c r="D187" i="4"/>
  <c r="D186" i="4"/>
  <c r="J185" i="4"/>
  <c r="H185" i="4"/>
  <c r="G185" i="4"/>
  <c r="D185" i="4"/>
  <c r="J184" i="4"/>
  <c r="H184" i="4"/>
  <c r="G184" i="4"/>
  <c r="I183" i="4"/>
  <c r="J183" i="4" s="1"/>
  <c r="H183" i="4"/>
  <c r="G183" i="4"/>
  <c r="D183" i="4"/>
  <c r="D182" i="4"/>
  <c r="J181" i="4"/>
  <c r="D181" i="4"/>
  <c r="J180" i="4"/>
  <c r="H180" i="4"/>
  <c r="G180" i="4"/>
  <c r="D180" i="4"/>
  <c r="D179" i="4"/>
  <c r="I178" i="4"/>
  <c r="J178" i="4" s="1"/>
  <c r="H178" i="4"/>
  <c r="G178" i="4"/>
  <c r="D178" i="4"/>
  <c r="J177" i="4"/>
  <c r="H177" i="4"/>
  <c r="G177" i="4"/>
  <c r="D177" i="4"/>
  <c r="J176" i="4"/>
  <c r="H176" i="4"/>
  <c r="G176" i="4"/>
  <c r="D176" i="4"/>
  <c r="D175" i="4"/>
  <c r="D174" i="4"/>
  <c r="I173" i="4"/>
  <c r="J173" i="4" s="1"/>
  <c r="H173" i="4"/>
  <c r="G173" i="4"/>
  <c r="D173" i="4"/>
  <c r="I172" i="4"/>
  <c r="J172" i="4" s="1"/>
  <c r="H172" i="4"/>
  <c r="G172" i="4"/>
  <c r="D172" i="4"/>
  <c r="J171" i="4"/>
  <c r="I171" i="4"/>
  <c r="H171" i="4"/>
  <c r="G171" i="4"/>
  <c r="D171" i="4"/>
  <c r="D170" i="4"/>
  <c r="D169" i="4"/>
  <c r="J168" i="4"/>
  <c r="H168" i="4"/>
  <c r="G168" i="4"/>
  <c r="D168" i="4"/>
  <c r="I167" i="4"/>
  <c r="J167" i="4" s="1"/>
  <c r="H167" i="4"/>
  <c r="G167" i="4"/>
  <c r="D167" i="4"/>
  <c r="I166" i="4"/>
  <c r="J166" i="4" s="1"/>
  <c r="H166" i="4"/>
  <c r="G166" i="4"/>
  <c r="D166" i="4"/>
  <c r="I165" i="4"/>
  <c r="J165" i="4" s="1"/>
  <c r="H165" i="4"/>
  <c r="G165" i="4"/>
  <c r="D165" i="4"/>
  <c r="D164" i="4"/>
  <c r="D163" i="4"/>
  <c r="I162" i="4"/>
  <c r="J162" i="4" s="1"/>
  <c r="H162" i="4"/>
  <c r="G162" i="4"/>
  <c r="D162" i="4"/>
  <c r="I161" i="4"/>
  <c r="J161" i="4" s="1"/>
  <c r="H161" i="4"/>
  <c r="G161" i="4"/>
  <c r="D161" i="4"/>
  <c r="J160" i="4"/>
  <c r="H160" i="4"/>
  <c r="G160" i="4"/>
  <c r="I159" i="4"/>
  <c r="J159" i="4" s="1"/>
  <c r="H159" i="4"/>
  <c r="G159" i="4"/>
  <c r="D159" i="4"/>
  <c r="D158" i="4"/>
  <c r="D157" i="4"/>
  <c r="J156" i="4"/>
  <c r="H156" i="4"/>
  <c r="G156" i="4"/>
  <c r="I155" i="4"/>
  <c r="J155" i="4" s="1"/>
  <c r="H155" i="4"/>
  <c r="G155" i="4"/>
  <c r="D155" i="4"/>
  <c r="J154" i="4"/>
  <c r="G154" i="4"/>
  <c r="D153" i="4"/>
  <c r="D152" i="4"/>
  <c r="J151" i="4"/>
  <c r="I151" i="4"/>
  <c r="H151" i="4"/>
  <c r="G151" i="4"/>
  <c r="D151" i="4"/>
  <c r="J150" i="4"/>
  <c r="H150" i="4"/>
  <c r="G150" i="4"/>
  <c r="D150" i="4"/>
  <c r="H149" i="4"/>
  <c r="I149" i="4" s="1"/>
  <c r="J149" i="4" s="1"/>
  <c r="G149" i="4"/>
  <c r="D149" i="4"/>
  <c r="H148" i="4"/>
  <c r="G148" i="4"/>
  <c r="D148" i="4"/>
  <c r="I148" i="4" s="1"/>
  <c r="J148" i="4" s="1"/>
  <c r="H147" i="4"/>
  <c r="G147" i="4"/>
  <c r="D147" i="4"/>
  <c r="I147" i="4" s="1"/>
  <c r="J147" i="4" s="1"/>
  <c r="H146" i="4"/>
  <c r="G146" i="4"/>
  <c r="D146" i="4"/>
  <c r="I146" i="4" s="1"/>
  <c r="J146" i="4" s="1"/>
  <c r="I145" i="4"/>
  <c r="J145" i="4" s="1"/>
  <c r="H145" i="4"/>
  <c r="G145" i="4"/>
  <c r="D145" i="4"/>
  <c r="H144" i="4"/>
  <c r="I144" i="4" s="1"/>
  <c r="J144" i="4" s="1"/>
  <c r="G144" i="4"/>
  <c r="D144" i="4"/>
  <c r="H143" i="4"/>
  <c r="I143" i="4" s="1"/>
  <c r="J143" i="4" s="1"/>
  <c r="G143" i="4"/>
  <c r="D143" i="4"/>
  <c r="H142" i="4"/>
  <c r="G142" i="4"/>
  <c r="D142" i="4"/>
  <c r="I142" i="4" s="1"/>
  <c r="J142" i="4" s="1"/>
  <c r="I141" i="4"/>
  <c r="J141" i="4" s="1"/>
  <c r="H141" i="4"/>
  <c r="G141" i="4"/>
  <c r="D141" i="4"/>
  <c r="H140" i="4"/>
  <c r="G140" i="4"/>
  <c r="D140" i="4"/>
  <c r="I140" i="4" s="1"/>
  <c r="J140" i="4" s="1"/>
  <c r="I139" i="4"/>
  <c r="J139" i="4" s="1"/>
  <c r="H139" i="4"/>
  <c r="G139" i="4"/>
  <c r="D139" i="4"/>
  <c r="D138" i="4"/>
  <c r="D137" i="4"/>
  <c r="J136" i="4"/>
  <c r="I136" i="4"/>
  <c r="H136" i="4"/>
  <c r="G136" i="4"/>
  <c r="D136" i="4"/>
  <c r="I135" i="4"/>
  <c r="J135" i="4" s="1"/>
  <c r="H135" i="4"/>
  <c r="G135" i="4"/>
  <c r="D135" i="4"/>
  <c r="J134" i="4"/>
  <c r="H134" i="4"/>
  <c r="G134" i="4"/>
  <c r="D134" i="4"/>
  <c r="I133" i="4"/>
  <c r="J133" i="4" s="1"/>
  <c r="H133" i="4"/>
  <c r="G133" i="4"/>
  <c r="D133" i="4"/>
  <c r="I132" i="4"/>
  <c r="J132" i="4" s="1"/>
  <c r="H132" i="4"/>
  <c r="G132" i="4"/>
  <c r="D132" i="4"/>
  <c r="J131" i="4"/>
  <c r="I131" i="4"/>
  <c r="H131" i="4"/>
  <c r="G131" i="4"/>
  <c r="D131" i="4"/>
  <c r="I130" i="4"/>
  <c r="J130" i="4" s="1"/>
  <c r="H130" i="4"/>
  <c r="G130" i="4"/>
  <c r="D130" i="4"/>
  <c r="I129" i="4"/>
  <c r="J129" i="4" s="1"/>
  <c r="H129" i="4"/>
  <c r="G129" i="4"/>
  <c r="D129" i="4"/>
  <c r="I128" i="4"/>
  <c r="J128" i="4" s="1"/>
  <c r="H128" i="4"/>
  <c r="G128" i="4"/>
  <c r="D128" i="4"/>
  <c r="J127" i="4"/>
  <c r="H127" i="4"/>
  <c r="G127" i="4"/>
  <c r="D127" i="4"/>
  <c r="J126" i="4"/>
  <c r="H126" i="4"/>
  <c r="G126" i="4"/>
  <c r="J125" i="4"/>
  <c r="H125" i="4"/>
  <c r="G125" i="4"/>
  <c r="J124" i="4"/>
  <c r="H124" i="4"/>
  <c r="G124" i="4"/>
  <c r="J123" i="4"/>
  <c r="H123" i="4"/>
  <c r="G123" i="4"/>
  <c r="J122" i="4"/>
  <c r="I122" i="4"/>
  <c r="H122" i="4"/>
  <c r="G122" i="4"/>
  <c r="D122" i="4"/>
  <c r="I121" i="4"/>
  <c r="J121" i="4" s="1"/>
  <c r="H121" i="4"/>
  <c r="G121" i="4"/>
  <c r="D121" i="4"/>
  <c r="I120" i="4"/>
  <c r="J120" i="4" s="1"/>
  <c r="H120" i="4"/>
  <c r="G120" i="4"/>
  <c r="D120" i="4"/>
  <c r="J119" i="4"/>
  <c r="H119" i="4"/>
  <c r="G119" i="4"/>
  <c r="J118" i="4"/>
  <c r="I118" i="4"/>
  <c r="H118" i="4"/>
  <c r="G118" i="4"/>
  <c r="I117" i="4"/>
  <c r="J117" i="4" s="1"/>
  <c r="H117" i="4"/>
  <c r="G117" i="4"/>
  <c r="D117" i="4"/>
  <c r="I116" i="4"/>
  <c r="J116" i="4" s="1"/>
  <c r="H116" i="4"/>
  <c r="G116" i="4"/>
  <c r="D116" i="4"/>
  <c r="J115" i="4"/>
  <c r="H115" i="4"/>
  <c r="G115" i="4"/>
  <c r="D115" i="4"/>
  <c r="J114" i="4"/>
  <c r="H114" i="4"/>
  <c r="G114" i="4"/>
  <c r="D114" i="4"/>
  <c r="J113" i="4"/>
  <c r="H113" i="4"/>
  <c r="G113" i="4"/>
  <c r="D113" i="4"/>
  <c r="J112" i="4"/>
  <c r="H112" i="4"/>
  <c r="G112" i="4"/>
  <c r="D112" i="4"/>
  <c r="J111" i="4"/>
  <c r="H111" i="4"/>
  <c r="G111" i="4"/>
  <c r="D111" i="4"/>
  <c r="J110" i="4"/>
  <c r="H110" i="4"/>
  <c r="G110" i="4"/>
  <c r="D110" i="4"/>
  <c r="J109" i="4"/>
  <c r="H109" i="4"/>
  <c r="G109" i="4"/>
  <c r="I108" i="4"/>
  <c r="J108" i="4" s="1"/>
  <c r="H108" i="4"/>
  <c r="G108" i="4"/>
  <c r="D108" i="4"/>
  <c r="D107" i="4"/>
  <c r="D106" i="4"/>
  <c r="J105" i="4"/>
  <c r="I105" i="4"/>
  <c r="H105" i="4"/>
  <c r="G105" i="4"/>
  <c r="D105" i="4"/>
  <c r="I104" i="4"/>
  <c r="J104" i="4" s="1"/>
  <c r="H104" i="4"/>
  <c r="G104" i="4"/>
  <c r="D104" i="4"/>
  <c r="I103" i="4"/>
  <c r="J103" i="4" s="1"/>
  <c r="H103" i="4"/>
  <c r="G103" i="4"/>
  <c r="D103" i="4"/>
  <c r="J102" i="4"/>
  <c r="I102" i="4"/>
  <c r="H102" i="4"/>
  <c r="G102" i="4"/>
  <c r="D102" i="4"/>
  <c r="I101" i="4"/>
  <c r="J101" i="4" s="1"/>
  <c r="H101" i="4"/>
  <c r="G101" i="4"/>
  <c r="D101" i="4"/>
  <c r="D100" i="4"/>
  <c r="I99" i="4"/>
  <c r="J99" i="4" s="1"/>
  <c r="H99" i="4"/>
  <c r="G99" i="4"/>
  <c r="D99" i="4"/>
  <c r="J98" i="4"/>
  <c r="H98" i="4"/>
  <c r="G98" i="4"/>
  <c r="D98" i="4"/>
  <c r="J97" i="4"/>
  <c r="H97" i="4"/>
  <c r="G97" i="4"/>
  <c r="D97" i="4"/>
  <c r="J96" i="4"/>
  <c r="H96" i="4"/>
  <c r="G96" i="4"/>
  <c r="D96" i="4"/>
  <c r="D95" i="4"/>
  <c r="I94" i="4"/>
  <c r="J94" i="4" s="1"/>
  <c r="H94" i="4"/>
  <c r="G94" i="4"/>
  <c r="D94" i="4"/>
  <c r="I93" i="4"/>
  <c r="J93" i="4" s="1"/>
  <c r="H93" i="4"/>
  <c r="G93" i="4"/>
  <c r="D93" i="4"/>
  <c r="J92" i="4"/>
  <c r="I92" i="4"/>
  <c r="H92" i="4"/>
  <c r="G92" i="4"/>
  <c r="D92" i="4"/>
  <c r="I91" i="4"/>
  <c r="J91" i="4" s="1"/>
  <c r="H91" i="4"/>
  <c r="G91" i="4"/>
  <c r="D91" i="4"/>
  <c r="I90" i="4"/>
  <c r="J90" i="4" s="1"/>
  <c r="H90" i="4"/>
  <c r="G90" i="4"/>
  <c r="D90" i="4"/>
  <c r="J89" i="4"/>
  <c r="I89" i="4"/>
  <c r="H89" i="4"/>
  <c r="G89" i="4"/>
  <c r="D89" i="4"/>
  <c r="I88" i="4"/>
  <c r="J88" i="4" s="1"/>
  <c r="H88" i="4"/>
  <c r="G88" i="4"/>
  <c r="D88" i="4"/>
  <c r="I87" i="4"/>
  <c r="J87" i="4" s="1"/>
  <c r="H87" i="4"/>
  <c r="G87" i="4"/>
  <c r="D87" i="4"/>
  <c r="J86" i="4"/>
  <c r="I86" i="4"/>
  <c r="H86" i="4"/>
  <c r="G86" i="4"/>
  <c r="D86" i="4"/>
  <c r="I85" i="4"/>
  <c r="J85" i="4" s="1"/>
  <c r="H85" i="4"/>
  <c r="G85" i="4"/>
  <c r="D85" i="4"/>
  <c r="I84" i="4"/>
  <c r="J84" i="4" s="1"/>
  <c r="H84" i="4"/>
  <c r="G84" i="4"/>
  <c r="D84" i="4"/>
  <c r="J83" i="4"/>
  <c r="I83" i="4"/>
  <c r="H83" i="4"/>
  <c r="G83" i="4"/>
  <c r="D83" i="4"/>
  <c r="D82" i="4"/>
  <c r="J81" i="4"/>
  <c r="I81" i="4"/>
  <c r="H81" i="4"/>
  <c r="G81" i="4"/>
  <c r="D81" i="4"/>
  <c r="I80" i="4"/>
  <c r="J80" i="4" s="1"/>
  <c r="H80" i="4"/>
  <c r="G80" i="4"/>
  <c r="D80" i="4"/>
  <c r="I79" i="4"/>
  <c r="J79" i="4" s="1"/>
  <c r="H79" i="4"/>
  <c r="G79" i="4"/>
  <c r="D79" i="4"/>
  <c r="J78" i="4"/>
  <c r="I78" i="4"/>
  <c r="H78" i="4"/>
  <c r="G78" i="4"/>
  <c r="D78" i="4"/>
  <c r="I77" i="4"/>
  <c r="J77" i="4" s="1"/>
  <c r="H77" i="4"/>
  <c r="G77" i="4"/>
  <c r="D77" i="4"/>
  <c r="I76" i="4"/>
  <c r="J76" i="4" s="1"/>
  <c r="H76" i="4"/>
  <c r="G76" i="4"/>
  <c r="D76" i="4"/>
  <c r="J75" i="4"/>
  <c r="I75" i="4"/>
  <c r="H75" i="4"/>
  <c r="G75" i="4"/>
  <c r="D75" i="4"/>
  <c r="D74" i="4"/>
  <c r="J73" i="4"/>
  <c r="I73" i="4"/>
  <c r="H73" i="4"/>
  <c r="G73" i="4"/>
  <c r="D73" i="4"/>
  <c r="I72" i="4"/>
  <c r="J72" i="4" s="1"/>
  <c r="H72" i="4"/>
  <c r="G72" i="4"/>
  <c r="D72" i="4"/>
  <c r="I71" i="4"/>
  <c r="J71" i="4" s="1"/>
  <c r="H71" i="4"/>
  <c r="G71" i="4"/>
  <c r="D71" i="4"/>
  <c r="J70" i="4"/>
  <c r="I70" i="4"/>
  <c r="H70" i="4"/>
  <c r="G70" i="4"/>
  <c r="D70" i="4"/>
  <c r="I69" i="4"/>
  <c r="J69" i="4" s="1"/>
  <c r="H69" i="4"/>
  <c r="G69" i="4"/>
  <c r="D69" i="4"/>
  <c r="I68" i="4"/>
  <c r="J68" i="4" s="1"/>
  <c r="H68" i="4"/>
  <c r="G68" i="4"/>
  <c r="D68" i="4"/>
  <c r="J67" i="4"/>
  <c r="I67" i="4"/>
  <c r="H67" i="4"/>
  <c r="G67" i="4"/>
  <c r="D67" i="4"/>
  <c r="D66" i="4"/>
  <c r="J65" i="4"/>
  <c r="I65" i="4"/>
  <c r="H65" i="4"/>
  <c r="G65" i="4"/>
  <c r="D65" i="4"/>
  <c r="I64" i="4"/>
  <c r="J64" i="4" s="1"/>
  <c r="H64" i="4"/>
  <c r="G64" i="4"/>
  <c r="D64" i="4"/>
  <c r="I63" i="4"/>
  <c r="J63" i="4" s="1"/>
  <c r="H63" i="4"/>
  <c r="G63" i="4"/>
  <c r="D63" i="4"/>
  <c r="J62" i="4"/>
  <c r="I62" i="4"/>
  <c r="H62" i="4"/>
  <c r="G62" i="4"/>
  <c r="D62" i="4"/>
  <c r="D61" i="4"/>
  <c r="J60" i="4"/>
  <c r="I60" i="4"/>
  <c r="H60" i="4"/>
  <c r="G60" i="4"/>
  <c r="D60" i="4"/>
  <c r="J59" i="4"/>
  <c r="I59" i="4"/>
  <c r="H59" i="4"/>
  <c r="G59" i="4"/>
  <c r="D59" i="4"/>
  <c r="I58" i="4"/>
  <c r="J58" i="4" s="1"/>
  <c r="H58" i="4"/>
  <c r="G58" i="4"/>
  <c r="D58" i="4"/>
  <c r="J57" i="4"/>
  <c r="H57" i="4"/>
  <c r="G57" i="4"/>
  <c r="D57" i="4"/>
  <c r="J56" i="4"/>
  <c r="H56" i="4"/>
  <c r="G56" i="4"/>
  <c r="D56" i="4"/>
  <c r="J55" i="4"/>
  <c r="H55" i="4"/>
  <c r="G55" i="4"/>
  <c r="D55" i="4"/>
  <c r="J54" i="4"/>
  <c r="I54" i="4"/>
  <c r="H54" i="4"/>
  <c r="G54" i="4"/>
  <c r="D54" i="4"/>
  <c r="I53" i="4"/>
  <c r="J53" i="4" s="1"/>
  <c r="H53" i="4"/>
  <c r="G53" i="4"/>
  <c r="D53" i="4"/>
  <c r="J52" i="4"/>
  <c r="H52" i="4"/>
  <c r="G52" i="4"/>
  <c r="D52" i="4"/>
  <c r="D51" i="4"/>
  <c r="J50" i="4"/>
  <c r="I50" i="4"/>
  <c r="H50" i="4"/>
  <c r="G50" i="4"/>
  <c r="D50" i="4"/>
  <c r="I49" i="4"/>
  <c r="J49" i="4" s="1"/>
  <c r="H49" i="4"/>
  <c r="G49" i="4"/>
  <c r="D49" i="4"/>
  <c r="I48" i="4"/>
  <c r="J48" i="4" s="1"/>
  <c r="H48" i="4"/>
  <c r="G48" i="4"/>
  <c r="D48" i="4"/>
  <c r="J47" i="4"/>
  <c r="I47" i="4"/>
  <c r="H47" i="4"/>
  <c r="G47" i="4"/>
  <c r="D47" i="4"/>
  <c r="J46" i="4"/>
  <c r="I46" i="4"/>
  <c r="H46" i="4"/>
  <c r="G46" i="4"/>
  <c r="D46" i="4"/>
  <c r="D45" i="4"/>
  <c r="D44" i="4"/>
  <c r="J43" i="4"/>
  <c r="I43" i="4"/>
  <c r="H43" i="4"/>
  <c r="G43" i="4"/>
  <c r="D43" i="4"/>
  <c r="D42" i="4"/>
  <c r="G41" i="4"/>
  <c r="F41" i="4"/>
  <c r="I41" i="4" s="1"/>
  <c r="J41" i="4" s="1"/>
  <c r="H40" i="4"/>
  <c r="G40" i="4"/>
  <c r="D40" i="4"/>
  <c r="I40" i="4" s="1"/>
  <c r="J40" i="4" s="1"/>
  <c r="J39" i="4"/>
  <c r="I39" i="4"/>
  <c r="H39" i="4"/>
  <c r="G39" i="4"/>
  <c r="D39" i="4"/>
  <c r="D38" i="4"/>
  <c r="J37" i="4"/>
  <c r="I37" i="4"/>
  <c r="H37" i="4"/>
  <c r="G37" i="4"/>
  <c r="D37" i="4"/>
  <c r="H36" i="4"/>
  <c r="G36" i="4"/>
  <c r="D36" i="4"/>
  <c r="J35" i="4"/>
  <c r="D35" i="4"/>
  <c r="H34" i="4"/>
  <c r="I34" i="4" s="1"/>
  <c r="J34" i="4" s="1"/>
  <c r="G34" i="4"/>
  <c r="D34" i="4"/>
  <c r="H33" i="4"/>
  <c r="G33" i="4"/>
  <c r="D33" i="4"/>
  <c r="I33" i="4" s="1"/>
  <c r="J33" i="4" s="1"/>
  <c r="H32" i="4"/>
  <c r="G32" i="4"/>
  <c r="D32" i="4"/>
  <c r="I32" i="4" s="1"/>
  <c r="J32" i="4" s="1"/>
  <c r="H31" i="4"/>
  <c r="G31" i="4"/>
  <c r="D31" i="4"/>
  <c r="I31" i="4" s="1"/>
  <c r="J31" i="4" s="1"/>
  <c r="J30" i="4"/>
  <c r="I30" i="4"/>
  <c r="H30" i="4"/>
  <c r="G30" i="4"/>
  <c r="D30" i="4"/>
  <c r="D29" i="4"/>
  <c r="J28" i="4"/>
  <c r="I28" i="4"/>
  <c r="H28" i="4"/>
  <c r="G28" i="4"/>
  <c r="D28" i="4"/>
  <c r="I27" i="4"/>
  <c r="J27" i="4" s="1"/>
  <c r="H27" i="4"/>
  <c r="G27" i="4"/>
  <c r="D27" i="4"/>
  <c r="H26" i="4"/>
  <c r="I26" i="4" s="1"/>
  <c r="J26" i="4" s="1"/>
  <c r="G26" i="4"/>
  <c r="D26" i="4"/>
  <c r="D25" i="4"/>
  <c r="I24" i="4"/>
  <c r="J24" i="4" s="1"/>
  <c r="H24" i="4"/>
  <c r="G24" i="4"/>
  <c r="D24" i="4"/>
  <c r="H23" i="4"/>
  <c r="G23" i="4"/>
  <c r="D23" i="4"/>
  <c r="I23" i="4" s="1"/>
  <c r="J23" i="4" s="1"/>
  <c r="H22" i="4"/>
  <c r="G22" i="4"/>
  <c r="D22" i="4"/>
  <c r="I22" i="4" s="1"/>
  <c r="J22" i="4" s="1"/>
  <c r="H21" i="4"/>
  <c r="G21" i="4"/>
  <c r="D21" i="4"/>
  <c r="I21" i="4" s="1"/>
  <c r="J21" i="4" s="1"/>
  <c r="J20" i="4"/>
  <c r="I20" i="4"/>
  <c r="H20" i="4"/>
  <c r="G20" i="4"/>
  <c r="D20" i="4"/>
  <c r="J19" i="4"/>
  <c r="I19" i="4"/>
  <c r="H19" i="4"/>
  <c r="G19" i="4"/>
  <c r="D19" i="4"/>
  <c r="H18" i="4"/>
  <c r="I18" i="4" s="1"/>
  <c r="J18" i="4" s="1"/>
  <c r="G18" i="4"/>
  <c r="D18" i="4"/>
  <c r="H17" i="4"/>
  <c r="G17" i="4"/>
  <c r="D17" i="4"/>
  <c r="H16" i="4"/>
  <c r="G16" i="4"/>
  <c r="D16" i="4"/>
  <c r="I16" i="4" s="1"/>
  <c r="J16" i="4" s="1"/>
  <c r="H15" i="4"/>
  <c r="G15" i="4"/>
  <c r="D15" i="4"/>
  <c r="I15" i="4" s="1"/>
  <c r="J15" i="4" s="1"/>
  <c r="J14" i="4"/>
  <c r="H14" i="4"/>
  <c r="G14" i="4"/>
  <c r="F14" i="4"/>
  <c r="D14" i="4"/>
  <c r="I14" i="4" s="1"/>
  <c r="H13" i="4"/>
  <c r="G13" i="4"/>
  <c r="F13" i="4"/>
  <c r="D13" i="4"/>
  <c r="I13" i="4" s="1"/>
  <c r="J13" i="4" s="1"/>
  <c r="H12" i="4"/>
  <c r="G12" i="4"/>
  <c r="F12" i="4"/>
  <c r="D12" i="4"/>
  <c r="I12" i="4" s="1"/>
  <c r="J12" i="4" s="1"/>
  <c r="J11" i="4"/>
  <c r="I11" i="4"/>
  <c r="H11" i="4"/>
  <c r="G11" i="4"/>
  <c r="D11" i="4"/>
  <c r="I10" i="4"/>
  <c r="J10" i="4" s="1"/>
  <c r="H10" i="4"/>
  <c r="G10" i="4"/>
  <c r="D10" i="4"/>
  <c r="H9" i="4"/>
  <c r="I9" i="4" s="1"/>
  <c r="J9" i="4" s="1"/>
  <c r="G9" i="4"/>
  <c r="D9" i="4"/>
  <c r="H8" i="4"/>
  <c r="G8" i="4"/>
  <c r="D8" i="4"/>
  <c r="H7" i="4"/>
  <c r="G7" i="4"/>
  <c r="D7" i="4"/>
  <c r="I7" i="4" s="1"/>
  <c r="I3" i="4"/>
  <c r="I1" i="4"/>
  <c r="V11" i="3"/>
  <c r="W11" i="3" s="1"/>
  <c r="X11" i="3" s="1"/>
  <c r="AF11" i="3" s="1"/>
  <c r="Q11" i="3"/>
  <c r="S11" i="3" s="1"/>
  <c r="P11" i="3"/>
  <c r="N11" i="3"/>
  <c r="K11" i="3"/>
  <c r="J11" i="3"/>
  <c r="I11" i="3"/>
  <c r="H11" i="3"/>
  <c r="C11" i="3"/>
  <c r="D11" i="3" s="1"/>
  <c r="B11" i="3"/>
  <c r="V8" i="3"/>
  <c r="V7" i="3"/>
  <c r="V6" i="3"/>
  <c r="AW17" i="2"/>
  <c r="AW16" i="2"/>
  <c r="AW15" i="2"/>
  <c r="AZ14" i="2"/>
  <c r="AW14" i="2"/>
  <c r="AW13" i="2"/>
  <c r="AL10" i="2"/>
  <c r="AJ10" i="2"/>
  <c r="Z10" i="2"/>
  <c r="X10" i="2"/>
  <c r="C20" i="5" s="1"/>
  <c r="F20" i="5" s="1"/>
  <c r="G20" i="5" s="1"/>
  <c r="T10" i="2"/>
  <c r="T13" i="2" s="1"/>
  <c r="N10" i="2"/>
  <c r="AF10" i="2" s="1"/>
  <c r="AF13" i="2" s="1"/>
  <c r="L10" i="2"/>
  <c r="K10" i="2"/>
  <c r="V10" i="2" s="1"/>
  <c r="C19" i="5" s="1"/>
  <c r="J10" i="2"/>
  <c r="I10" i="2"/>
  <c r="P10" i="2" s="1"/>
  <c r="E10" i="2"/>
  <c r="D10" i="2"/>
  <c r="C10" i="2"/>
  <c r="F10" i="2" s="1"/>
  <c r="B10" i="2"/>
  <c r="AQ2" i="2"/>
  <c r="D45" i="1"/>
  <c r="H40" i="1"/>
  <c r="G40" i="1"/>
  <c r="D39" i="1"/>
  <c r="H38" i="1"/>
  <c r="H36" i="1"/>
  <c r="H35" i="1"/>
  <c r="H33" i="1"/>
  <c r="D33" i="1"/>
  <c r="C33" i="1"/>
  <c r="H32" i="1"/>
  <c r="D31" i="1"/>
  <c r="H30" i="1"/>
  <c r="D28" i="1"/>
  <c r="H27" i="1"/>
  <c r="H26" i="1"/>
  <c r="D25" i="1"/>
  <c r="H24" i="1"/>
  <c r="H23" i="1"/>
  <c r="H22" i="1"/>
  <c r="D22" i="1"/>
  <c r="H21" i="1"/>
  <c r="H20" i="1"/>
  <c r="D20" i="1"/>
  <c r="H19" i="1"/>
  <c r="H18" i="1"/>
  <c r="H17" i="1"/>
  <c r="H16" i="1"/>
  <c r="C15" i="1"/>
  <c r="D15" i="1" s="1"/>
  <c r="H14" i="1"/>
  <c r="C14" i="1"/>
  <c r="D14" i="1" s="1"/>
  <c r="H12" i="1"/>
  <c r="O11" i="1"/>
  <c r="C6" i="1"/>
  <c r="C5" i="1"/>
  <c r="P11" i="1" s="1"/>
  <c r="C4" i="1"/>
  <c r="H29" i="1" s="1"/>
  <c r="U11" i="3" l="1"/>
  <c r="AE11" i="3" s="1"/>
  <c r="T11" i="3"/>
  <c r="P13" i="2"/>
  <c r="AT10" i="2"/>
  <c r="C16" i="5"/>
  <c r="F16" i="5" s="1"/>
  <c r="C21" i="5"/>
  <c r="F21" i="5" s="1"/>
  <c r="G21" i="5" s="1"/>
  <c r="Z13" i="2"/>
  <c r="V13" i="2"/>
  <c r="AA11" i="3"/>
  <c r="AC11" i="3" s="1"/>
  <c r="Z11" i="3"/>
  <c r="AB11" i="3" s="1"/>
  <c r="AD11" i="3" s="1"/>
  <c r="I8" i="4"/>
  <c r="J8" i="4" s="1"/>
  <c r="J11" i="7"/>
  <c r="C21" i="1" s="1"/>
  <c r="AO10" i="2"/>
  <c r="AN10" i="2"/>
  <c r="X13" i="2"/>
  <c r="I17" i="4"/>
  <c r="J17" i="4" s="1"/>
  <c r="AH10" i="2"/>
  <c r="AM10" i="2" s="1"/>
  <c r="AB10" i="2"/>
  <c r="Y11" i="3"/>
  <c r="C13" i="5" s="1"/>
  <c r="F13" i="5" s="1"/>
  <c r="J7" i="4"/>
  <c r="I192" i="4"/>
  <c r="I10" i="10"/>
  <c r="C23" i="1" s="1"/>
  <c r="D23" i="1" s="1"/>
  <c r="G10" i="10"/>
  <c r="G11" i="10" s="1"/>
  <c r="I14" i="10" s="1"/>
  <c r="H11" i="1"/>
  <c r="D13" i="1"/>
  <c r="H25" i="1"/>
  <c r="H28" i="1"/>
  <c r="H31" i="1"/>
  <c r="H34" i="1"/>
  <c r="D37" i="1"/>
  <c r="H39" i="1"/>
  <c r="H45" i="1"/>
  <c r="C18" i="5"/>
  <c r="F18" i="5" s="1"/>
  <c r="G18" i="5" s="1"/>
  <c r="I8" i="7"/>
  <c r="I10" i="7"/>
  <c r="D27" i="9"/>
  <c r="H13" i="1"/>
  <c r="H15" i="1"/>
  <c r="D26" i="1"/>
  <c r="D32" i="1"/>
  <c r="D35" i="1"/>
  <c r="H37" i="1"/>
  <c r="R10" i="2"/>
  <c r="AQ10" i="2" s="1"/>
  <c r="AD10" i="2"/>
  <c r="AD13" i="2" s="1"/>
  <c r="J10" i="9"/>
  <c r="D24" i="1"/>
  <c r="D27" i="1"/>
  <c r="AS10" i="2" l="1"/>
  <c r="AS13" i="2" s="1"/>
  <c r="AR10" i="2"/>
  <c r="J195" i="4"/>
  <c r="I5" i="4"/>
  <c r="C29" i="1"/>
  <c r="D29" i="1" s="1"/>
  <c r="D21" i="1"/>
  <c r="G16" i="5"/>
  <c r="I197" i="4"/>
  <c r="J197" i="4" s="1"/>
  <c r="I11" i="10"/>
  <c r="I13" i="10" s="1"/>
  <c r="I15" i="10" s="1"/>
  <c r="I16" i="10" s="1"/>
  <c r="AG11" i="3"/>
  <c r="AH11" i="3" s="1"/>
  <c r="AI11" i="3" s="1"/>
  <c r="C23" i="5"/>
  <c r="F23" i="5" s="1"/>
  <c r="G23" i="5" s="1"/>
  <c r="AM13" i="2"/>
  <c r="C17" i="5"/>
  <c r="F17" i="5" s="1"/>
  <c r="G17" i="5" s="1"/>
  <c r="AP10" i="2"/>
  <c r="AU10" i="2" s="1"/>
  <c r="R13" i="2"/>
  <c r="F27" i="9"/>
  <c r="D29" i="9"/>
  <c r="D30" i="9" s="1"/>
  <c r="F14" i="5"/>
  <c r="G14" i="5" s="1"/>
  <c r="F12" i="5"/>
  <c r="G13" i="5"/>
  <c r="C25" i="5"/>
  <c r="F25" i="5" s="1"/>
  <c r="G25" i="5" s="1"/>
  <c r="AO13" i="2"/>
  <c r="AB13" i="2"/>
  <c r="C22" i="5"/>
  <c r="F22" i="5" s="1"/>
  <c r="G22" i="5" s="1"/>
  <c r="C24" i="5"/>
  <c r="F24" i="5" s="1"/>
  <c r="G24" i="5" s="1"/>
  <c r="AN13" i="2"/>
  <c r="G27" i="9" l="1"/>
  <c r="I27" i="9" s="1"/>
  <c r="H27" i="9"/>
  <c r="AP13" i="2"/>
  <c r="AQ13" i="2" s="1"/>
  <c r="G12" i="5"/>
  <c r="J5" i="4"/>
  <c r="I193" i="4"/>
  <c r="I2" i="4" s="1"/>
  <c r="C26" i="5"/>
  <c r="F26" i="5" s="1"/>
  <c r="G26" i="5" s="1"/>
  <c r="AR13" i="2"/>
  <c r="AV10" i="2"/>
  <c r="AW10" i="2" s="1"/>
  <c r="AW23" i="2" l="1"/>
  <c r="AW22" i="2"/>
  <c r="AW21" i="2"/>
  <c r="AW20" i="2"/>
  <c r="AW19" i="2"/>
  <c r="AZ10" i="2" s="1"/>
  <c r="AX10" i="2"/>
  <c r="O2" i="4"/>
  <c r="C11" i="1"/>
  <c r="F15" i="5"/>
  <c r="J27" i="9"/>
  <c r="F31" i="5" l="1"/>
  <c r="G31" i="5" s="1"/>
  <c r="F28" i="5"/>
  <c r="G28" i="5" s="1"/>
  <c r="F30" i="5"/>
  <c r="G30" i="5" s="1"/>
  <c r="F27" i="5"/>
  <c r="G27" i="5" s="1"/>
  <c r="G15" i="5"/>
  <c r="F29" i="5"/>
  <c r="G29" i="5" s="1"/>
  <c r="D11" i="1"/>
  <c r="F11" i="5" l="1"/>
  <c r="G11" i="5" l="1"/>
  <c r="F32" i="5"/>
  <c r="G32" i="5" s="1"/>
  <c r="F33" i="5" l="1"/>
  <c r="F34" i="5" l="1"/>
  <c r="G34" i="5" s="1"/>
  <c r="G33" i="5"/>
  <c r="F35" i="5" l="1"/>
  <c r="F36" i="5" s="1"/>
  <c r="G35" i="5"/>
  <c r="C12" i="1" s="1"/>
  <c r="D12" i="1" l="1"/>
  <c r="C18" i="1"/>
  <c r="C36" i="1" l="1"/>
  <c r="D18" i="1"/>
  <c r="C38" i="1" l="1"/>
  <c r="D38" i="1" s="1"/>
  <c r="D36" i="1"/>
  <c r="C40" i="1" l="1"/>
  <c r="D40" i="1" s="1"/>
</calcChain>
</file>

<file path=xl/comments1.xml><?xml version="1.0" encoding="utf-8"?>
<comments xmlns="http://schemas.openxmlformats.org/spreadsheetml/2006/main">
  <authors>
    <author>Larisa Yoala</author>
  </authors>
  <commentList>
    <comment ref="O11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Юнисервис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Юнисервис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по их тарифу
</t>
        </r>
      </text>
    </comment>
    <comment ref="C23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ежемесячно
</t>
        </r>
      </text>
    </comment>
  </commentList>
</comments>
</file>

<file path=xl/comments2.xml><?xml version="1.0" encoding="utf-8"?>
<comments xmlns="http://schemas.openxmlformats.org/spreadsheetml/2006/main">
  <authors>
    <author>Larisa Yoala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площади с учетом нежилой пристройки
</t>
        </r>
      </text>
    </comment>
    <comment ref="K10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с нежилыми
</t>
        </r>
      </text>
    </comment>
  </commentList>
</comments>
</file>

<file path=xl/comments3.xml><?xml version="1.0" encoding="utf-8"?>
<comments xmlns="http://schemas.openxmlformats.org/spreadsheetml/2006/main">
  <authors>
    <author>Алина Исакова</author>
  </authors>
  <commentList>
    <comment ref="T5" authorId="0" shapeId="0">
      <text>
        <r>
          <rPr>
            <b/>
            <sz val="8"/>
            <color indexed="81"/>
            <rFont val="Tahoma"/>
            <family val="2"/>
            <charset val="204"/>
          </rPr>
          <t>Из файла Железняк, Профсоюзная свод ФОТ</t>
        </r>
      </text>
    </comment>
  </commentList>
</comments>
</file>

<file path=xl/comments4.xml><?xml version="1.0" encoding="utf-8"?>
<comments xmlns="http://schemas.openxmlformats.org/spreadsheetml/2006/main">
  <authors>
    <author>Larisa Yoala</author>
  </authors>
  <commentList>
    <comment ref="I5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10% от санитарки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см. вкладку мусор</t>
        </r>
      </text>
    </comment>
    <comment ref="G113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или 82.8 на 100 квм</t>
        </r>
      </text>
    </comment>
  </commentList>
</comments>
</file>

<file path=xl/comments5.xml><?xml version="1.0" encoding="utf-8"?>
<comments xmlns="http://schemas.openxmlformats.org/spreadsheetml/2006/main">
  <authors>
    <author>Larisa Yoala</author>
  </authors>
  <commentList>
    <comment ref="D11" authorId="0" shapeId="0">
      <text>
        <r>
          <rPr>
            <b/>
            <sz val="8"/>
            <color indexed="81"/>
            <rFont val="Tahoma"/>
            <family val="2"/>
            <charset val="204"/>
          </rPr>
          <t>Larisa Yoala:</t>
        </r>
        <r>
          <rPr>
            <sz val="8"/>
            <color indexed="81"/>
            <rFont val="Tahoma"/>
            <family val="2"/>
            <charset val="204"/>
          </rPr>
          <t xml:space="preserve">
Д-2 /3 подъезда+ 20.0% +6000 на ИТП
</t>
        </r>
      </text>
    </comment>
  </commentList>
</comments>
</file>

<file path=xl/sharedStrings.xml><?xml version="1.0" encoding="utf-8"?>
<sst xmlns="http://schemas.openxmlformats.org/spreadsheetml/2006/main" count="894" uniqueCount="714">
  <si>
    <t>Адрес жилого дома</t>
  </si>
  <si>
    <t>пр-д Серебрякова, 11/1</t>
  </si>
  <si>
    <t>Общая площадь(без летних)</t>
  </si>
  <si>
    <t>(без паркинга)</t>
  </si>
  <si>
    <t xml:space="preserve">Общая площадь жилых помещений дома (без летних)                              </t>
  </si>
  <si>
    <t xml:space="preserve">Общая площадь нежилых помещений дома (аппартаменты+магазины)                  </t>
  </si>
  <si>
    <t>Наши расчеты</t>
  </si>
  <si>
    <t>Юнисервис</t>
  </si>
  <si>
    <t>Статья расходов</t>
  </si>
  <si>
    <t>Расходы за год</t>
  </si>
  <si>
    <t>Расходы на кв.м</t>
  </si>
  <si>
    <t>Санитарное обслуживание</t>
  </si>
  <si>
    <t>Подготовка к зиме, опрессовка</t>
  </si>
  <si>
    <t>Эксплуатация и текущий ремонт</t>
  </si>
  <si>
    <t>слаботочка</t>
  </si>
  <si>
    <t>Снятие показаний ПУ</t>
  </si>
  <si>
    <t>95 штук</t>
  </si>
  <si>
    <t xml:space="preserve">Электроизмерительные работы </t>
  </si>
  <si>
    <t xml:space="preserve">Система пожаротушения и ДУ </t>
  </si>
  <si>
    <t>ИТОГО  своими силами</t>
  </si>
  <si>
    <t xml:space="preserve">Обслуживание вентиляции </t>
  </si>
  <si>
    <t>Обслуживание лифтов</t>
  </si>
  <si>
    <t>Вывоз ТКО</t>
  </si>
  <si>
    <t>Дератизация, дезинсекция</t>
  </si>
  <si>
    <t>Домофон, видеонаблюдение</t>
  </si>
  <si>
    <t>Обслуживание и ремонт АУУТЭ</t>
  </si>
  <si>
    <t>3 шт</t>
  </si>
  <si>
    <t>Обслуживание и ремонт АСКУЭ</t>
  </si>
  <si>
    <t>1 шт</t>
  </si>
  <si>
    <t>Обслуживание и ремонт тепловых пунктов</t>
  </si>
  <si>
    <t>Охрана</t>
  </si>
  <si>
    <t>?</t>
  </si>
  <si>
    <t>ИТОГО  подряд</t>
  </si>
  <si>
    <t>затраты на электроэнергию ОИ (без гаража)</t>
  </si>
  <si>
    <t>Вода ОДН (без паркинга и территории)</t>
  </si>
  <si>
    <t>ИТОГО  коммунальные ресурсы</t>
  </si>
  <si>
    <t>Содержание территории</t>
  </si>
  <si>
    <t>ВСЕГО</t>
  </si>
  <si>
    <t>Расходы на управление 10%</t>
  </si>
  <si>
    <t>хз</t>
  </si>
  <si>
    <t>Общая площадь паркинга</t>
  </si>
  <si>
    <t xml:space="preserve">Кол-во м/мест       </t>
  </si>
  <si>
    <t>Содержание паркинга</t>
  </si>
  <si>
    <t>руб</t>
  </si>
  <si>
    <t>2021 год</t>
  </si>
  <si>
    <t>дней</t>
  </si>
  <si>
    <r>
      <t xml:space="preserve">Нормы обслуживания </t>
    </r>
    <r>
      <rPr>
        <b/>
        <sz val="12"/>
        <color indexed="10"/>
        <rFont val="Arial Cyr"/>
        <charset val="204"/>
      </rPr>
      <t>в год</t>
    </r>
    <r>
      <rPr>
        <b/>
        <sz val="10"/>
        <rFont val="Arial Cyr"/>
        <charset val="204"/>
      </rPr>
      <t xml:space="preserve"> для рабочих, занятых технической эксплуатацией жилищного фонда</t>
    </r>
  </si>
  <si>
    <t>рабочих</t>
  </si>
  <si>
    <t>выходных/ праздничных</t>
  </si>
  <si>
    <t>дней(5-ти дневн нед)</t>
  </si>
  <si>
    <t>Кровельщик</t>
  </si>
  <si>
    <t>Плотник</t>
  </si>
  <si>
    <t xml:space="preserve">Столяр </t>
  </si>
  <si>
    <t>Штукатур</t>
  </si>
  <si>
    <t xml:space="preserve">Маляр </t>
  </si>
  <si>
    <t>Каменщик</t>
  </si>
  <si>
    <t>Слесарь-сантехник</t>
  </si>
  <si>
    <r>
      <t>Электромонтер</t>
    </r>
    <r>
      <rPr>
        <sz val="10"/>
        <rFont val="Times New Roman"/>
        <family val="1"/>
        <charset val="204"/>
      </rPr>
      <t xml:space="preserve"> </t>
    </r>
  </si>
  <si>
    <t>сварщик</t>
  </si>
  <si>
    <t>№ п/п</t>
  </si>
  <si>
    <t>год постройки</t>
  </si>
  <si>
    <t>Число этажей</t>
  </si>
  <si>
    <t>Количество квартир</t>
  </si>
  <si>
    <t>Срок эксплуатации</t>
  </si>
  <si>
    <t>группа здания (1-кирп, 2-панели, блоки)</t>
  </si>
  <si>
    <t>силовые установки</t>
  </si>
  <si>
    <t>Площадь крыши</t>
  </si>
  <si>
    <t>Материал кровли</t>
  </si>
  <si>
    <t xml:space="preserve">Площадь для расчета численности рабочих </t>
  </si>
  <si>
    <t>Площадь техподполья</t>
  </si>
  <si>
    <t>Площадь чердака</t>
  </si>
  <si>
    <t>количество мусоропроводов</t>
  </si>
  <si>
    <t>электрощитовые</t>
  </si>
  <si>
    <t>Численность (норма обслуживания 13100 кв.м кровли)</t>
  </si>
  <si>
    <t>Нормы  в зависимости от срока эксплуатации, кв м общ площади</t>
  </si>
  <si>
    <t>кол-во</t>
  </si>
  <si>
    <t>Нормы  на обслуживание водопровода,  квартир</t>
  </si>
  <si>
    <t>кол-во для обслуживания водопровода</t>
  </si>
  <si>
    <t>Нормы  в зависимости от срока эксплуатации, кв м общ площади (ЦО)</t>
  </si>
  <si>
    <t>кол-во для обслуживания системы ЦО</t>
  </si>
  <si>
    <t>Нормы  на обслуживание мусоропровода</t>
  </si>
  <si>
    <t>кол-во для обслуживания мусоропровода</t>
  </si>
  <si>
    <t>Нормы  на обслуживание ,  квартир</t>
  </si>
  <si>
    <t>кол-во для обслуживания электрооборудования</t>
  </si>
  <si>
    <t>Нормы  на обслуживание  электроустановок</t>
  </si>
  <si>
    <t>кол-во для обслуживания электроустановок</t>
  </si>
  <si>
    <t>Электрогазосварщик (нормма обслуживания 25000 кв.м чердаков, подвалов)</t>
  </si>
  <si>
    <t>Подсобный рабочий (нормма обслуживания 38000 кв.м чердаков, подвалов)</t>
  </si>
  <si>
    <t>Всего рабочих, занятых технической эксплуатацией (без кровельщиков)</t>
  </si>
  <si>
    <t>Всего рабочих, занятых технической эксплуатацией + кровельщики</t>
  </si>
  <si>
    <t>Численность подмены</t>
  </si>
  <si>
    <t>Численность с подменой</t>
  </si>
  <si>
    <t>ФОТ кровельщики</t>
  </si>
  <si>
    <t>Остальные рабочие</t>
  </si>
  <si>
    <t>ФОТ рабочих подмены</t>
  </si>
  <si>
    <t>ВСЕГО ФОТ за год без налогов</t>
  </si>
  <si>
    <t>В месяц (средняя)</t>
  </si>
  <si>
    <t>ФОТ рабочих с налогами и материалами</t>
  </si>
  <si>
    <t>год</t>
  </si>
  <si>
    <t>налоги 30.2%</t>
  </si>
  <si>
    <t xml:space="preserve">Прочие расходы на содержание РТР-5%                                             </t>
  </si>
  <si>
    <t xml:space="preserve">Расходы на приобретение материалов для РТР   -10%                                   </t>
  </si>
  <si>
    <t>Расходы на механизмы -5%</t>
  </si>
  <si>
    <t>Аммортизационные расходы -0,2%</t>
  </si>
  <si>
    <t>налоги</t>
  </si>
  <si>
    <t>ФОТ</t>
  </si>
  <si>
    <t>Норма обслуживания мусоропроводов (кол-во проживающих чел.) с загрузочным клапаном на лестничной клетке при вывозе мусора по системе "опорожнения" с мусорокамерой, расположенной на 1-ом этаже</t>
  </si>
  <si>
    <t>чел</t>
  </si>
  <si>
    <t>2013 год</t>
  </si>
  <si>
    <t>Норма обслуживания мусоропроводов (кол-во проживающих чел.) оснащенных устройствами (ЗУМ)</t>
  </si>
  <si>
    <t>выходных</t>
  </si>
  <si>
    <t>дней(6-ти дн нед.)</t>
  </si>
  <si>
    <t>янв-июнь</t>
  </si>
  <si>
    <t>июль-дек</t>
  </si>
  <si>
    <t>праздничн</t>
  </si>
  <si>
    <r>
      <t xml:space="preserve">з/плата рабочих по уборке мусоропроводов и л/кл  </t>
    </r>
    <r>
      <rPr>
        <b/>
        <sz val="10"/>
        <color rgb="FFFF0000"/>
        <rFont val="Arial Cyr"/>
        <charset val="204"/>
      </rPr>
      <t>в</t>
    </r>
  </si>
  <si>
    <t>Расп. № 1417-РП от 7.07.2010</t>
  </si>
  <si>
    <t>мин.р-р з/пл с 1.01.13 -11700 руб, с 01.07.13 - 12200 руб</t>
  </si>
  <si>
    <t xml:space="preserve">з/плата АУП (сан.обслуживание) </t>
  </si>
  <si>
    <t>з/плата АУП (руководители, специалисты) в году</t>
  </si>
  <si>
    <r>
      <rPr>
        <sz val="10"/>
        <color theme="6" tint="-0.249977111117893"/>
        <rFont val="Arial Cyr"/>
        <charset val="204"/>
      </rPr>
      <t>численность АУП</t>
    </r>
    <r>
      <rPr>
        <sz val="10"/>
        <rFont val="Arial Cyr"/>
        <charset val="204"/>
      </rPr>
      <t xml:space="preserve"> </t>
    </r>
    <r>
      <rPr>
        <sz val="10"/>
        <color theme="0" tint="-0.14999847407452621"/>
        <rFont val="Arial Cyr"/>
        <charset val="204"/>
      </rPr>
      <t>из расчета 0,0485 единиц на 1 тыс. кв.м. общей площади (568-РМ)</t>
    </r>
  </si>
  <si>
    <t>-------</t>
  </si>
  <si>
    <t>на 2013 год</t>
  </si>
  <si>
    <t>ед.</t>
  </si>
  <si>
    <t>на управление</t>
  </si>
  <si>
    <t>п. 2.1.</t>
  </si>
  <si>
    <t>расп. ДЖКХиБ 05-14-535/2 от 26.12.12</t>
  </si>
  <si>
    <t>к отчету Роспотреб</t>
  </si>
  <si>
    <t>на эксплуатацию</t>
  </si>
  <si>
    <t>п. 3.1.</t>
  </si>
  <si>
    <t>в эксплуатации, лет</t>
  </si>
  <si>
    <t>износ здания, %</t>
  </si>
  <si>
    <t>К-т при износе здания свыше 20%</t>
  </si>
  <si>
    <t>зарегистрировано, чел. на 01.01.2018</t>
  </si>
  <si>
    <t>площадь лестниц</t>
  </si>
  <si>
    <t>площадь коридоров + лифтовые холлы</t>
  </si>
  <si>
    <t>тамбуры</t>
  </si>
  <si>
    <t>лифты</t>
  </si>
  <si>
    <t>лифтовые холлы</t>
  </si>
  <si>
    <t>мусорокамеры</t>
  </si>
  <si>
    <t>Всего уборочная площадь</t>
  </si>
  <si>
    <t>Норма обслуживания л/кл, кв. м  (нормативы численности, стр.6)</t>
  </si>
  <si>
    <t>кол-во рабочих по уборке л/кл</t>
  </si>
  <si>
    <t>кол-во рабочих на подмену по уборке л/кл</t>
  </si>
  <si>
    <t>Общая численность рабочих для уборки л/кл</t>
  </si>
  <si>
    <t>Кол-во рабочих для обслуживания мусоропроводов</t>
  </si>
  <si>
    <t>кол-во рабочих на подмену по уборке мусоропроводов</t>
  </si>
  <si>
    <t>Общая численность рабочих для уборки мусоропроводов</t>
  </si>
  <si>
    <t>Численность АУП</t>
  </si>
  <si>
    <t>в т.ч административный персонал</t>
  </si>
  <si>
    <t>в т.ч. специалистов по эксплуатации</t>
  </si>
  <si>
    <t>ФОТ администр.</t>
  </si>
  <si>
    <t>ФОТ экспл.</t>
  </si>
  <si>
    <t>ФОТ АУП</t>
  </si>
  <si>
    <t xml:space="preserve">ФОТ уборщиков л/кл  </t>
  </si>
  <si>
    <t xml:space="preserve">ФОТ уборщиков мусоропроводов </t>
  </si>
  <si>
    <t>начисления на з/п 30.2%</t>
  </si>
  <si>
    <t>В месяц с начислениями</t>
  </si>
  <si>
    <t>В год с НДС</t>
  </si>
  <si>
    <t>ФОТ уборщиков л/кл в год с налогами</t>
  </si>
  <si>
    <t>МОП</t>
  </si>
  <si>
    <t>АУП</t>
  </si>
  <si>
    <t>МОП+АУП</t>
  </si>
  <si>
    <t>Рабоч</t>
  </si>
  <si>
    <t xml:space="preserve">Всего ФОТ без налогов </t>
  </si>
  <si>
    <t>ФОТ АУП с начисл.</t>
  </si>
  <si>
    <t>ФОТ АУП за квартал</t>
  </si>
  <si>
    <t>админ в кв-л</t>
  </si>
  <si>
    <t>экспл в кв-л</t>
  </si>
  <si>
    <t>ФОТ л/кл + ФОТ уборщ. Мусоропров.</t>
  </si>
  <si>
    <t>ФОТ  с начисл.</t>
  </si>
  <si>
    <t>ФОТ МОП в кв-л</t>
  </si>
  <si>
    <t>Расходы на зарплату</t>
  </si>
  <si>
    <t>ПНР</t>
  </si>
  <si>
    <t>Разница</t>
  </si>
  <si>
    <t>пр-д Серебрякова, 11-1</t>
  </si>
  <si>
    <t>ФАКТ</t>
  </si>
  <si>
    <t>санитарка без паркинга</t>
  </si>
  <si>
    <t>Площадь дома(без летних)</t>
  </si>
  <si>
    <t xml:space="preserve">О </t>
  </si>
  <si>
    <t>Наименование работ  (услуг)</t>
  </si>
  <si>
    <t>Планируемая   периодичность работ (услуг)</t>
  </si>
  <si>
    <t>Периодичность (в год)         *</t>
  </si>
  <si>
    <t>Ед. измер. Работ (услуг)</t>
  </si>
  <si>
    <t>Объемы</t>
  </si>
  <si>
    <t>расценка из Расп. 05-01-06-112/7</t>
  </si>
  <si>
    <t>Плановая стоимость за единицу работ (услуг), руб.</t>
  </si>
  <si>
    <t>ПЛАН          руб.</t>
  </si>
  <si>
    <t>ПЛАН         тыс. руб.</t>
  </si>
  <si>
    <t>Работы (услуги) по управлению МКД</t>
  </si>
  <si>
    <t>*</t>
  </si>
  <si>
    <t>Работы по содержанию помещений общего пользования, входящих в состав общего имущества МКД</t>
  </si>
  <si>
    <t>Влажное подметание лестничных площадок и маршей нижних 2 этажей</t>
  </si>
  <si>
    <t>ежедневно</t>
  </si>
  <si>
    <t>100 кв.м</t>
  </si>
  <si>
    <t>Влажное подметание лестничных площадок и маршей выше 2 этажей</t>
  </si>
  <si>
    <t>1 раз в неделю</t>
  </si>
  <si>
    <t>Влажное подметание места перед загрузочными клапанами мусоропроводов</t>
  </si>
  <si>
    <t>Уборка загрузочных клапанов мусоропровода</t>
  </si>
  <si>
    <t>10 клапанов</t>
  </si>
  <si>
    <t>Мытьё пола кабины лифта</t>
  </si>
  <si>
    <t>2.6.1</t>
  </si>
  <si>
    <t>Мытьё лестничных площадок и маршей нижних 2-х этажей</t>
  </si>
  <si>
    <t>1 раз в месяц</t>
  </si>
  <si>
    <t>2.6.2</t>
  </si>
  <si>
    <t>Мытьё лестничных площадок и маршей выше 2-го этажа</t>
  </si>
  <si>
    <t>2.7</t>
  </si>
  <si>
    <t>Мытьё окон</t>
  </si>
  <si>
    <t>1 раз в год</t>
  </si>
  <si>
    <t>2.8.1</t>
  </si>
  <si>
    <t>Влажная протирка стен</t>
  </si>
  <si>
    <t>2.8.2</t>
  </si>
  <si>
    <t>Влажная протирка плафонов на лестничных клетках</t>
  </si>
  <si>
    <t>100 штук</t>
  </si>
  <si>
    <t>2.8.3</t>
  </si>
  <si>
    <t>Влажная протирка дверей</t>
  </si>
  <si>
    <t>2.8.4</t>
  </si>
  <si>
    <t>Влажная протирка подоконников</t>
  </si>
  <si>
    <t>2 раза в год</t>
  </si>
  <si>
    <t>2.8.5</t>
  </si>
  <si>
    <t>Влажная протирка оконных решёток</t>
  </si>
  <si>
    <t>2.8.6</t>
  </si>
  <si>
    <t>Влажная протирка чердачных лестниц</t>
  </si>
  <si>
    <t>2.8.7</t>
  </si>
  <si>
    <t>Влажная протирка отопительных приборов</t>
  </si>
  <si>
    <t>2.8.8</t>
  </si>
  <si>
    <t>Влажная протирка шкафов для электросчетчиков, слаботочных устройств</t>
  </si>
  <si>
    <t>2.8.9</t>
  </si>
  <si>
    <t>Влажная протирка почтовых ящиков</t>
  </si>
  <si>
    <t>2.8.10</t>
  </si>
  <si>
    <t>Влажная протирка стен, дверей, кабины лифта</t>
  </si>
  <si>
    <t>2 раза в мес</t>
  </si>
  <si>
    <t>2.9</t>
  </si>
  <si>
    <t>Очистка кровли</t>
  </si>
  <si>
    <t>2.9.1</t>
  </si>
  <si>
    <t>Очистка кровли (в т.ч.козырьков от мусора и листьев)</t>
  </si>
  <si>
    <t>2.9.2</t>
  </si>
  <si>
    <t>Очистка кровли от снега</t>
  </si>
  <si>
    <t>в порядке установленном ЖНМ-2005/04</t>
  </si>
  <si>
    <t>2.9.3</t>
  </si>
  <si>
    <t>Очистка кровли от снега и наледеобразований</t>
  </si>
  <si>
    <t>2.10</t>
  </si>
  <si>
    <t>Смена частей водосточных труб и прочистка внутреннего водостока</t>
  </si>
  <si>
    <t>2.10.1</t>
  </si>
  <si>
    <t>Смена частей водосточных труб</t>
  </si>
  <si>
    <t>по мере необходимости</t>
  </si>
  <si>
    <t>1 м трубы/       1 шт.</t>
  </si>
  <si>
    <t>2.10.2</t>
  </si>
  <si>
    <t xml:space="preserve">Прочистка водоприёмной воронки внутреннего водостока </t>
  </si>
  <si>
    <t>по мере выявления/ в течение 5 суток после обнаружения</t>
  </si>
  <si>
    <t>1 шт.</t>
  </si>
  <si>
    <t>2.11</t>
  </si>
  <si>
    <t>Очистка подвалов  от мусора(техэтаж)</t>
  </si>
  <si>
    <t>2.12</t>
  </si>
  <si>
    <t>Уборка мусороприемной камеры</t>
  </si>
  <si>
    <t>10 кв.м</t>
  </si>
  <si>
    <t>2.13</t>
  </si>
  <si>
    <t>Ремонт почтовых ящиков, установка, смена замка</t>
  </si>
  <si>
    <t>2.14</t>
  </si>
  <si>
    <t>Иное</t>
  </si>
  <si>
    <t>2.14.1</t>
  </si>
  <si>
    <t>Очистка металлической решетки и приямка</t>
  </si>
  <si>
    <t>1 раз/нед</t>
  </si>
  <si>
    <t>2.14.2</t>
  </si>
  <si>
    <t>Вывешивание или снятие флагов</t>
  </si>
  <si>
    <t>ИТОГО по разделу 2</t>
  </si>
  <si>
    <t>3</t>
  </si>
  <si>
    <t>Работы по обеспечению вывоза ТБО</t>
  </si>
  <si>
    <t>3.1</t>
  </si>
  <si>
    <t>Удаление мусора из мусорприемных камер</t>
  </si>
  <si>
    <t>м3</t>
  </si>
  <si>
    <t>3.2</t>
  </si>
  <si>
    <t>Иное (вывоз ТБО)</t>
  </si>
  <si>
    <t>м2</t>
  </si>
  <si>
    <t>ИТОГО по разделу 3</t>
  </si>
  <si>
    <t>4</t>
  </si>
  <si>
    <t>ИТОГО по разд 4 Работы по вывозу КГМ</t>
  </si>
  <si>
    <t>5</t>
  </si>
  <si>
    <t>Работы по содержанию и ремонту конструктивных элементов МКД</t>
  </si>
  <si>
    <t>5.1</t>
  </si>
  <si>
    <t>Фундамент</t>
  </si>
  <si>
    <t>5.1.1</t>
  </si>
  <si>
    <t>Восстановление повреждённых участков фундаментов:</t>
  </si>
  <si>
    <t>х</t>
  </si>
  <si>
    <t>1   м шва</t>
  </si>
  <si>
    <t>5.1.2</t>
  </si>
  <si>
    <t>Восстановление гидроизоляции и систем водоотвода фундаментов</t>
  </si>
  <si>
    <t>кв.м</t>
  </si>
  <si>
    <t>5.1.3</t>
  </si>
  <si>
    <t>Восстановление вентиляционных продухов</t>
  </si>
  <si>
    <t>5.1.4</t>
  </si>
  <si>
    <t>Восстановление поврежденных участков входов в подвалы</t>
  </si>
  <si>
    <t>шт</t>
  </si>
  <si>
    <t>5.1.5</t>
  </si>
  <si>
    <t>Иное (фундамент)</t>
  </si>
  <si>
    <t>5.2.</t>
  </si>
  <si>
    <t>Стены и фасад</t>
  </si>
  <si>
    <t>5.2.1</t>
  </si>
  <si>
    <t>Герметизация стыков стен и фасадов</t>
  </si>
  <si>
    <t>1 м.шва</t>
  </si>
  <si>
    <t>5.2.2</t>
  </si>
  <si>
    <t>Заделка и восстановление архитектурных элементов</t>
  </si>
  <si>
    <t>1 м3 кладки</t>
  </si>
  <si>
    <t>5.2.3</t>
  </si>
  <si>
    <t>Ремонт штукатурки гладких фасадов</t>
  </si>
  <si>
    <t>1 кв.м отремон.поверхности</t>
  </si>
  <si>
    <t>5.2.4</t>
  </si>
  <si>
    <t>Окраска, промывка фасадов</t>
  </si>
  <si>
    <t>100 кв.м проекции фасада</t>
  </si>
  <si>
    <t>5.2.5</t>
  </si>
  <si>
    <t>Восстановление поврежденных участков цоколей</t>
  </si>
  <si>
    <t>5.2.6</t>
  </si>
  <si>
    <t>Окраска, промывка цоколей</t>
  </si>
  <si>
    <t>еженедельно</t>
  </si>
  <si>
    <t>5.2.7</t>
  </si>
  <si>
    <t>Смена пластмассового короба домовых знаков и уличных указателей</t>
  </si>
  <si>
    <t>5.2.8</t>
  </si>
  <si>
    <t>Восстановление гидроизоляции между цокольной частью здания и стенами</t>
  </si>
  <si>
    <t>5.2.9</t>
  </si>
  <si>
    <t>Иное (стены, фасад)</t>
  </si>
  <si>
    <t>5.3</t>
  </si>
  <si>
    <t>Перекрытия</t>
  </si>
  <si>
    <t>5.3.1</t>
  </si>
  <si>
    <t>Частичная смена отдельных элементов</t>
  </si>
  <si>
    <t>1 кв.м пола</t>
  </si>
  <si>
    <t>5.3.2</t>
  </si>
  <si>
    <t>Заделка швов и трещин</t>
  </si>
  <si>
    <t>1 место задела</t>
  </si>
  <si>
    <t>5.3.3</t>
  </si>
  <si>
    <t>Укрепление и окраска</t>
  </si>
  <si>
    <t>5.3.4</t>
  </si>
  <si>
    <t>Иное (перекрытия)</t>
  </si>
  <si>
    <t>5.4</t>
  </si>
  <si>
    <t>Крыши</t>
  </si>
  <si>
    <t>5.4.1</t>
  </si>
  <si>
    <t>Усиление элементов деревянной стропильной системы</t>
  </si>
  <si>
    <t>5.4.2</t>
  </si>
  <si>
    <t>Устранение неисправностей и ремонт стальных  и других кровельных покрытий</t>
  </si>
  <si>
    <t>5.4.3</t>
  </si>
  <si>
    <t>Разборка и ремонт кровли из рулонных материалов</t>
  </si>
  <si>
    <t>1 кв.м поверхности</t>
  </si>
  <si>
    <t>5.4.4.1</t>
  </si>
  <si>
    <t>Ремонт частей водосточных труб</t>
  </si>
  <si>
    <t>1м</t>
  </si>
  <si>
    <t>5.4.4.2</t>
  </si>
  <si>
    <t>Ремонт металлической парапетной решётки</t>
  </si>
  <si>
    <t>1 м решетки</t>
  </si>
  <si>
    <t>5.4.5</t>
  </si>
  <si>
    <t>Окраска конструкций и элементов крыши</t>
  </si>
  <si>
    <t>5.4.6</t>
  </si>
  <si>
    <t>Иное (крыши)</t>
  </si>
  <si>
    <t>5.5</t>
  </si>
  <si>
    <t>Оконные и дверные заполнения на лестничных клетках и во вспомогательных помещениях, входные двери</t>
  </si>
  <si>
    <t>5.5.1</t>
  </si>
  <si>
    <t>Ремонт дверей в помещениях общего пользования</t>
  </si>
  <si>
    <t>5.5.2</t>
  </si>
  <si>
    <t>Замена дверей в помещениях общего пользования</t>
  </si>
  <si>
    <t>5.5.3</t>
  </si>
  <si>
    <t>Ремонт или замена входных дверей в подъезды</t>
  </si>
  <si>
    <t>5.5.4</t>
  </si>
  <si>
    <t>Ремонт окон в помещениях общего пользования</t>
  </si>
  <si>
    <t>5.5.5</t>
  </si>
  <si>
    <t>Замена окон в помещениях общего пользования</t>
  </si>
  <si>
    <t>пр.1,п.6.2.2.1</t>
  </si>
  <si>
    <t>5.5.6</t>
  </si>
  <si>
    <t>Установка и текущий ремонт доводчиков</t>
  </si>
  <si>
    <t>1 доводчик</t>
  </si>
  <si>
    <t>5.5.7</t>
  </si>
  <si>
    <t>Иное (окна, двери)</t>
  </si>
  <si>
    <t>5.6</t>
  </si>
  <si>
    <t>Лестницы, пандусы, крыльцо, козырьки над входами в подъезды, подвалы и над балконами верхних этажей</t>
  </si>
  <si>
    <t>5.6.1</t>
  </si>
  <si>
    <t>Восстановление лестницы</t>
  </si>
  <si>
    <t>5.6.2</t>
  </si>
  <si>
    <t>Замена лестницы</t>
  </si>
  <si>
    <t>5.6.3</t>
  </si>
  <si>
    <t>Восстановление пандуса</t>
  </si>
  <si>
    <t>5.6.4</t>
  </si>
  <si>
    <t>Замена пандуса</t>
  </si>
  <si>
    <t>5.6.5</t>
  </si>
  <si>
    <t>Восстановление крыльца</t>
  </si>
  <si>
    <t>5.6.6</t>
  </si>
  <si>
    <t>Замена крыльца</t>
  </si>
  <si>
    <t>5.6.7</t>
  </si>
  <si>
    <t>Восстановление козырьков над входами в подъезды, ремонт кровельного покрытия козырьков</t>
  </si>
  <si>
    <t>5.6.8</t>
  </si>
  <si>
    <t>Замена козырьков над входами в подъезды</t>
  </si>
  <si>
    <t>5.6.9</t>
  </si>
  <si>
    <t>Восстановление конструкций над балконами верхних этажей</t>
  </si>
  <si>
    <t>5.6.10</t>
  </si>
  <si>
    <t>Замена конструкций над балконами верхних этажей</t>
  </si>
  <si>
    <t>5.6.11</t>
  </si>
  <si>
    <t>Ремонт полов (на лестницах, чердаках, в холлах и подвалах)</t>
  </si>
  <si>
    <t>5.6.12</t>
  </si>
  <si>
    <r>
      <rPr>
        <b/>
        <sz val="8"/>
        <color theme="1"/>
        <rFont val="Arial"/>
        <family val="2"/>
        <charset val="204"/>
      </rPr>
      <t>Иное</t>
    </r>
    <r>
      <rPr>
        <sz val="8"/>
        <color theme="1"/>
        <rFont val="Arial"/>
        <family val="2"/>
        <charset val="204"/>
      </rPr>
      <t xml:space="preserve"> (лестницы, пандусы козырьки, подвалы….)</t>
    </r>
  </si>
  <si>
    <t>5.7</t>
  </si>
  <si>
    <t>Внутренняя отделка в подъездах</t>
  </si>
  <si>
    <t>5.7.1</t>
  </si>
  <si>
    <t xml:space="preserve">Восстановление отделки стен </t>
  </si>
  <si>
    <t>5.7.2</t>
  </si>
  <si>
    <t>Восстановление отделки потолков</t>
  </si>
  <si>
    <t>5.7.3</t>
  </si>
  <si>
    <t>Ремонт лестничных клеток</t>
  </si>
  <si>
    <t>5.7.4</t>
  </si>
  <si>
    <t>Ремонт технических и вспомогательных помещений</t>
  </si>
  <si>
    <t>5.8</t>
  </si>
  <si>
    <t>Ремонт чердаков, подвалов</t>
  </si>
  <si>
    <t>5.8.1</t>
  </si>
  <si>
    <t>Утепление чердачных перекрытий</t>
  </si>
  <si>
    <t>5.8.2</t>
  </si>
  <si>
    <t>Утепление трубопроводов в чердачных помещениях</t>
  </si>
  <si>
    <t>5.8.3</t>
  </si>
  <si>
    <t>Утепление трубопроводов в подвальных помещениях</t>
  </si>
  <si>
    <t>5.8.4</t>
  </si>
  <si>
    <t>Изготовление новых или ремонт существующих ходовых досок и переходных мостиков на чердаках</t>
  </si>
  <si>
    <t>п.м</t>
  </si>
  <si>
    <t>5.8.5</t>
  </si>
  <si>
    <r>
      <rPr>
        <b/>
        <sz val="8"/>
        <color theme="1"/>
        <rFont val="Arial"/>
        <family val="2"/>
        <charset val="204"/>
      </rPr>
      <t>Иное</t>
    </r>
    <r>
      <rPr>
        <sz val="8"/>
        <color theme="1"/>
        <rFont val="Arial"/>
        <family val="2"/>
        <charset val="204"/>
      </rPr>
      <t xml:space="preserve"> (ремонт чердаков, подвалов)</t>
    </r>
  </si>
  <si>
    <t>ИТОГО по разделу 5</t>
  </si>
  <si>
    <t>6</t>
  </si>
  <si>
    <t>Работы по содержанию и ремонту  оборудования и систем инженерно-технического обеспечения, входящих в состав общего имущества МКД</t>
  </si>
  <si>
    <t>6.1</t>
  </si>
  <si>
    <t>Консервация (расконсервация) поливочной системы</t>
  </si>
  <si>
    <t>1000 кв м</t>
  </si>
  <si>
    <t>6.2</t>
  </si>
  <si>
    <t>Ремонт, регулировка, промывка и опрессовка систем центрального отопления, утепление бойлеров</t>
  </si>
  <si>
    <t>кх</t>
  </si>
  <si>
    <t>100 куб.м</t>
  </si>
  <si>
    <t>6.3</t>
  </si>
  <si>
    <t>Утепление дымовентиляционных каналов</t>
  </si>
  <si>
    <t>6.4</t>
  </si>
  <si>
    <t>Прочистка вентиляционных и дымовых каналов</t>
  </si>
  <si>
    <t>по мере выявления</t>
  </si>
  <si>
    <t>10 м дымохода</t>
  </si>
  <si>
    <t>6.5</t>
  </si>
  <si>
    <t>Ремонт и утепление наружных водоразборных кранов</t>
  </si>
  <si>
    <t>6.6</t>
  </si>
  <si>
    <t>Проведение технических осмотров систем водопровода и канализации, центрального отопления и горячего водоснабжения, электротехнических устройств, вентиляционных каналов</t>
  </si>
  <si>
    <t>1000 кв.м</t>
  </si>
  <si>
    <t>6.7</t>
  </si>
  <si>
    <t>Устранение неисправностей в системах водопровода и канализации, центрального топления и горячего водоснабжения, электротехнических утсройств, вентиляционных каналов</t>
  </si>
  <si>
    <t>6.8</t>
  </si>
  <si>
    <t>Проверка исправности канализационных вытяжек</t>
  </si>
  <si>
    <t>6.9</t>
  </si>
  <si>
    <t>Устранение засора внутреннего канализационного трубопровода</t>
  </si>
  <si>
    <t>1 м</t>
  </si>
  <si>
    <t>6.10</t>
  </si>
  <si>
    <t>Регулировка и наладка систем автоматики расширительных баков</t>
  </si>
  <si>
    <t>6.11</t>
  </si>
  <si>
    <t>Проверка заземления оболочки электрокабеля (насосы, щитовые вентиляторы и др.)</t>
  </si>
  <si>
    <t>1 р/год</t>
  </si>
  <si>
    <t>1 измерение</t>
  </si>
  <si>
    <t>6.12</t>
  </si>
  <si>
    <t>Замеры сопротивления изоляции проводов, трубопроводов и восстановление цепей заземления</t>
  </si>
  <si>
    <t>6.13</t>
  </si>
  <si>
    <t>Поверка общедомовых приборов учёта ресурсов: ГВС, ХВС, отопления, электроснабжения</t>
  </si>
  <si>
    <t>6.14</t>
  </si>
  <si>
    <t>Ремонт общедомовых приборов учёта ресурсов: ГВС, ХВС, отопления, электроснабжения</t>
  </si>
  <si>
    <t>6.15</t>
  </si>
  <si>
    <t>Обслуживание ламп-сигналов</t>
  </si>
  <si>
    <t>6.16</t>
  </si>
  <si>
    <r>
      <t xml:space="preserve">Замена и восстановление отдельных элементов системы центрального </t>
    </r>
    <r>
      <rPr>
        <b/>
        <sz val="8"/>
        <color theme="1"/>
        <rFont val="Arial"/>
        <family val="2"/>
        <charset val="204"/>
      </rPr>
      <t>отопления</t>
    </r>
    <r>
      <rPr>
        <sz val="8"/>
        <color theme="1"/>
        <rFont val="Arial"/>
        <family val="2"/>
        <charset val="204"/>
      </rPr>
      <t xml:space="preserve"> с выполнением наладочных регулировочных работ, ликвидацией непрогревов и неисправностей в квартирах</t>
    </r>
  </si>
  <si>
    <t>6.17</t>
  </si>
  <si>
    <r>
      <t xml:space="preserve">Замена и восстановление отдельных элементов системы </t>
    </r>
    <r>
      <rPr>
        <b/>
        <sz val="8"/>
        <color theme="1"/>
        <rFont val="Arial"/>
        <family val="2"/>
        <charset val="204"/>
      </rPr>
      <t>холодного водоснабжения</t>
    </r>
    <r>
      <rPr>
        <sz val="8"/>
        <color theme="1"/>
        <rFont val="Arial"/>
        <family val="2"/>
        <charset val="204"/>
      </rPr>
      <t>, при необходимости отключение и ключение стояков</t>
    </r>
  </si>
  <si>
    <t>6.18</t>
  </si>
  <si>
    <r>
      <t xml:space="preserve">Замена и восстановление  отдельных элементов системы </t>
    </r>
    <r>
      <rPr>
        <b/>
        <sz val="8"/>
        <color theme="1"/>
        <rFont val="Arial"/>
        <family val="2"/>
        <charset val="204"/>
      </rPr>
      <t>горячеговодоснабжения</t>
    </r>
    <r>
      <rPr>
        <sz val="8"/>
        <color theme="1"/>
        <rFont val="Arial"/>
        <family val="2"/>
        <charset val="204"/>
      </rPr>
      <t>, при необходимости отключение и включение стояков</t>
    </r>
  </si>
  <si>
    <t>6.19</t>
  </si>
  <si>
    <r>
      <t xml:space="preserve">Замена и восстановление  отдельных элементов системы </t>
    </r>
    <r>
      <rPr>
        <b/>
        <sz val="8"/>
        <color theme="1"/>
        <rFont val="Arial"/>
        <family val="2"/>
        <charset val="204"/>
      </rPr>
      <t>канализации</t>
    </r>
    <r>
      <rPr>
        <sz val="8"/>
        <color theme="1"/>
        <rFont val="Arial"/>
        <family val="2"/>
        <charset val="204"/>
      </rPr>
      <t xml:space="preserve">, ликвидация засоров, </t>
    </r>
  </si>
  <si>
    <t>1 м ствола</t>
  </si>
  <si>
    <t>6.20</t>
  </si>
  <si>
    <r>
      <t xml:space="preserve">Замена и восстановление работоспособности внутридомового </t>
    </r>
    <r>
      <rPr>
        <b/>
        <sz val="8"/>
        <color theme="1"/>
        <rFont val="Arial"/>
        <family val="2"/>
        <charset val="204"/>
      </rPr>
      <t>электрооборудования</t>
    </r>
    <r>
      <rPr>
        <sz val="8"/>
        <color theme="1"/>
        <rFont val="Arial"/>
        <family val="2"/>
        <charset val="204"/>
      </rPr>
      <t xml:space="preserve"> ( за исключением внутриквартирных устройств и приборов)</t>
    </r>
  </si>
  <si>
    <t>6.21</t>
  </si>
  <si>
    <t>Гидропневматическая очистка системы отопления</t>
  </si>
  <si>
    <t>6.22</t>
  </si>
  <si>
    <t>1 теплосчетчик</t>
  </si>
  <si>
    <t>6.23</t>
  </si>
  <si>
    <t>6.24</t>
  </si>
  <si>
    <t>Обслужив. и ремонт насосных пунктов</t>
  </si>
  <si>
    <t>6.25</t>
  </si>
  <si>
    <t>Обслужив.и ремонт тепловых пунктов</t>
  </si>
  <si>
    <t>6.26</t>
  </si>
  <si>
    <t>Обслуж. и ремонт крышных газовых котельных</t>
  </si>
  <si>
    <t>6.27</t>
  </si>
  <si>
    <r>
      <t xml:space="preserve">Ремонт электрооборудования (эл. щитков, замена АВР </t>
    </r>
    <r>
      <rPr>
        <sz val="8"/>
        <color rgb="FFFF0000"/>
        <rFont val="Arial"/>
        <family val="2"/>
        <charset val="204"/>
      </rPr>
      <t>и др.работы)</t>
    </r>
  </si>
  <si>
    <t>6.28</t>
  </si>
  <si>
    <t>Тех.обслуживание светильников дежурного освещения</t>
  </si>
  <si>
    <t>6.29</t>
  </si>
  <si>
    <t>Иное (работы по содержанию и ремонту систем инженерно-технического обеспечения)</t>
  </si>
  <si>
    <t>ИТОГО по разделу 6:</t>
  </si>
  <si>
    <t xml:space="preserve">Работы по содержанию и ремонту мусоропроводов </t>
  </si>
  <si>
    <t>7.1</t>
  </si>
  <si>
    <t>Восстановление работоспособности вентиляционных и промывочных устройств, мусороприёмных клапанов и шиберных устройств</t>
  </si>
  <si>
    <t>7.2</t>
  </si>
  <si>
    <t>Профилактический осмотр мусоропроводов</t>
  </si>
  <si>
    <t>7.3</t>
  </si>
  <si>
    <t>Видеодиагностика внутренней поверхности асбестоцементных стволов мусор.</t>
  </si>
  <si>
    <t>7.4</t>
  </si>
  <si>
    <t>Уборка загрузочных клапанов мусоропровода (дезинфекция)</t>
  </si>
  <si>
    <t>1 клапан</t>
  </si>
  <si>
    <t>7.5</t>
  </si>
  <si>
    <t>Мойка сменных мусоросборников</t>
  </si>
  <si>
    <t>10 мусоросборников</t>
  </si>
  <si>
    <t>7.6</t>
  </si>
  <si>
    <t>Мойка нижней части ствола и шибера мусоропр.</t>
  </si>
  <si>
    <t>1 шибер</t>
  </si>
  <si>
    <t>7.7</t>
  </si>
  <si>
    <t>Очистка и дезинфекция всех элементов ствола мусоропр.( с ЗУМ)</t>
  </si>
  <si>
    <t>10 м ствола мусоропровода</t>
  </si>
  <si>
    <t>(Без ЗУМ)</t>
  </si>
  <si>
    <t>10м ствола мусоропровода</t>
  </si>
  <si>
    <t>7.8</t>
  </si>
  <si>
    <t>Дезинфекция мусоросборников</t>
  </si>
  <si>
    <t>1 мусоросборник</t>
  </si>
  <si>
    <t>7.9</t>
  </si>
  <si>
    <t>Устранение засора (с ЗУМ)</t>
  </si>
  <si>
    <t>по мере нобходимости</t>
  </si>
  <si>
    <t>1 засор</t>
  </si>
  <si>
    <t>7.10</t>
  </si>
  <si>
    <t>Мелкий ремонт неисправностей мусоропроводов</t>
  </si>
  <si>
    <t>7.11</t>
  </si>
  <si>
    <t>Иное (работы по содержанию и ремонту мусоропроводов)</t>
  </si>
  <si>
    <t>ИТОГО по разделу 7:</t>
  </si>
  <si>
    <t>Работы по содержанию и ремонту лифтов</t>
  </si>
  <si>
    <t>Обслуживание лифтов и лифтового оборудования</t>
  </si>
  <si>
    <t>Организация системы диспетчерского контроля</t>
  </si>
  <si>
    <t>Иное (Работы по содержанию и ремонту лифтов)</t>
  </si>
  <si>
    <t>ИТОГО по разделу 8:</t>
  </si>
  <si>
    <t>Работы по обеспечению требований пожарной безопасности</t>
  </si>
  <si>
    <t>Осмотр пожарной сигнализации и средств тушения в домах</t>
  </si>
  <si>
    <t>комплексно</t>
  </si>
  <si>
    <t>Обслуживание систем дымоудаления и противопожарной автоматики</t>
  </si>
  <si>
    <t>Замена и восстановление работоспособности элементов пожаротушения (трубопроводов, включая ввод и стояки пожарного водопровода)</t>
  </si>
  <si>
    <t>Иное (Работы по обеспечению требований пожарной безопасности)</t>
  </si>
  <si>
    <t>ИТОГО по разделу 9:</t>
  </si>
  <si>
    <t xml:space="preserve">Работы по содержанию и ремонту систем вентиляции </t>
  </si>
  <si>
    <t xml:space="preserve">Проверка наличия тяги в дымоходах, </t>
  </si>
  <si>
    <t>Регулировка и наладка систем вентиляции</t>
  </si>
  <si>
    <t>Замена и восстановление работоспособности отдельных общедомовых элементов</t>
  </si>
  <si>
    <t>Иное (Работы по содержанию и ремонту систем вентиляции)</t>
  </si>
  <si>
    <t>ИТОГО по разделу 10:</t>
  </si>
  <si>
    <t>Работы по содержанию  и ремонту систем внутридомового газового оборудования</t>
  </si>
  <si>
    <t>Проверка состояния системы газоснабжения, замена и восстановление работоспособности отдельных элементов</t>
  </si>
  <si>
    <t xml:space="preserve">Замена и восстановление работоспособности отдельных элементов системы внутридомового газового оборудования </t>
  </si>
  <si>
    <t>Иное (Работы по содержанию и ремонту систем газового оборудования)</t>
  </si>
  <si>
    <t>ИТОГО по разделу 11:</t>
  </si>
  <si>
    <t>Обеспечение устранения аварий на внутридомовых инженерных системах в многоквартирном доме</t>
  </si>
  <si>
    <t>Аварийные работы</t>
  </si>
  <si>
    <t>Выполнение заявок населения</t>
  </si>
  <si>
    <t>Иное (Обеспечение устранения аварий на внутридомовых инженерных системах)</t>
  </si>
  <si>
    <t>ИТОГО по разделу 12:</t>
  </si>
  <si>
    <t>13</t>
  </si>
  <si>
    <t>Расход электроэнергии, потреблённой на дежурное освещение мест общего пользования и работу лифтов (общедомовые нужды)</t>
  </si>
  <si>
    <t>14</t>
  </si>
  <si>
    <t>Расход воды на общедомовые нужды</t>
  </si>
  <si>
    <t>15</t>
  </si>
  <si>
    <t>Проведение дератизации и дезинсекции помещений МКД</t>
  </si>
  <si>
    <t>Дератизация(дог.)</t>
  </si>
  <si>
    <t>( с  ОЗДС)</t>
  </si>
  <si>
    <t>Дезинсекция</t>
  </si>
  <si>
    <t>ИТОГО по разделу 15:</t>
  </si>
  <si>
    <t>Прочие работы и услуги</t>
  </si>
  <si>
    <t>Техническая инвентаризация</t>
  </si>
  <si>
    <t>Технич.обслуж.систем дистанционного снятия показаний ИПУ (снятие показаний общед. Прибора учета)</t>
  </si>
  <si>
    <t>Иное (Прочие работы и услуги по содержанию и ремонту)</t>
  </si>
  <si>
    <t>ИТОГО по разделу 16:</t>
  </si>
  <si>
    <t>План для разбивки</t>
  </si>
  <si>
    <t>Разница - п. 9.1</t>
  </si>
  <si>
    <t>Санитарка</t>
  </si>
  <si>
    <t>Расшифровка к смете затрат на содержание и текущий ремонт жилого дома</t>
  </si>
  <si>
    <t>на 2021 год</t>
  </si>
  <si>
    <t>Технические характеристики дома</t>
  </si>
  <si>
    <t>РАЗДЕЛ  2. Расходы на содержание и ремонт</t>
  </si>
  <si>
    <t>П/П</t>
  </si>
  <si>
    <t>Наименование статей</t>
  </si>
  <si>
    <t>Количест-венный показатель</t>
  </si>
  <si>
    <t>Стоимостной показатель  (руб.)</t>
  </si>
  <si>
    <t>к-т за круглосуточную работу (аварийка)</t>
  </si>
  <si>
    <t>Стоимость (руб.) в мес.</t>
  </si>
  <si>
    <t>Стоимость (руб.) в год.</t>
  </si>
  <si>
    <t>2</t>
  </si>
  <si>
    <t xml:space="preserve">Расходы на содержание РТР                                                       </t>
  </si>
  <si>
    <t xml:space="preserve">          </t>
  </si>
  <si>
    <t>2.1</t>
  </si>
  <si>
    <t>Расходы на зарплату АУП РТР</t>
  </si>
  <si>
    <t xml:space="preserve">Начисления на зарплату АУП ( 30,2%)                                             </t>
  </si>
  <si>
    <t>2.2</t>
  </si>
  <si>
    <t xml:space="preserve">Расходы на зарплату рабочих                                                      </t>
  </si>
  <si>
    <t xml:space="preserve">чел.      </t>
  </si>
  <si>
    <t xml:space="preserve">Расходы на зарплату кровельщиков                  </t>
  </si>
  <si>
    <t xml:space="preserve">Расходы на зарплату плотников                            </t>
  </si>
  <si>
    <t>Расходы на зарплату столяров</t>
  </si>
  <si>
    <t>Расходы на зарплату штукатуров</t>
  </si>
  <si>
    <t>Расходы на зарплату маляров</t>
  </si>
  <si>
    <t>Расходы на зарплату каменщик</t>
  </si>
  <si>
    <t xml:space="preserve">Расходы на зарплату слесарей-сантехников                                        </t>
  </si>
  <si>
    <t xml:space="preserve">Расходы на зарплату электромонтеров                                             </t>
  </si>
  <si>
    <t xml:space="preserve">Расходы на зарплату электрогазосварщиков                                        </t>
  </si>
  <si>
    <t>Расходы на зарплату подсобных рабочих</t>
  </si>
  <si>
    <t>Расходы на зарплату рабочих подмены</t>
  </si>
  <si>
    <t xml:space="preserve">Начисления на зарплату РТР ( 30,2%)                                             </t>
  </si>
  <si>
    <t>2.3</t>
  </si>
  <si>
    <t xml:space="preserve">Прочие расходы на содержание РТР   -1,5%                                             </t>
  </si>
  <si>
    <t>2.4</t>
  </si>
  <si>
    <t xml:space="preserve">Расходы на приобретение материалов для РТР   -35%                                   </t>
  </si>
  <si>
    <t>2.5</t>
  </si>
  <si>
    <t>2.6</t>
  </si>
  <si>
    <t>рентабельность -10%</t>
  </si>
  <si>
    <t xml:space="preserve">СТОИМОСТЬ без НДС                                     </t>
  </si>
  <si>
    <t>НДС 20%</t>
  </si>
  <si>
    <t>ИТОГО</t>
  </si>
  <si>
    <t xml:space="preserve">СТОИМОСТЬ в месяц 1 кв.м     </t>
  </si>
  <si>
    <t>Ставка планово-нормативного расхода</t>
  </si>
  <si>
    <t>нежилые помещения</t>
  </si>
  <si>
    <t>тип здания</t>
  </si>
  <si>
    <t>офисы</t>
  </si>
  <si>
    <t>эксплуатационные расходы по общей площади зданий</t>
  </si>
  <si>
    <t>эксплуатационные  расходы  на жилые  помещения  в мес</t>
  </si>
  <si>
    <t>жилые за год</t>
  </si>
  <si>
    <t>инд</t>
  </si>
  <si>
    <t>только по зданию</t>
  </si>
  <si>
    <t>сумма расходов ТСЖ Столица</t>
  </si>
  <si>
    <t>Адрес</t>
  </si>
  <si>
    <t>кол-во подъездов</t>
  </si>
  <si>
    <t>кол-во лифтов</t>
  </si>
  <si>
    <t>на 2 этажа</t>
  </si>
  <si>
    <t xml:space="preserve"> + 1 этаж</t>
  </si>
  <si>
    <t>Коэффициент</t>
  </si>
  <si>
    <t xml:space="preserve">Стоимость </t>
  </si>
  <si>
    <t>в месяц</t>
  </si>
  <si>
    <t>за 12 месяцев</t>
  </si>
  <si>
    <t>Москва, Серебрякова д 11 к 1</t>
  </si>
  <si>
    <t>лифты на парковку</t>
  </si>
  <si>
    <t xml:space="preserve">Стоимость технического обслуживания и текущего ремонта систем противопожарной защиты </t>
  </si>
  <si>
    <t>Количество подъездов</t>
  </si>
  <si>
    <t>Расценка на 1 подъезд в месяц (без учета НДС), руб.</t>
  </si>
  <si>
    <t>Стоимость ТО ДУ ППА в мес. (без НДС)</t>
  </si>
  <si>
    <t>Пожаротушение, расценка на кв.м</t>
  </si>
  <si>
    <t>Пожаротушение</t>
  </si>
  <si>
    <t>В год с НДС, руб</t>
  </si>
  <si>
    <t>Норма накопления на 1 жителя</t>
  </si>
  <si>
    <t>ТБО</t>
  </si>
  <si>
    <t>куб.м</t>
  </si>
  <si>
    <r>
      <t>272</t>
    </r>
    <r>
      <rPr>
        <sz val="10"/>
        <rFont val="Arial Cyr"/>
        <charset val="204"/>
      </rPr>
      <t xml:space="preserve"> кг в год (плотность 
187,5  кг/куб.м)</t>
    </r>
  </si>
  <si>
    <t>расценка на вывоз мусора</t>
  </si>
  <si>
    <t>КГМ</t>
  </si>
  <si>
    <t>98 кг в год (плот- 
ность 214,0 кг/куб.м)</t>
  </si>
  <si>
    <t>руб/ куб м</t>
  </si>
  <si>
    <t>Бункер              8 м3 =1,7 тн</t>
  </si>
  <si>
    <t>жители</t>
  </si>
  <si>
    <t>Кол-во квартир</t>
  </si>
  <si>
    <t>Количество жителей зарегистрировано</t>
  </si>
  <si>
    <t>фактически проживает</t>
  </si>
  <si>
    <t>накопление ТБО в мес, куб.м</t>
  </si>
  <si>
    <t>накопление КГМ в мес, куб.м</t>
  </si>
  <si>
    <t>накопление ТБО в год, куб.м</t>
  </si>
  <si>
    <t>накопление КГМ вгод, куб.м</t>
  </si>
  <si>
    <t>накопление ТБО в сут, куб.м</t>
  </si>
  <si>
    <t>накопление КГМ в сут, куб.м</t>
  </si>
  <si>
    <t>Итого по жителям в год без НДС</t>
  </si>
  <si>
    <t>в тоннах</t>
  </si>
  <si>
    <t>-</t>
  </si>
  <si>
    <t>Расп. От 02.11.2012 № 33-р</t>
  </si>
  <si>
    <t>руб/т</t>
  </si>
  <si>
    <t xml:space="preserve">переработка и </t>
  </si>
  <si>
    <t>захоронение ТБО</t>
  </si>
  <si>
    <t>или</t>
  </si>
  <si>
    <t>в 1 т - 5,33 куб.м</t>
  </si>
  <si>
    <t>руб./куб.м</t>
  </si>
  <si>
    <t xml:space="preserve"> без НДС</t>
  </si>
  <si>
    <t xml:space="preserve"> с НДС</t>
  </si>
  <si>
    <t xml:space="preserve">КГМ </t>
  </si>
  <si>
    <t>1 бункер - 8 куб.м или 1,7 тонн</t>
  </si>
  <si>
    <t>Адрес (улица, дом, корпус)</t>
  </si>
  <si>
    <t>Количество постоянно зарегистрированных</t>
  </si>
  <si>
    <t>Норма накопления куб.м/год (Постан.№9-ПП )                      ТБО</t>
  </si>
  <si>
    <t>КГМ, м3</t>
  </si>
  <si>
    <t>ИТОГО накопление в год ТКО, куб.м</t>
  </si>
  <si>
    <t>то же в тоннах, плотность ТКО  (0,18-0,25 т/м.куб.).</t>
  </si>
  <si>
    <t>Контейнер 1,1 м3, 600 руб. с НДС</t>
  </si>
  <si>
    <t>Переработка на мусоросжигательном  заводе                                                    2826,60 за т.+НДС 18 %</t>
  </si>
  <si>
    <t>ИТОГО в год с НДС</t>
  </si>
  <si>
    <t>накопление мусора в мусорокамере</t>
  </si>
  <si>
    <t>кол-во контейнеров объемом 1.1 м3</t>
  </si>
  <si>
    <t>кол-во бункеров объемом 8 м3</t>
  </si>
  <si>
    <t>из расчета  Юнисервис на 1 кв.м</t>
  </si>
  <si>
    <t>тариф</t>
  </si>
  <si>
    <t>площадь</t>
  </si>
  <si>
    <t>Цена на услуги</t>
  </si>
  <si>
    <t>с НДС</t>
  </si>
  <si>
    <t>дератизация</t>
  </si>
  <si>
    <t xml:space="preserve">руб. </t>
  </si>
  <si>
    <t>дезинсекция</t>
  </si>
  <si>
    <t>охранно-защитн. Системы</t>
  </si>
  <si>
    <t>руб. /кв.м в месяц или 1,4 руб/кв.м. в год</t>
  </si>
  <si>
    <t>Площадь</t>
  </si>
  <si>
    <t>Стоимость работ, год с НДС</t>
  </si>
  <si>
    <t>техэтаж</t>
  </si>
  <si>
    <t>площадь мусорокамер</t>
  </si>
  <si>
    <t>оздс</t>
  </si>
  <si>
    <t>по договору</t>
  </si>
  <si>
    <t>ИТОГО на дератизацию в мес</t>
  </si>
  <si>
    <t>ИТОГО на дезинсекцию в мес</t>
  </si>
  <si>
    <t>Количество человек</t>
  </si>
  <si>
    <t>Количество суток</t>
  </si>
  <si>
    <t>Заработная плата</t>
  </si>
  <si>
    <t>в год</t>
  </si>
  <si>
    <t xml:space="preserve">11 (подъезды) </t>
  </si>
  <si>
    <t>3 (Въезды)</t>
  </si>
  <si>
    <t>1 (паркинг)</t>
  </si>
  <si>
    <t>за 8 мес</t>
  </si>
  <si>
    <t>за год</t>
  </si>
  <si>
    <t>Д-2</t>
  </si>
  <si>
    <t>(без гаража)</t>
  </si>
  <si>
    <t>Размер заработной платы рабочих в месяц в ценах ___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</si>
</sst>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8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0"/>
      <color theme="3" tint="0.39997558519241921"/>
      <name val="Arial Cyr"/>
      <charset val="204"/>
    </font>
    <font>
      <b/>
      <sz val="12"/>
      <name val="Arial Cyr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color theme="2" tint="-0.499984740745262"/>
      <name val="Arial Cyr"/>
      <charset val="204"/>
    </font>
    <font>
      <sz val="10"/>
      <color theme="5" tint="0.39997558519241921"/>
      <name val="Arial Cyr"/>
      <charset val="204"/>
    </font>
    <font>
      <b/>
      <sz val="12"/>
      <color indexed="10"/>
      <name val="Arial Cyr"/>
      <charset val="204"/>
    </font>
    <font>
      <sz val="10"/>
      <name val="Times New Roman"/>
      <family val="1"/>
      <charset val="204"/>
    </font>
    <font>
      <sz val="8"/>
      <name val="Arial Cyr"/>
      <charset val="204"/>
    </font>
    <font>
      <b/>
      <sz val="8"/>
      <color indexed="22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b/>
      <sz val="10"/>
      <color theme="2" tint="-0.249977111117893"/>
      <name val="Arial Cyr"/>
      <charset val="204"/>
    </font>
    <font>
      <b/>
      <sz val="10"/>
      <color theme="5" tint="0.39997558519241921"/>
      <name val="Arial Cyr"/>
      <charset val="204"/>
    </font>
    <font>
      <sz val="10"/>
      <color theme="6" tint="-0.249977111117893"/>
      <name val="Arial Cyr"/>
      <charset val="204"/>
    </font>
    <font>
      <b/>
      <sz val="10"/>
      <color theme="7" tint="-0.249977111117893"/>
      <name val="Arial Cyr"/>
      <charset val="204"/>
    </font>
    <font>
      <sz val="10"/>
      <color theme="0" tint="-0.14999847407452621"/>
      <name val="Arial Cyr"/>
      <charset val="204"/>
    </font>
    <font>
      <sz val="14"/>
      <name val="Arial Cyr"/>
      <charset val="204"/>
    </font>
    <font>
      <b/>
      <sz val="10"/>
      <color theme="6" tint="-0.249977111117893"/>
      <name val="Arial Cyr"/>
      <charset val="204"/>
    </font>
    <font>
      <b/>
      <sz val="10"/>
      <color indexed="10"/>
      <name val="Arial Cyr"/>
      <charset val="204"/>
    </font>
    <font>
      <sz val="8"/>
      <color theme="6" tint="-0.249977111117893"/>
      <name val="Arial Cyr"/>
      <charset val="204"/>
    </font>
    <font>
      <sz val="8"/>
      <color rgb="FFFF0000"/>
      <name val="Arial Cyr"/>
      <charset val="204"/>
    </font>
    <font>
      <b/>
      <sz val="8"/>
      <color theme="7" tint="0.39997558519241921"/>
      <name val="Arial Cyr"/>
      <charset val="204"/>
    </font>
    <font>
      <b/>
      <sz val="8"/>
      <color theme="3" tint="0.39997558519241921"/>
      <name val="Arial Cyr"/>
      <charset val="204"/>
    </font>
    <font>
      <b/>
      <sz val="10"/>
      <color theme="7" tint="0.39997558519241921"/>
      <name val="Arial Cyr"/>
      <charset val="204"/>
    </font>
    <font>
      <b/>
      <sz val="10"/>
      <color theme="5" tint="-0.249977111117893"/>
      <name val="Arial Cyr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i/>
      <sz val="14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8"/>
      <color rgb="FFFF0000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b/>
      <i/>
      <sz val="11"/>
      <color indexed="8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9"/>
      <color indexed="8"/>
      <name val="Times New Roman"/>
      <family val="1"/>
      <charset val="204"/>
    </font>
    <font>
      <b/>
      <sz val="11"/>
      <color theme="1"/>
      <name val="Arial"/>
      <family val="2"/>
      <charset val="204"/>
    </font>
    <font>
      <sz val="9"/>
      <color theme="1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7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sz val="8"/>
      <color rgb="FFFF0000"/>
      <name val="Arial"/>
      <family val="2"/>
      <charset val="204"/>
    </font>
    <font>
      <i/>
      <sz val="8"/>
      <color theme="1"/>
      <name val="Arial"/>
      <family val="2"/>
      <charset val="204"/>
    </font>
    <font>
      <sz val="9"/>
      <name val="Times New Roman"/>
      <family val="1"/>
      <charset val="204"/>
    </font>
    <font>
      <sz val="12"/>
      <name val="Arial Cyr"/>
      <charset val="204"/>
    </font>
    <font>
      <b/>
      <sz val="14"/>
      <name val="Arial Cyr"/>
      <charset val="204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0"/>
      <color theme="0"/>
      <name val="Arial Cyr"/>
      <charset val="204"/>
    </font>
    <font>
      <b/>
      <sz val="9"/>
      <color theme="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12"/>
      <color theme="1"/>
      <name val="Calibri"/>
      <family val="2"/>
      <charset val="204"/>
      <scheme val="minor"/>
    </font>
    <font>
      <b/>
      <sz val="8"/>
      <name val="Arial Cyr"/>
      <charset val="204"/>
    </font>
    <font>
      <sz val="10"/>
      <color indexed="12"/>
      <name val="Arial Cyr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rgb="FFFF0000"/>
      <name val="Arial Cyr"/>
      <charset val="204"/>
    </font>
    <font>
      <sz val="12"/>
      <color theme="1"/>
      <name val="Calibri"/>
      <family val="2"/>
      <charset val="204"/>
      <scheme val="minor"/>
    </font>
    <font>
      <sz val="9"/>
      <color theme="1"/>
      <name val="Arial Cyr"/>
      <charset val="204"/>
    </font>
    <font>
      <sz val="10"/>
      <color theme="1"/>
      <name val="Arial Cyr"/>
      <charset val="204"/>
    </font>
    <font>
      <sz val="12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Arial Cyr"/>
      <charset val="204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7" fillId="0" borderId="0" applyNumberFormat="0" applyFont="0" applyFill="0" applyBorder="0" applyAlignment="0" applyProtection="0">
      <alignment vertical="top"/>
    </xf>
    <xf numFmtId="0" fontId="33" fillId="0" borderId="0"/>
    <xf numFmtId="0" fontId="75" fillId="0" borderId="0"/>
    <xf numFmtId="0" fontId="78" fillId="0" borderId="0"/>
  </cellStyleXfs>
  <cellXfs count="467">
    <xf numFmtId="0" fontId="0" fillId="0" borderId="0" xfId="0"/>
    <xf numFmtId="0" fontId="2" fillId="0" borderId="0" xfId="0" applyFont="1"/>
    <xf numFmtId="0" fontId="0" fillId="0" borderId="1" xfId="0" applyBorder="1"/>
    <xf numFmtId="4" fontId="2" fillId="0" borderId="1" xfId="0" applyNumberFormat="1" applyFont="1" applyBorder="1"/>
    <xf numFmtId="0" fontId="0" fillId="0" borderId="0" xfId="0" applyBorder="1"/>
    <xf numFmtId="4" fontId="0" fillId="0" borderId="1" xfId="0" applyNumberFormat="1" applyBorder="1"/>
    <xf numFmtId="0" fontId="0" fillId="0" borderId="0" xfId="0" applyBorder="1" applyAlignment="1">
      <alignment wrapText="1"/>
    </xf>
    <xf numFmtId="0" fontId="2" fillId="0" borderId="1" xfId="0" applyFont="1" applyBorder="1"/>
    <xf numFmtId="0" fontId="2" fillId="0" borderId="0" xfId="0" applyFont="1" applyBorder="1"/>
    <xf numFmtId="4" fontId="3" fillId="0" borderId="1" xfId="0" applyNumberFormat="1" applyFont="1" applyBorder="1"/>
    <xf numFmtId="4" fontId="0" fillId="0" borderId="1" xfId="0" applyNumberFormat="1" applyFont="1" applyBorder="1"/>
    <xf numFmtId="0" fontId="0" fillId="0" borderId="0" xfId="0" applyAlignment="1">
      <alignment horizontal="right"/>
    </xf>
    <xf numFmtId="4" fontId="0" fillId="2" borderId="1" xfId="0" applyNumberFormat="1" applyFill="1" applyBorder="1"/>
    <xf numFmtId="0" fontId="4" fillId="0" borderId="0" xfId="0" applyFont="1" applyAlignment="1">
      <alignment horizontal="center"/>
    </xf>
    <xf numFmtId="4" fontId="0" fillId="0" borderId="0" xfId="0" applyNumberFormat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4" fontId="2" fillId="0" borderId="0" xfId="0" applyNumberFormat="1" applyFont="1" applyBorder="1"/>
    <xf numFmtId="0" fontId="0" fillId="0" borderId="0" xfId="0" applyFill="1"/>
    <xf numFmtId="49" fontId="8" fillId="0" borderId="0" xfId="1" applyNumberFormat="1" applyFont="1" applyFill="1" applyBorder="1" applyAlignment="1" applyProtection="1">
      <alignment horizontal="left" vertical="top"/>
    </xf>
    <xf numFmtId="0" fontId="8" fillId="0" borderId="0" xfId="1" applyNumberFormat="1" applyFont="1" applyFill="1" applyBorder="1" applyAlignment="1" applyProtection="1">
      <alignment horizontal="left" vertical="top" indent="1"/>
    </xf>
    <xf numFmtId="164" fontId="9" fillId="0" borderId="0" xfId="0" applyNumberFormat="1" applyFont="1"/>
    <xf numFmtId="164" fontId="10" fillId="0" borderId="0" xfId="0" applyNumberFormat="1" applyFont="1"/>
    <xf numFmtId="0" fontId="2" fillId="0" borderId="0" xfId="0" applyFont="1" applyFill="1"/>
    <xf numFmtId="0" fontId="0" fillId="0" borderId="0" xfId="0" applyAlignment="1">
      <alignment wrapText="1"/>
    </xf>
    <xf numFmtId="164" fontId="0" fillId="0" borderId="0" xfId="0" applyNumberFormat="1" applyFill="1"/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textRotation="90"/>
    </xf>
    <xf numFmtId="0" fontId="13" fillId="0" borderId="1" xfId="0" applyFont="1" applyFill="1" applyBorder="1" applyAlignment="1">
      <alignment horizontal="left" vertical="center" textRotation="90" wrapText="1"/>
    </xf>
    <xf numFmtId="0" fontId="0" fillId="0" borderId="1" xfId="0" applyFill="1" applyBorder="1" applyAlignment="1">
      <alignment textRotation="90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0" fillId="0" borderId="1" xfId="0" applyFill="1" applyBorder="1" applyAlignment="1">
      <alignment textRotation="90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vertical="center" textRotation="90" wrapText="1"/>
    </xf>
    <xf numFmtId="0" fontId="0" fillId="0" borderId="0" xfId="0" applyBorder="1" applyAlignment="1">
      <alignment textRotation="90"/>
    </xf>
    <xf numFmtId="0" fontId="0" fillId="0" borderId="1" xfId="0" applyFill="1" applyBorder="1"/>
    <xf numFmtId="0" fontId="14" fillId="0" borderId="1" xfId="1" applyNumberFormat="1" applyFont="1" applyFill="1" applyBorder="1" applyAlignment="1" applyProtection="1">
      <alignment horizontal="left" vertical="center" indent="1"/>
    </xf>
    <xf numFmtId="0" fontId="9" fillId="0" borderId="1" xfId="0" applyFont="1" applyFill="1" applyBorder="1" applyAlignment="1">
      <alignment horizontal="center"/>
    </xf>
    <xf numFmtId="0" fontId="0" fillId="0" borderId="0" xfId="0" applyFill="1" applyBorder="1"/>
    <xf numFmtId="0" fontId="1" fillId="4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2" fontId="0" fillId="4" borderId="1" xfId="0" applyNumberFormat="1" applyFill="1" applyBorder="1"/>
    <xf numFmtId="4" fontId="0" fillId="4" borderId="1" xfId="0" applyNumberForma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2" fontId="0" fillId="4" borderId="1" xfId="0" applyNumberFormat="1" applyFont="1" applyFill="1" applyBorder="1"/>
    <xf numFmtId="0" fontId="0" fillId="4" borderId="1" xfId="0" applyFont="1" applyFill="1" applyBorder="1"/>
    <xf numFmtId="4" fontId="2" fillId="4" borderId="1" xfId="0" applyNumberFormat="1" applyFont="1" applyFill="1" applyBorder="1"/>
    <xf numFmtId="4" fontId="9" fillId="4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/>
    <xf numFmtId="4" fontId="0" fillId="4" borderId="1" xfId="0" applyNumberFormat="1" applyFont="1" applyFill="1" applyBorder="1"/>
    <xf numFmtId="0" fontId="0" fillId="4" borderId="0" xfId="0" applyFill="1"/>
    <xf numFmtId="4" fontId="2" fillId="5" borderId="0" xfId="0" applyNumberFormat="1" applyFont="1" applyFill="1" applyBorder="1" applyAlignment="1">
      <alignment wrapText="1"/>
    </xf>
    <xf numFmtId="2" fontId="0" fillId="0" borderId="0" xfId="0" applyNumberFormat="1"/>
    <xf numFmtId="4" fontId="0" fillId="0" borderId="0" xfId="0" applyNumberFormat="1"/>
    <xf numFmtId="0" fontId="2" fillId="6" borderId="0" xfId="0" applyFont="1" applyFill="1"/>
    <xf numFmtId="0" fontId="0" fillId="0" borderId="0" xfId="0" applyFill="1" applyAlignment="1">
      <alignment wrapText="1"/>
    </xf>
    <xf numFmtId="0" fontId="2" fillId="7" borderId="0" xfId="0" applyFont="1" applyFill="1"/>
    <xf numFmtId="0" fontId="2" fillId="8" borderId="0" xfId="0" applyFont="1" applyFill="1"/>
    <xf numFmtId="0" fontId="0" fillId="0" borderId="0" xfId="0" applyFont="1" applyFill="1"/>
    <xf numFmtId="0" fontId="17" fillId="0" borderId="0" xfId="0" applyFont="1"/>
    <xf numFmtId="0" fontId="1" fillId="0" borderId="0" xfId="0" applyFont="1"/>
    <xf numFmtId="4" fontId="20" fillId="0" borderId="0" xfId="0" applyNumberFormat="1" applyFont="1" applyFill="1"/>
    <xf numFmtId="0" fontId="17" fillId="0" borderId="0" xfId="0" applyFont="1" applyFill="1"/>
    <xf numFmtId="4" fontId="2" fillId="0" borderId="0" xfId="0" applyNumberFormat="1" applyFont="1"/>
    <xf numFmtId="4" fontId="18" fillId="0" borderId="0" xfId="0" applyNumberFormat="1" applyFont="1" applyFill="1"/>
    <xf numFmtId="0" fontId="21" fillId="0" borderId="0" xfId="0" applyFont="1" applyFill="1"/>
    <xf numFmtId="4" fontId="24" fillId="0" borderId="0" xfId="0" quotePrefix="1" applyNumberFormat="1" applyFont="1"/>
    <xf numFmtId="0" fontId="25" fillId="9" borderId="0" xfId="0" applyFont="1" applyFill="1"/>
    <xf numFmtId="0" fontId="21" fillId="9" borderId="0" xfId="0" applyFont="1" applyFill="1"/>
    <xf numFmtId="0" fontId="2" fillId="0" borderId="0" xfId="0" applyFont="1" applyBorder="1" applyAlignment="1">
      <alignment vertical="center" textRotation="90"/>
    </xf>
    <xf numFmtId="4" fontId="26" fillId="0" borderId="0" xfId="0" applyNumberFormat="1" applyFont="1"/>
    <xf numFmtId="0" fontId="0" fillId="0" borderId="0" xfId="0" applyAlignment="1">
      <alignment horizontal="center"/>
    </xf>
    <xf numFmtId="0" fontId="13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textRotation="90"/>
    </xf>
    <xf numFmtId="0" fontId="13" fillId="0" borderId="6" xfId="0" applyFont="1" applyFill="1" applyBorder="1" applyAlignment="1">
      <alignment horizontal="left" vertical="center" textRotation="90" wrapText="1"/>
    </xf>
    <xf numFmtId="0" fontId="27" fillId="0" borderId="6" xfId="0" applyFont="1" applyFill="1" applyBorder="1" applyAlignment="1">
      <alignment horizontal="left" vertical="center" textRotation="90" wrapText="1"/>
    </xf>
    <xf numFmtId="0" fontId="28" fillId="0" borderId="6" xfId="0" applyFont="1" applyFill="1" applyBorder="1" applyAlignment="1">
      <alignment horizontal="left" vertical="center" textRotation="90" wrapText="1"/>
    </xf>
    <xf numFmtId="0" fontId="27" fillId="0" borderId="1" xfId="0" applyFont="1" applyFill="1" applyBorder="1" applyAlignment="1">
      <alignment horizontal="left" vertical="center" textRotation="90" wrapText="1"/>
    </xf>
    <xf numFmtId="0" fontId="29" fillId="0" borderId="1" xfId="0" applyFont="1" applyFill="1" applyBorder="1" applyAlignment="1">
      <alignment horizontal="left" vertical="center" textRotation="90" wrapText="1"/>
    </xf>
    <xf numFmtId="0" fontId="30" fillId="0" borderId="1" xfId="0" applyFont="1" applyFill="1" applyBorder="1" applyAlignment="1">
      <alignment horizontal="left" vertical="center" textRotation="90" wrapText="1"/>
    </xf>
    <xf numFmtId="0" fontId="13" fillId="10" borderId="1" xfId="0" applyFont="1" applyFill="1" applyBorder="1" applyAlignment="1">
      <alignment horizontal="left" vertical="center" textRotation="90" wrapText="1"/>
    </xf>
    <xf numFmtId="0" fontId="13" fillId="10" borderId="4" xfId="0" applyFont="1" applyFill="1" applyBorder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left" vertical="center" textRotation="90" wrapText="1"/>
    </xf>
    <xf numFmtId="0" fontId="13" fillId="0" borderId="0" xfId="0" applyFont="1" applyFill="1" applyBorder="1" applyAlignment="1">
      <alignment horizontal="left" vertical="center" textRotation="90" wrapText="1"/>
    </xf>
    <xf numFmtId="0" fontId="13" fillId="11" borderId="1" xfId="0" applyFont="1" applyFill="1" applyBorder="1" applyAlignment="1">
      <alignment horizontal="left" vertical="center" textRotation="90" wrapText="1"/>
    </xf>
    <xf numFmtId="10" fontId="0" fillId="0" borderId="0" xfId="0" applyNumberFormat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 vertical="center" wrapText="1"/>
    </xf>
    <xf numFmtId="0" fontId="1" fillId="11" borderId="1" xfId="0" applyFont="1" applyFill="1" applyBorder="1"/>
    <xf numFmtId="2" fontId="0" fillId="0" borderId="1" xfId="0" applyNumberFormat="1" applyBorder="1"/>
    <xf numFmtId="164" fontId="0" fillId="0" borderId="1" xfId="0" applyNumberFormat="1" applyFill="1" applyBorder="1"/>
    <xf numFmtId="164" fontId="0" fillId="12" borderId="1" xfId="0" applyNumberFormat="1" applyFill="1" applyBorder="1"/>
    <xf numFmtId="2" fontId="0" fillId="0" borderId="1" xfId="0" applyNumberFormat="1" applyFill="1" applyBorder="1"/>
    <xf numFmtId="2" fontId="31" fillId="0" borderId="1" xfId="0" applyNumberFormat="1" applyFont="1" applyBorder="1"/>
    <xf numFmtId="2" fontId="3" fillId="0" borderId="1" xfId="0" applyNumberFormat="1" applyFont="1" applyBorder="1"/>
    <xf numFmtId="4" fontId="32" fillId="0" borderId="1" xfId="0" applyNumberFormat="1" applyFont="1" applyBorder="1"/>
    <xf numFmtId="4" fontId="20" fillId="0" borderId="1" xfId="0" applyNumberFormat="1" applyFont="1" applyFill="1" applyBorder="1"/>
    <xf numFmtId="4" fontId="2" fillId="5" borderId="1" xfId="0" applyNumberFormat="1" applyFont="1" applyFill="1" applyBorder="1"/>
    <xf numFmtId="4" fontId="0" fillId="11" borderId="0" xfId="0" applyNumberFormat="1" applyFill="1" applyBorder="1"/>
    <xf numFmtId="2" fontId="0" fillId="0" borderId="0" xfId="0" applyNumberForma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2" fontId="0" fillId="0" borderId="0" xfId="0" applyNumberFormat="1" applyFill="1" applyBorder="1"/>
    <xf numFmtId="164" fontId="0" fillId="0" borderId="0" xfId="0" applyNumberFormat="1" applyFill="1" applyBorder="1"/>
    <xf numFmtId="2" fontId="31" fillId="0" borderId="0" xfId="0" applyNumberFormat="1" applyFont="1" applyBorder="1"/>
    <xf numFmtId="2" fontId="3" fillId="0" borderId="0" xfId="0" applyNumberFormat="1" applyFont="1" applyBorder="1"/>
    <xf numFmtId="4" fontId="20" fillId="0" borderId="0" xfId="0" applyNumberFormat="1" applyFont="1" applyFill="1" applyBorder="1"/>
    <xf numFmtId="4" fontId="32" fillId="0" borderId="0" xfId="0" applyNumberFormat="1" applyFont="1" applyBorder="1"/>
    <xf numFmtId="0" fontId="0" fillId="0" borderId="0" xfId="0" applyFill="1" applyAlignment="1">
      <alignment horizontal="left"/>
    </xf>
    <xf numFmtId="4" fontId="2" fillId="0" borderId="0" xfId="0" applyNumberFormat="1" applyFont="1" applyFill="1"/>
    <xf numFmtId="49" fontId="34" fillId="0" borderId="0" xfId="2" applyNumberFormat="1" applyFont="1" applyFill="1" applyAlignment="1"/>
    <xf numFmtId="0" fontId="35" fillId="0" borderId="0" xfId="2" applyNumberFormat="1" applyFont="1" applyFill="1" applyAlignment="1">
      <alignment horizontal="center" vertical="center"/>
    </xf>
    <xf numFmtId="2" fontId="34" fillId="0" borderId="0" xfId="2" applyNumberFormat="1" applyFont="1" applyFill="1" applyAlignment="1">
      <alignment horizontal="center" vertical="top"/>
    </xf>
    <xf numFmtId="1" fontId="34" fillId="0" borderId="0" xfId="2" applyNumberFormat="1" applyFont="1" applyAlignment="1">
      <alignment horizontal="center" vertical="top"/>
    </xf>
    <xf numFmtId="2" fontId="34" fillId="0" borderId="0" xfId="2" applyNumberFormat="1" applyFont="1" applyAlignment="1">
      <alignment horizontal="left" vertical="top" wrapText="1"/>
    </xf>
    <xf numFmtId="4" fontId="34" fillId="0" borderId="0" xfId="2" applyNumberFormat="1" applyFont="1" applyAlignment="1"/>
    <xf numFmtId="2" fontId="34" fillId="0" borderId="0" xfId="2" applyNumberFormat="1" applyFont="1" applyAlignment="1">
      <alignment horizontal="center" vertical="center"/>
    </xf>
    <xf numFmtId="2" fontId="34" fillId="13" borderId="1" xfId="2" applyNumberFormat="1" applyFont="1" applyFill="1" applyBorder="1" applyAlignment="1">
      <alignment horizontal="center" vertical="center"/>
    </xf>
    <xf numFmtId="4" fontId="36" fillId="13" borderId="1" xfId="2" applyNumberFormat="1" applyFont="1" applyFill="1" applyBorder="1" applyAlignment="1">
      <alignment horizontal="right"/>
    </xf>
    <xf numFmtId="4" fontId="34" fillId="0" borderId="0" xfId="2" applyNumberFormat="1" applyFont="1" applyFill="1" applyAlignment="1"/>
    <xf numFmtId="2" fontId="34" fillId="0" borderId="0" xfId="2" applyNumberFormat="1" applyFont="1" applyFill="1" applyAlignment="1"/>
    <xf numFmtId="2" fontId="34" fillId="0" borderId="0" xfId="2" applyNumberFormat="1" applyFont="1" applyFill="1" applyAlignment="1">
      <alignment horizontal="left" vertical="top" wrapText="1"/>
    </xf>
    <xf numFmtId="4" fontId="34" fillId="0" borderId="0" xfId="2" applyNumberFormat="1" applyFont="1" applyAlignment="1">
      <alignment horizontal="center" wrapText="1"/>
    </xf>
    <xf numFmtId="2" fontId="34" fillId="14" borderId="1" xfId="2" applyNumberFormat="1" applyFont="1" applyFill="1" applyBorder="1" applyAlignment="1">
      <alignment horizontal="center" vertical="center"/>
    </xf>
    <xf numFmtId="4" fontId="39" fillId="14" borderId="6" xfId="2" applyNumberFormat="1" applyFont="1" applyFill="1" applyBorder="1" applyAlignment="1">
      <alignment horizontal="right" wrapText="1"/>
    </xf>
    <xf numFmtId="2" fontId="41" fillId="0" borderId="0" xfId="2" applyNumberFormat="1" applyFont="1" applyFill="1" applyAlignment="1"/>
    <xf numFmtId="49" fontId="34" fillId="0" borderId="1" xfId="2" applyNumberFormat="1" applyFont="1" applyBorder="1" applyAlignment="1">
      <alignment horizontal="center" vertical="center"/>
    </xf>
    <xf numFmtId="2" fontId="34" fillId="0" borderId="1" xfId="2" applyNumberFormat="1" applyFont="1" applyBorder="1" applyAlignment="1">
      <alignment horizontal="left" vertical="center" wrapText="1"/>
    </xf>
    <xf numFmtId="1" fontId="34" fillId="0" borderId="1" xfId="2" applyNumberFormat="1" applyFont="1" applyBorder="1" applyAlignment="1">
      <alignment horizontal="center" vertical="center" wrapText="1"/>
    </xf>
    <xf numFmtId="1" fontId="42" fillId="0" borderId="1" xfId="2" applyNumberFormat="1" applyFont="1" applyBorder="1" applyAlignment="1">
      <alignment horizontal="center" vertical="center"/>
    </xf>
    <xf numFmtId="1" fontId="34" fillId="0" borderId="10" xfId="2" applyNumberFormat="1" applyFont="1" applyBorder="1" applyAlignment="1">
      <alignment horizontal="center" vertical="center" wrapText="1"/>
    </xf>
    <xf numFmtId="0" fontId="43" fillId="0" borderId="11" xfId="2" applyFont="1" applyBorder="1" applyAlignment="1">
      <alignment horizontal="right" vertical="center"/>
    </xf>
    <xf numFmtId="2" fontId="34" fillId="0" borderId="0" xfId="2" applyNumberFormat="1" applyFont="1" applyFill="1" applyAlignment="1">
      <alignment horizontal="center"/>
    </xf>
    <xf numFmtId="2" fontId="34" fillId="0" borderId="1" xfId="2" applyNumberFormat="1" applyFont="1" applyBorder="1" applyAlignment="1">
      <alignment horizontal="center" vertical="center" wrapText="1"/>
    </xf>
    <xf numFmtId="1" fontId="34" fillId="0" borderId="1" xfId="2" applyNumberFormat="1" applyFont="1" applyFill="1" applyBorder="1" applyAlignment="1">
      <alignment horizontal="center" vertical="center" wrapText="1"/>
    </xf>
    <xf numFmtId="2" fontId="34" fillId="0" borderId="1" xfId="2" applyNumberFormat="1" applyFont="1" applyFill="1" applyBorder="1" applyAlignment="1">
      <alignment horizontal="center" vertical="center" wrapText="1"/>
    </xf>
    <xf numFmtId="4" fontId="44" fillId="0" borderId="1" xfId="2" applyNumberFormat="1" applyFont="1" applyBorder="1" applyAlignment="1">
      <alignment horizontal="center" vertical="center" textRotation="90"/>
    </xf>
    <xf numFmtId="2" fontId="34" fillId="0" borderId="3" xfId="2" applyNumberFormat="1" applyFont="1" applyFill="1" applyBorder="1" applyAlignment="1">
      <alignment horizontal="center" vertical="center" wrapText="1"/>
    </xf>
    <xf numFmtId="0" fontId="45" fillId="13" borderId="12" xfId="2" applyFont="1" applyFill="1" applyBorder="1" applyAlignment="1">
      <alignment horizontal="center" vertical="center" wrapText="1"/>
    </xf>
    <xf numFmtId="4" fontId="45" fillId="13" borderId="12" xfId="2" applyNumberFormat="1" applyFont="1" applyFill="1" applyBorder="1" applyAlignment="1">
      <alignment horizontal="center" vertical="center" wrapText="1"/>
    </xf>
    <xf numFmtId="49" fontId="46" fillId="15" borderId="1" xfId="2" applyNumberFormat="1" applyFont="1" applyFill="1" applyBorder="1" applyAlignment="1">
      <alignment horizontal="center" vertical="center"/>
    </xf>
    <xf numFmtId="2" fontId="46" fillId="15" borderId="1" xfId="2" applyNumberFormat="1" applyFont="1" applyFill="1" applyBorder="1" applyAlignment="1">
      <alignment horizontal="left" vertical="center" wrapText="1"/>
    </xf>
    <xf numFmtId="2" fontId="46" fillId="15" borderId="7" xfId="2" applyNumberFormat="1" applyFont="1" applyFill="1" applyBorder="1" applyAlignment="1">
      <alignment horizontal="left" vertical="center" wrapText="1"/>
    </xf>
    <xf numFmtId="1" fontId="46" fillId="15" borderId="7" xfId="2" applyNumberFormat="1" applyFont="1" applyFill="1" applyBorder="1" applyAlignment="1">
      <alignment horizontal="center" vertical="center" wrapText="1"/>
    </xf>
    <xf numFmtId="4" fontId="47" fillId="15" borderId="7" xfId="2" applyNumberFormat="1" applyFont="1" applyFill="1" applyBorder="1" applyAlignment="1">
      <alignment horizontal="right" wrapText="1"/>
    </xf>
    <xf numFmtId="2" fontId="46" fillId="15" borderId="7" xfId="2" applyNumberFormat="1" applyFont="1" applyFill="1" applyBorder="1" applyAlignment="1">
      <alignment horizontal="center" vertical="center" wrapText="1"/>
    </xf>
    <xf numFmtId="4" fontId="45" fillId="15" borderId="13" xfId="2" applyNumberFormat="1" applyFont="1" applyFill="1" applyBorder="1" applyAlignment="1">
      <alignment horizontal="right" wrapText="1"/>
    </xf>
    <xf numFmtId="4" fontId="45" fillId="15" borderId="14" xfId="2" applyNumberFormat="1" applyFont="1" applyFill="1" applyBorder="1" applyAlignment="1">
      <alignment horizontal="right" wrapText="1"/>
    </xf>
    <xf numFmtId="49" fontId="46" fillId="16" borderId="1" xfId="2" applyNumberFormat="1" applyFont="1" applyFill="1" applyBorder="1" applyAlignment="1">
      <alignment horizontal="center" vertical="center"/>
    </xf>
    <xf numFmtId="2" fontId="46" fillId="16" borderId="1" xfId="2" applyNumberFormat="1" applyFont="1" applyFill="1" applyBorder="1" applyAlignment="1">
      <alignment horizontal="left" vertical="center" wrapText="1"/>
    </xf>
    <xf numFmtId="1" fontId="46" fillId="16" borderId="1" xfId="2" applyNumberFormat="1" applyFont="1" applyFill="1" applyBorder="1" applyAlignment="1">
      <alignment horizontal="center" vertical="center" wrapText="1"/>
    </xf>
    <xf numFmtId="4" fontId="46" fillId="16" borderId="1" xfId="2" applyNumberFormat="1" applyFont="1" applyFill="1" applyBorder="1" applyAlignment="1">
      <alignment horizontal="center" vertical="center"/>
    </xf>
    <xf numFmtId="2" fontId="46" fillId="16" borderId="1" xfId="2" applyNumberFormat="1" applyFont="1" applyFill="1" applyBorder="1" applyAlignment="1">
      <alignment horizontal="center" vertical="center" wrapText="1"/>
    </xf>
    <xf numFmtId="2" fontId="46" fillId="16" borderId="3" xfId="2" applyNumberFormat="1" applyFont="1" applyFill="1" applyBorder="1" applyAlignment="1">
      <alignment horizontal="left" vertical="center" wrapText="1"/>
    </xf>
    <xf numFmtId="4" fontId="48" fillId="16" borderId="15" xfId="2" applyNumberFormat="1" applyFont="1" applyFill="1" applyBorder="1" applyAlignment="1">
      <alignment horizontal="right" vertical="center"/>
    </xf>
    <xf numFmtId="4" fontId="48" fillId="16" borderId="16" xfId="2" applyNumberFormat="1" applyFont="1" applyFill="1" applyBorder="1" applyAlignment="1">
      <alignment horizontal="right" vertical="center"/>
    </xf>
    <xf numFmtId="2" fontId="34" fillId="0" borderId="1" xfId="2" applyNumberFormat="1" applyFont="1" applyFill="1" applyBorder="1" applyAlignment="1">
      <alignment horizontal="left" vertical="center" wrapText="1"/>
    </xf>
    <xf numFmtId="2" fontId="49" fillId="13" borderId="1" xfId="2" applyNumberFormat="1" applyFont="1" applyFill="1" applyBorder="1" applyAlignment="1"/>
    <xf numFmtId="4" fontId="34" fillId="0" borderId="1" xfId="2" applyNumberFormat="1" applyFont="1" applyFill="1" applyBorder="1" applyAlignment="1">
      <alignment horizontal="center" vertical="center"/>
    </xf>
    <xf numFmtId="165" fontId="34" fillId="17" borderId="3" xfId="2" applyNumberFormat="1" applyFont="1" applyFill="1" applyBorder="1" applyAlignment="1">
      <alignment horizontal="center" vertical="center"/>
    </xf>
    <xf numFmtId="4" fontId="39" fillId="0" borderId="15" xfId="2" applyNumberFormat="1" applyFont="1" applyFill="1" applyBorder="1" applyAlignment="1">
      <alignment horizontal="right"/>
    </xf>
    <xf numFmtId="4" fontId="39" fillId="0" borderId="16" xfId="2" applyNumberFormat="1" applyFont="1" applyFill="1" applyBorder="1" applyAlignment="1">
      <alignment horizontal="right"/>
    </xf>
    <xf numFmtId="2" fontId="34" fillId="0" borderId="1" xfId="2" applyNumberFormat="1" applyFont="1" applyBorder="1" applyAlignment="1">
      <alignment horizontal="center" wrapText="1"/>
    </xf>
    <xf numFmtId="1" fontId="34" fillId="0" borderId="1" xfId="2" applyNumberFormat="1" applyFont="1" applyFill="1" applyBorder="1" applyAlignment="1">
      <alignment horizontal="center" wrapText="1"/>
    </xf>
    <xf numFmtId="2" fontId="34" fillId="0" borderId="1" xfId="2" applyNumberFormat="1" applyFont="1" applyFill="1" applyBorder="1" applyAlignment="1">
      <alignment horizontal="left" wrapText="1"/>
    </xf>
    <xf numFmtId="2" fontId="34" fillId="0" borderId="1" xfId="2" applyNumberFormat="1" applyFont="1" applyBorder="1" applyAlignment="1">
      <alignment horizontal="left" vertical="center"/>
    </xf>
    <xf numFmtId="49" fontId="34" fillId="0" borderId="1" xfId="2" applyNumberFormat="1" applyFont="1" applyFill="1" applyBorder="1" applyAlignment="1">
      <alignment horizontal="center" vertical="center"/>
    </xf>
    <xf numFmtId="2" fontId="34" fillId="0" borderId="1" xfId="2" applyNumberFormat="1" applyFont="1" applyFill="1" applyBorder="1" applyAlignment="1">
      <alignment horizontal="left" vertical="center"/>
    </xf>
    <xf numFmtId="2" fontId="50" fillId="13" borderId="1" xfId="2" applyNumberFormat="1" applyFont="1" applyFill="1" applyBorder="1" applyAlignment="1"/>
    <xf numFmtId="2" fontId="46" fillId="0" borderId="1" xfId="2" applyNumberFormat="1" applyFont="1" applyFill="1" applyBorder="1" applyAlignment="1">
      <alignment horizontal="center" vertical="center" wrapText="1"/>
    </xf>
    <xf numFmtId="165" fontId="46" fillId="17" borderId="3" xfId="2" applyNumberFormat="1" applyFont="1" applyFill="1" applyBorder="1" applyAlignment="1">
      <alignment horizontal="center" vertical="center" wrapText="1"/>
    </xf>
    <xf numFmtId="4" fontId="39" fillId="16" borderId="16" xfId="2" applyNumberFormat="1" applyFont="1" applyFill="1" applyBorder="1" applyAlignment="1">
      <alignment horizontal="right"/>
    </xf>
    <xf numFmtId="2" fontId="34" fillId="0" borderId="1" xfId="2" applyNumberFormat="1" applyFont="1" applyFill="1" applyBorder="1" applyAlignment="1">
      <alignment horizontal="center" vertical="center"/>
    </xf>
    <xf numFmtId="2" fontId="51" fillId="0" borderId="1" xfId="2" applyNumberFormat="1" applyFont="1" applyBorder="1" applyAlignment="1">
      <alignment horizontal="center" vertical="center" wrapText="1"/>
    </xf>
    <xf numFmtId="4" fontId="39" fillId="16" borderId="15" xfId="2" applyNumberFormat="1" applyFont="1" applyFill="1" applyBorder="1" applyAlignment="1">
      <alignment horizontal="right"/>
    </xf>
    <xf numFmtId="165" fontId="34" fillId="17" borderId="3" xfId="2" applyNumberFormat="1" applyFont="1" applyFill="1" applyBorder="1" applyAlignment="1">
      <alignment horizontal="center" vertical="center" wrapText="1"/>
    </xf>
    <xf numFmtId="49" fontId="34" fillId="18" borderId="1" xfId="2" applyNumberFormat="1" applyFont="1" applyFill="1" applyBorder="1" applyAlignment="1">
      <alignment horizontal="center" vertical="center"/>
    </xf>
    <xf numFmtId="2" fontId="34" fillId="18" borderId="1" xfId="2" applyNumberFormat="1" applyFont="1" applyFill="1" applyBorder="1" applyAlignment="1">
      <alignment horizontal="left" vertical="center"/>
    </xf>
    <xf numFmtId="2" fontId="34" fillId="18" borderId="1" xfId="2" applyNumberFormat="1" applyFont="1" applyFill="1" applyBorder="1" applyAlignment="1">
      <alignment horizontal="left" vertical="center" wrapText="1"/>
    </xf>
    <xf numFmtId="1" fontId="34" fillId="18" borderId="1" xfId="2" applyNumberFormat="1" applyFont="1" applyFill="1" applyBorder="1" applyAlignment="1">
      <alignment horizontal="center" vertical="center" wrapText="1"/>
    </xf>
    <xf numFmtId="2" fontId="49" fillId="18" borderId="1" xfId="2" applyNumberFormat="1" applyFont="1" applyFill="1" applyBorder="1" applyAlignment="1"/>
    <xf numFmtId="2" fontId="34" fillId="18" borderId="1" xfId="2" applyNumberFormat="1" applyFont="1" applyFill="1" applyBorder="1" applyAlignment="1">
      <alignment horizontal="center" vertical="center"/>
    </xf>
    <xf numFmtId="165" fontId="34" fillId="18" borderId="3" xfId="2" applyNumberFormat="1" applyFont="1" applyFill="1" applyBorder="1" applyAlignment="1">
      <alignment horizontal="center" vertical="center"/>
    </xf>
    <xf numFmtId="4" fontId="39" fillId="18" borderId="15" xfId="2" applyNumberFormat="1" applyFont="1" applyFill="1" applyBorder="1" applyAlignment="1">
      <alignment horizontal="right"/>
    </xf>
    <xf numFmtId="4" fontId="39" fillId="18" borderId="16" xfId="2" applyNumberFormat="1" applyFont="1" applyFill="1" applyBorder="1" applyAlignment="1">
      <alignment horizontal="right"/>
    </xf>
    <xf numFmtId="2" fontId="34" fillId="18" borderId="0" xfId="2" applyNumberFormat="1" applyFont="1" applyFill="1" applyAlignment="1">
      <alignment horizontal="center"/>
    </xf>
    <xf numFmtId="4" fontId="34" fillId="18" borderId="0" xfId="2" applyNumberFormat="1" applyFont="1" applyFill="1" applyAlignment="1"/>
    <xf numFmtId="2" fontId="34" fillId="18" borderId="0" xfId="2" applyNumberFormat="1" applyFont="1" applyFill="1" applyAlignment="1"/>
    <xf numFmtId="49" fontId="34" fillId="17" borderId="1" xfId="2" applyNumberFormat="1" applyFont="1" applyFill="1" applyBorder="1" applyAlignment="1">
      <alignment horizontal="center" vertical="center"/>
    </xf>
    <xf numFmtId="2" fontId="46" fillId="17" borderId="1" xfId="2" applyNumberFormat="1" applyFont="1" applyFill="1" applyBorder="1" applyAlignment="1">
      <alignment horizontal="left" vertical="center" wrapText="1"/>
    </xf>
    <xf numFmtId="1" fontId="46" fillId="17" borderId="1" xfId="2" applyNumberFormat="1" applyFont="1" applyFill="1" applyBorder="1" applyAlignment="1">
      <alignment horizontal="center" vertical="center" wrapText="1"/>
    </xf>
    <xf numFmtId="4" fontId="45" fillId="17" borderId="15" xfId="2" applyNumberFormat="1" applyFont="1" applyFill="1" applyBorder="1" applyAlignment="1">
      <alignment horizontal="right" vertical="top" wrapText="1"/>
    </xf>
    <xf numFmtId="4" fontId="45" fillId="17" borderId="16" xfId="2" applyNumberFormat="1" applyFont="1" applyFill="1" applyBorder="1" applyAlignment="1">
      <alignment horizontal="right" vertical="top" wrapText="1"/>
    </xf>
    <xf numFmtId="2" fontId="46" fillId="0" borderId="1" xfId="2" applyNumberFormat="1" applyFont="1" applyFill="1" applyBorder="1" applyAlignment="1">
      <alignment horizontal="left" vertical="center" wrapText="1"/>
    </xf>
    <xf numFmtId="1" fontId="46" fillId="0" borderId="1" xfId="2" applyNumberFormat="1" applyFont="1" applyFill="1" applyBorder="1" applyAlignment="1">
      <alignment horizontal="center" vertical="center" wrapText="1"/>
    </xf>
    <xf numFmtId="4" fontId="52" fillId="0" borderId="15" xfId="2" applyNumberFormat="1" applyFont="1" applyFill="1" applyBorder="1" applyAlignment="1">
      <alignment horizontal="right" vertical="top" wrapText="1"/>
    </xf>
    <xf numFmtId="4" fontId="52" fillId="0" borderId="16" xfId="2" applyNumberFormat="1" applyFont="1" applyFill="1" applyBorder="1" applyAlignment="1">
      <alignment horizontal="right" vertical="top" wrapText="1"/>
    </xf>
    <xf numFmtId="2" fontId="34" fillId="15" borderId="1" xfId="2" applyNumberFormat="1" applyFont="1" applyFill="1" applyBorder="1" applyAlignment="1">
      <alignment horizontal="left" vertical="center" wrapText="1"/>
    </xf>
    <xf numFmtId="1" fontId="34" fillId="15" borderId="1" xfId="2" applyNumberFormat="1" applyFont="1" applyFill="1" applyBorder="1" applyAlignment="1">
      <alignment horizontal="center" vertical="center" wrapText="1"/>
    </xf>
    <xf numFmtId="165" fontId="53" fillId="17" borderId="3" xfId="2" applyNumberFormat="1" applyFont="1" applyFill="1" applyBorder="1" applyAlignment="1">
      <alignment horizontal="center" vertical="center" wrapText="1"/>
    </xf>
    <xf numFmtId="4" fontId="52" fillId="15" borderId="16" xfId="2" applyNumberFormat="1" applyFont="1" applyFill="1" applyBorder="1" applyAlignment="1">
      <alignment horizontal="right" vertical="top" wrapText="1"/>
    </xf>
    <xf numFmtId="2" fontId="46" fillId="17" borderId="7" xfId="2" applyNumberFormat="1" applyFont="1" applyFill="1" applyBorder="1" applyAlignment="1">
      <alignment horizontal="left" vertical="center" wrapText="1"/>
    </xf>
    <xf numFmtId="1" fontId="46" fillId="17" borderId="7" xfId="2" applyNumberFormat="1" applyFont="1" applyFill="1" applyBorder="1" applyAlignment="1">
      <alignment horizontal="center" vertical="center" wrapText="1"/>
    </xf>
    <xf numFmtId="2" fontId="46" fillId="0" borderId="7" xfId="2" applyNumberFormat="1" applyFont="1" applyFill="1" applyBorder="1" applyAlignment="1">
      <alignment horizontal="center" vertical="center" wrapText="1"/>
    </xf>
    <xf numFmtId="165" fontId="46" fillId="17" borderId="7" xfId="2" applyNumberFormat="1" applyFont="1" applyFill="1" applyBorder="1" applyAlignment="1">
      <alignment horizontal="center" vertical="center" wrapText="1"/>
    </xf>
    <xf numFmtId="4" fontId="45" fillId="17" borderId="17" xfId="2" applyNumberFormat="1" applyFont="1" applyFill="1" applyBorder="1" applyAlignment="1">
      <alignment horizontal="right" vertical="top" wrapText="1"/>
    </xf>
    <xf numFmtId="4" fontId="45" fillId="17" borderId="18" xfId="2" applyNumberFormat="1" applyFont="1" applyFill="1" applyBorder="1" applyAlignment="1">
      <alignment horizontal="right" vertical="top" wrapText="1"/>
    </xf>
    <xf numFmtId="49" fontId="46" fillId="17" borderId="1" xfId="2" applyNumberFormat="1" applyFont="1" applyFill="1" applyBorder="1" applyAlignment="1">
      <alignment horizontal="center" vertical="center"/>
    </xf>
    <xf numFmtId="4" fontId="52" fillId="17" borderId="17" xfId="2" applyNumberFormat="1" applyFont="1" applyFill="1" applyBorder="1" applyAlignment="1">
      <alignment horizontal="right" vertical="top" wrapText="1"/>
    </xf>
    <xf numFmtId="4" fontId="52" fillId="17" borderId="18" xfId="2" applyNumberFormat="1" applyFont="1" applyFill="1" applyBorder="1" applyAlignment="1">
      <alignment horizontal="right" vertical="top" wrapText="1"/>
    </xf>
    <xf numFmtId="49" fontId="34" fillId="16" borderId="1" xfId="2" applyNumberFormat="1" applyFont="1" applyFill="1" applyBorder="1" applyAlignment="1">
      <alignment horizontal="center" vertical="center"/>
    </xf>
    <xf numFmtId="2" fontId="46" fillId="16" borderId="1" xfId="2" applyNumberFormat="1" applyFont="1" applyFill="1" applyBorder="1" applyAlignment="1">
      <alignment horizontal="left" vertical="center"/>
    </xf>
    <xf numFmtId="2" fontId="46" fillId="0" borderId="1" xfId="2" applyNumberFormat="1" applyFont="1" applyFill="1" applyBorder="1" applyAlignment="1">
      <alignment horizontal="center" vertical="center"/>
    </xf>
    <xf numFmtId="165" fontId="46" fillId="17" borderId="3" xfId="2" applyNumberFormat="1" applyFont="1" applyFill="1" applyBorder="1" applyAlignment="1">
      <alignment horizontal="center" vertical="center"/>
    </xf>
    <xf numFmtId="4" fontId="39" fillId="16" borderId="15" xfId="2" applyNumberFormat="1" applyFont="1" applyFill="1" applyBorder="1" applyAlignment="1">
      <alignment horizontal="right" vertical="center"/>
    </xf>
    <xf numFmtId="4" fontId="39" fillId="16" borderId="16" xfId="2" applyNumberFormat="1" applyFont="1" applyFill="1" applyBorder="1" applyAlignment="1">
      <alignment horizontal="right" vertical="center"/>
    </xf>
    <xf numFmtId="2" fontId="51" fillId="0" borderId="1" xfId="2" applyNumberFormat="1" applyFont="1" applyFill="1" applyBorder="1" applyAlignment="1">
      <alignment horizontal="center" vertical="center" wrapText="1"/>
    </xf>
    <xf numFmtId="1" fontId="34" fillId="0" borderId="0" xfId="2" applyNumberFormat="1" applyFont="1" applyFill="1" applyAlignment="1">
      <alignment horizontal="center" wrapText="1"/>
    </xf>
    <xf numFmtId="2" fontId="34" fillId="0" borderId="0" xfId="2" applyNumberFormat="1" applyFont="1" applyFill="1" applyAlignment="1">
      <alignment horizontal="left" wrapText="1"/>
    </xf>
    <xf numFmtId="4" fontId="34" fillId="5" borderId="0" xfId="2" applyNumberFormat="1" applyFont="1" applyFill="1" applyAlignment="1"/>
    <xf numFmtId="2" fontId="54" fillId="0" borderId="1" xfId="2" applyNumberFormat="1" applyFont="1" applyFill="1" applyBorder="1" applyAlignment="1">
      <alignment horizontal="center" vertical="center" wrapText="1"/>
    </xf>
    <xf numFmtId="1" fontId="34" fillId="0" borderId="1" xfId="2" applyNumberFormat="1" applyFont="1" applyFill="1" applyBorder="1" applyAlignment="1">
      <alignment horizontal="left" vertical="center" wrapText="1"/>
    </xf>
    <xf numFmtId="4" fontId="39" fillId="0" borderId="15" xfId="2" applyNumberFormat="1" applyFont="1" applyBorder="1" applyAlignment="1">
      <alignment horizontal="right"/>
    </xf>
    <xf numFmtId="4" fontId="39" fillId="0" borderId="16" xfId="2" applyNumberFormat="1" applyFont="1" applyBorder="1" applyAlignment="1">
      <alignment horizontal="right"/>
    </xf>
    <xf numFmtId="4" fontId="48" fillId="17" borderId="15" xfId="2" applyNumberFormat="1" applyFont="1" applyFill="1" applyBorder="1" applyAlignment="1">
      <alignment horizontal="right" vertical="center"/>
    </xf>
    <xf numFmtId="4" fontId="48" fillId="17" borderId="16" xfId="2" applyNumberFormat="1" applyFont="1" applyFill="1" applyBorder="1" applyAlignment="1">
      <alignment horizontal="right" vertical="center"/>
    </xf>
    <xf numFmtId="49" fontId="46" fillId="0" borderId="1" xfId="2" applyNumberFormat="1" applyFont="1" applyFill="1" applyBorder="1" applyAlignment="1">
      <alignment horizontal="center" vertical="center"/>
    </xf>
    <xf numFmtId="2" fontId="49" fillId="0" borderId="1" xfId="2" applyNumberFormat="1" applyFont="1" applyFill="1" applyBorder="1" applyAlignment="1"/>
    <xf numFmtId="165" fontId="46" fillId="0" borderId="3" xfId="2" applyNumberFormat="1" applyFont="1" applyFill="1" applyBorder="1" applyAlignment="1">
      <alignment horizontal="center" vertical="center" wrapText="1"/>
    </xf>
    <xf numFmtId="4" fontId="48" fillId="0" borderId="15" xfId="2" applyNumberFormat="1" applyFont="1" applyFill="1" applyBorder="1" applyAlignment="1">
      <alignment horizontal="right" vertical="center"/>
    </xf>
    <xf numFmtId="4" fontId="48" fillId="0" borderId="16" xfId="2" applyNumberFormat="1" applyFont="1" applyFill="1" applyBorder="1" applyAlignment="1">
      <alignment horizontal="right" vertical="center"/>
    </xf>
    <xf numFmtId="165" fontId="34" fillId="0" borderId="3" xfId="2" applyNumberFormat="1" applyFont="1" applyFill="1" applyBorder="1" applyAlignment="1">
      <alignment horizontal="center" vertical="center"/>
    </xf>
    <xf numFmtId="2" fontId="53" fillId="0" borderId="1" xfId="2" applyNumberFormat="1" applyFont="1" applyFill="1" applyBorder="1" applyAlignment="1">
      <alignment horizontal="center" vertical="center"/>
    </xf>
    <xf numFmtId="49" fontId="34" fillId="19" borderId="1" xfId="2" applyNumberFormat="1" applyFont="1" applyFill="1" applyBorder="1" applyAlignment="1">
      <alignment horizontal="center" vertical="center"/>
    </xf>
    <xf numFmtId="2" fontId="34" fillId="0" borderId="0" xfId="2" applyNumberFormat="1" applyFont="1" applyFill="1" applyAlignment="1">
      <alignment wrapText="1"/>
    </xf>
    <xf numFmtId="166" fontId="34" fillId="17" borderId="3" xfId="2" applyNumberFormat="1" applyFont="1" applyFill="1" applyBorder="1" applyAlignment="1">
      <alignment horizontal="center" vertical="center"/>
    </xf>
    <xf numFmtId="4" fontId="39" fillId="15" borderId="15" xfId="2" applyNumberFormat="1" applyFont="1" applyFill="1" applyBorder="1" applyAlignment="1">
      <alignment horizontal="right" vertical="center"/>
    </xf>
    <xf numFmtId="4" fontId="39" fillId="15" borderId="16" xfId="2" applyNumberFormat="1" applyFont="1" applyFill="1" applyBorder="1" applyAlignment="1">
      <alignment horizontal="right" vertical="center"/>
    </xf>
    <xf numFmtId="1" fontId="34" fillId="0" borderId="0" xfId="2" applyNumberFormat="1" applyFont="1" applyAlignment="1">
      <alignment horizontal="center" wrapText="1"/>
    </xf>
    <xf numFmtId="2" fontId="34" fillId="0" borderId="0" xfId="2" applyNumberFormat="1" applyFont="1" applyAlignment="1">
      <alignment wrapText="1"/>
    </xf>
    <xf numFmtId="2" fontId="34" fillId="17" borderId="3" xfId="2" applyNumberFormat="1" applyFont="1" applyFill="1" applyBorder="1" applyAlignment="1">
      <alignment horizontal="center" vertical="center" wrapText="1"/>
    </xf>
    <xf numFmtId="2" fontId="34" fillId="20" borderId="1" xfId="2" applyNumberFormat="1" applyFont="1" applyFill="1" applyBorder="1" applyAlignment="1">
      <alignment horizontal="center" vertical="center" wrapText="1"/>
    </xf>
    <xf numFmtId="4" fontId="39" fillId="15" borderId="15" xfId="2" applyNumberFormat="1" applyFont="1" applyFill="1" applyBorder="1" applyAlignment="1">
      <alignment horizontal="right"/>
    </xf>
    <xf numFmtId="4" fontId="39" fillId="15" borderId="16" xfId="2" applyNumberFormat="1" applyFont="1" applyFill="1" applyBorder="1" applyAlignment="1">
      <alignment horizontal="right"/>
    </xf>
    <xf numFmtId="2" fontId="34" fillId="0" borderId="1" xfId="2" applyNumberFormat="1" applyFont="1" applyFill="1" applyBorder="1" applyAlignment="1">
      <alignment horizontal="center" wrapText="1"/>
    </xf>
    <xf numFmtId="4" fontId="39" fillId="0" borderId="0" xfId="2" applyNumberFormat="1" applyFont="1" applyFill="1" applyBorder="1" applyAlignment="1">
      <alignment horizontal="right"/>
    </xf>
    <xf numFmtId="2" fontId="34" fillId="15" borderId="1" xfId="2" applyNumberFormat="1" applyFont="1" applyFill="1" applyBorder="1" applyAlignment="1">
      <alignment horizontal="center" wrapText="1"/>
    </xf>
    <xf numFmtId="1" fontId="46" fillId="15" borderId="1" xfId="2" applyNumberFormat="1" applyFont="1" applyFill="1" applyBorder="1" applyAlignment="1">
      <alignment horizontal="center" vertical="center" wrapText="1"/>
    </xf>
    <xf numFmtId="4" fontId="46" fillId="17" borderId="1" xfId="2" applyNumberFormat="1" applyFont="1" applyFill="1" applyBorder="1" applyAlignment="1">
      <alignment horizontal="center" vertical="center"/>
    </xf>
    <xf numFmtId="4" fontId="48" fillId="17" borderId="19" xfId="2" applyNumberFormat="1" applyFont="1" applyFill="1" applyBorder="1" applyAlignment="1">
      <alignment horizontal="right" vertical="center"/>
    </xf>
    <xf numFmtId="4" fontId="48" fillId="17" borderId="20" xfId="2" applyNumberFormat="1" applyFont="1" applyFill="1" applyBorder="1" applyAlignment="1">
      <alignment horizontal="right" vertical="center"/>
    </xf>
    <xf numFmtId="49" fontId="34" fillId="0" borderId="0" xfId="2" applyNumberFormat="1" applyFont="1" applyBorder="1" applyAlignment="1">
      <alignment horizontal="center" vertical="center"/>
    </xf>
    <xf numFmtId="2" fontId="34" fillId="0" borderId="0" xfId="2" applyNumberFormat="1" applyFont="1" applyBorder="1" applyAlignment="1">
      <alignment horizontal="left" vertical="center" wrapText="1"/>
    </xf>
    <xf numFmtId="1" fontId="34" fillId="0" borderId="0" xfId="2" applyNumberFormat="1" applyFont="1" applyBorder="1" applyAlignment="1">
      <alignment horizontal="center" vertical="center" wrapText="1"/>
    </xf>
    <xf numFmtId="4" fontId="34" fillId="0" borderId="0" xfId="2" applyNumberFormat="1" applyFont="1" applyBorder="1" applyAlignment="1">
      <alignment horizontal="center" vertical="center"/>
    </xf>
    <xf numFmtId="2" fontId="34" fillId="0" borderId="0" xfId="2" applyNumberFormat="1" applyFont="1" applyBorder="1" applyAlignment="1">
      <alignment horizontal="center" vertical="center" wrapText="1"/>
    </xf>
    <xf numFmtId="4" fontId="48" fillId="14" borderId="21" xfId="2" applyNumberFormat="1" applyFont="1" applyFill="1" applyBorder="1" applyAlignment="1">
      <alignment horizontal="right" vertical="center"/>
    </xf>
    <xf numFmtId="4" fontId="48" fillId="14" borderId="0" xfId="2" applyNumberFormat="1" applyFont="1" applyFill="1" applyBorder="1" applyAlignment="1">
      <alignment horizontal="right" vertical="center"/>
    </xf>
    <xf numFmtId="49" fontId="46" fillId="0" borderId="0" xfId="2" applyNumberFormat="1" applyFont="1" applyBorder="1" applyAlignment="1">
      <alignment horizontal="center" vertical="center" wrapText="1"/>
    </xf>
    <xf numFmtId="1" fontId="46" fillId="0" borderId="0" xfId="2" applyNumberFormat="1" applyFont="1" applyBorder="1" applyAlignment="1">
      <alignment horizontal="center" vertical="center"/>
    </xf>
    <xf numFmtId="4" fontId="46" fillId="0" borderId="0" xfId="2" applyNumberFormat="1" applyFont="1" applyFill="1" applyBorder="1" applyAlignment="1">
      <alignment horizontal="center" vertical="center"/>
    </xf>
    <xf numFmtId="4" fontId="36" fillId="0" borderId="0" xfId="2" applyNumberFormat="1" applyFont="1" applyFill="1" applyBorder="1" applyAlignment="1">
      <alignment horizontal="right" vertical="center"/>
    </xf>
    <xf numFmtId="49" fontId="46" fillId="0" borderId="0" xfId="2" applyNumberFormat="1" applyFont="1" applyBorder="1" applyAlignment="1">
      <alignment horizontal="center" vertical="center"/>
    </xf>
    <xf numFmtId="49" fontId="34" fillId="0" borderId="0" xfId="2" applyNumberFormat="1" applyFont="1" applyBorder="1" applyAlignment="1">
      <alignment horizontal="center" vertical="center" wrapText="1"/>
    </xf>
    <xf numFmtId="1" fontId="34" fillId="0" borderId="0" xfId="2" applyNumberFormat="1" applyFont="1" applyBorder="1" applyAlignment="1">
      <alignment horizontal="center" vertical="center"/>
    </xf>
    <xf numFmtId="4" fontId="34" fillId="0" borderId="0" xfId="2" applyNumberFormat="1" applyFont="1" applyBorder="1" applyAlignment="1">
      <alignment horizontal="center" vertical="center" wrapText="1"/>
    </xf>
    <xf numFmtId="4" fontId="39" fillId="0" borderId="0" xfId="2" applyNumberFormat="1" applyFont="1" applyFill="1" applyBorder="1" applyAlignment="1">
      <alignment horizontal="right" vertical="center"/>
    </xf>
    <xf numFmtId="4" fontId="48" fillId="0" borderId="0" xfId="2" applyNumberFormat="1" applyFont="1" applyFill="1" applyBorder="1" applyAlignment="1">
      <alignment horizontal="right" vertical="center"/>
    </xf>
    <xf numFmtId="2" fontId="34" fillId="0" borderId="0" xfId="2" applyNumberFormat="1" applyFont="1" applyAlignment="1">
      <alignment horizontal="center"/>
    </xf>
    <xf numFmtId="2" fontId="34" fillId="0" borderId="0" xfId="2" applyNumberFormat="1" applyFont="1" applyAlignment="1">
      <alignment horizontal="center" wrapText="1"/>
    </xf>
    <xf numFmtId="1" fontId="34" fillId="0" borderId="0" xfId="2" applyNumberFormat="1" applyFont="1" applyAlignment="1">
      <alignment horizontal="center"/>
    </xf>
    <xf numFmtId="4" fontId="34" fillId="0" borderId="0" xfId="2" applyNumberFormat="1" applyFont="1" applyFill="1" applyBorder="1" applyAlignment="1">
      <alignment horizontal="center" vertical="center"/>
    </xf>
    <xf numFmtId="4" fontId="55" fillId="0" borderId="0" xfId="2" applyNumberFormat="1" applyFont="1" applyFill="1" applyBorder="1"/>
    <xf numFmtId="2" fontId="46" fillId="0" borderId="0" xfId="2" applyNumberFormat="1" applyFont="1" applyBorder="1" applyAlignment="1">
      <alignment horizontal="center" vertical="center" wrapText="1"/>
    </xf>
    <xf numFmtId="1" fontId="46" fillId="0" borderId="0" xfId="2" applyNumberFormat="1" applyFont="1" applyBorder="1" applyAlignment="1">
      <alignment horizontal="center" vertical="center" wrapText="1"/>
    </xf>
    <xf numFmtId="49" fontId="34" fillId="0" borderId="0" xfId="2" applyNumberFormat="1" applyFont="1" applyAlignment="1"/>
    <xf numFmtId="2" fontId="34" fillId="0" borderId="0" xfId="2" applyNumberFormat="1" applyFont="1" applyAlignment="1"/>
    <xf numFmtId="2" fontId="34" fillId="0" borderId="0" xfId="2" applyNumberFormat="1" applyFont="1" applyAlignment="1">
      <alignment vertical="center"/>
    </xf>
    <xf numFmtId="2" fontId="39" fillId="0" borderId="0" xfId="2" applyNumberFormat="1" applyFont="1" applyAlignment="1">
      <alignment horizontal="right"/>
    </xf>
    <xf numFmtId="2" fontId="34" fillId="0" borderId="0" xfId="2" applyNumberFormat="1" applyFont="1" applyAlignment="1">
      <alignment horizontal="left" vertical="top"/>
    </xf>
    <xf numFmtId="2" fontId="34" fillId="0" borderId="0" xfId="2" applyNumberFormat="1" applyFont="1" applyAlignment="1">
      <alignment horizontal="left" vertical="center"/>
    </xf>
    <xf numFmtId="0" fontId="0" fillId="0" borderId="0" xfId="0" applyFont="1"/>
    <xf numFmtId="0" fontId="56" fillId="0" borderId="0" xfId="0" applyFont="1"/>
    <xf numFmtId="0" fontId="58" fillId="0" borderId="0" xfId="0" applyFont="1" applyFill="1" applyAlignment="1">
      <alignment horizontal="center" vertical="center" wrapText="1"/>
    </xf>
    <xf numFmtId="165" fontId="62" fillId="0" borderId="0" xfId="0" applyNumberFormat="1" applyFont="1" applyBorder="1"/>
    <xf numFmtId="4" fontId="63" fillId="0" borderId="0" xfId="0" applyNumberFormat="1" applyFont="1" applyBorder="1"/>
    <xf numFmtId="0" fontId="62" fillId="0" borderId="0" xfId="0" applyFont="1" applyBorder="1"/>
    <xf numFmtId="49" fontId="48" fillId="0" borderId="0" xfId="2" applyNumberFormat="1" applyFont="1"/>
    <xf numFmtId="0" fontId="39" fillId="0" borderId="0" xfId="2" applyFont="1" applyAlignment="1">
      <alignment wrapText="1"/>
    </xf>
    <xf numFmtId="0" fontId="33" fillId="0" borderId="0" xfId="2" applyAlignment="1">
      <alignment wrapText="1"/>
    </xf>
    <xf numFmtId="0" fontId="33" fillId="0" borderId="0" xfId="2" applyAlignment="1">
      <alignment horizontal="left" wrapText="1"/>
    </xf>
    <xf numFmtId="0" fontId="33" fillId="0" borderId="0" xfId="2" applyAlignment="1">
      <alignment horizontal="center" wrapText="1"/>
    </xf>
    <xf numFmtId="4" fontId="33" fillId="0" borderId="0" xfId="2" applyNumberFormat="1" applyAlignment="1">
      <alignment horizontal="right" wrapText="1"/>
    </xf>
    <xf numFmtId="0" fontId="64" fillId="0" borderId="1" xfId="0" applyFont="1" applyBorder="1" applyAlignment="1">
      <alignment horizontal="center" vertical="center" wrapText="1"/>
    </xf>
    <xf numFmtId="2" fontId="64" fillId="0" borderId="1" xfId="0" applyNumberFormat="1" applyFont="1" applyBorder="1" applyAlignment="1">
      <alignment horizontal="center" vertical="center" wrapText="1"/>
    </xf>
    <xf numFmtId="165" fontId="64" fillId="0" borderId="1" xfId="0" applyNumberFormat="1" applyFont="1" applyBorder="1" applyAlignment="1">
      <alignment horizontal="center" vertical="center" wrapText="1"/>
    </xf>
    <xf numFmtId="49" fontId="65" fillId="0" borderId="1" xfId="0" applyNumberFormat="1" applyFont="1" applyBorder="1" applyAlignment="1">
      <alignment horizontal="right" vertical="center"/>
    </xf>
    <xf numFmtId="0" fontId="66" fillId="0" borderId="1" xfId="0" applyFont="1" applyBorder="1" applyAlignment="1">
      <alignment wrapText="1"/>
    </xf>
    <xf numFmtId="2" fontId="36" fillId="0" borderId="1" xfId="0" applyNumberFormat="1" applyFont="1" applyBorder="1"/>
    <xf numFmtId="4" fontId="67" fillId="0" borderId="1" xfId="0" applyNumberFormat="1" applyFont="1" applyBorder="1"/>
    <xf numFmtId="4" fontId="64" fillId="0" borderId="1" xfId="0" applyNumberFormat="1" applyFont="1" applyBorder="1"/>
    <xf numFmtId="0" fontId="68" fillId="0" borderId="1" xfId="0" applyFont="1" applyBorder="1" applyAlignment="1">
      <alignment wrapText="1"/>
    </xf>
    <xf numFmtId="4" fontId="36" fillId="0" borderId="1" xfId="0" applyNumberFormat="1" applyFont="1" applyBorder="1"/>
    <xf numFmtId="0" fontId="69" fillId="0" borderId="1" xfId="0" applyFont="1" applyBorder="1" applyAlignment="1">
      <alignment wrapText="1"/>
    </xf>
    <xf numFmtId="4" fontId="7" fillId="0" borderId="1" xfId="0" applyNumberFormat="1" applyFont="1" applyBorder="1"/>
    <xf numFmtId="2" fontId="7" fillId="0" borderId="1" xfId="0" applyNumberFormat="1" applyFont="1" applyBorder="1"/>
    <xf numFmtId="0" fontId="66" fillId="0" borderId="1" xfId="0" applyFont="1" applyFill="1" applyBorder="1" applyAlignment="1">
      <alignment wrapText="1"/>
    </xf>
    <xf numFmtId="0" fontId="65" fillId="0" borderId="1" xfId="0" applyFont="1" applyFill="1" applyBorder="1" applyAlignment="1">
      <alignment wrapText="1"/>
    </xf>
    <xf numFmtId="2" fontId="36" fillId="0" borderId="1" xfId="0" applyNumberFormat="1" applyFont="1" applyFill="1" applyBorder="1"/>
    <xf numFmtId="4" fontId="64" fillId="0" borderId="1" xfId="0" applyNumberFormat="1" applyFont="1" applyFill="1" applyBorder="1"/>
    <xf numFmtId="0" fontId="61" fillId="0" borderId="1" xfId="0" applyFont="1" applyFill="1" applyBorder="1"/>
    <xf numFmtId="0" fontId="66" fillId="0" borderId="1" xfId="0" applyFont="1" applyFill="1" applyBorder="1"/>
    <xf numFmtId="0" fontId="7" fillId="0" borderId="1" xfId="0" applyFont="1" applyFill="1" applyBorder="1"/>
    <xf numFmtId="4" fontId="67" fillId="0" borderId="1" xfId="0" applyNumberFormat="1" applyFont="1" applyFill="1" applyBorder="1"/>
    <xf numFmtId="0" fontId="0" fillId="0" borderId="21" xfId="0" applyFill="1" applyBorder="1"/>
    <xf numFmtId="0" fontId="70" fillId="0" borderId="21" xfId="0" applyFont="1" applyFill="1" applyBorder="1" applyAlignment="1">
      <alignment wrapText="1"/>
    </xf>
    <xf numFmtId="0" fontId="71" fillId="0" borderId="21" xfId="0" applyFont="1" applyFill="1" applyBorder="1"/>
    <xf numFmtId="4" fontId="0" fillId="0" borderId="0" xfId="0" applyNumberFormat="1" applyFill="1"/>
    <xf numFmtId="0" fontId="4" fillId="0" borderId="0" xfId="0" applyFont="1"/>
    <xf numFmtId="0" fontId="72" fillId="0" borderId="0" xfId="2" applyFont="1" applyAlignment="1">
      <alignment horizontal="left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/>
    <xf numFmtId="0" fontId="1" fillId="0" borderId="4" xfId="0" applyFont="1" applyFill="1" applyBorder="1"/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73" fillId="0" borderId="1" xfId="0" applyFont="1" applyFill="1" applyBorder="1" applyAlignment="1">
      <alignment horizontal="left" textRotation="90" wrapText="1"/>
    </xf>
    <xf numFmtId="0" fontId="73" fillId="0" borderId="1" xfId="0" applyFont="1" applyFill="1" applyBorder="1" applyAlignment="1">
      <alignment horizontal="left" vertical="center" textRotation="90" wrapText="1"/>
    </xf>
    <xf numFmtId="0" fontId="73" fillId="0" borderId="6" xfId="0" applyFont="1" applyFill="1" applyBorder="1" applyAlignment="1">
      <alignment horizontal="left" vertical="center" textRotation="90" wrapText="1"/>
    </xf>
    <xf numFmtId="0" fontId="1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164" fontId="74" fillId="0" borderId="1" xfId="0" applyNumberFormat="1" applyFont="1" applyFill="1" applyBorder="1" applyAlignment="1">
      <alignment horizontal="left" vertical="center" wrapText="1"/>
    </xf>
    <xf numFmtId="4" fontId="13" fillId="0" borderId="1" xfId="0" applyNumberFormat="1" applyFont="1" applyFill="1" applyBorder="1" applyAlignment="1">
      <alignment horizontal="right" vertical="center" wrapText="1"/>
    </xf>
    <xf numFmtId="4" fontId="73" fillId="0" borderId="1" xfId="0" applyNumberFormat="1" applyFont="1" applyFill="1" applyBorder="1" applyAlignment="1">
      <alignment horizontal="right" vertical="center" wrapText="1"/>
    </xf>
    <xf numFmtId="4" fontId="73" fillId="5" borderId="1" xfId="0" applyNumberFormat="1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left" vertical="center" wrapText="1"/>
    </xf>
    <xf numFmtId="0" fontId="75" fillId="0" borderId="1" xfId="3" applyBorder="1" applyAlignment="1">
      <alignment horizontal="center" vertical="center"/>
    </xf>
    <xf numFmtId="0" fontId="75" fillId="0" borderId="1" xfId="3" applyBorder="1" applyAlignment="1">
      <alignment horizontal="center" vertical="center" wrapText="1"/>
    </xf>
    <xf numFmtId="0" fontId="75" fillId="0" borderId="0" xfId="3" applyAlignment="1">
      <alignment horizontal="center" vertical="center"/>
    </xf>
    <xf numFmtId="0" fontId="76" fillId="0" borderId="1" xfId="3" applyFont="1" applyBorder="1" applyAlignment="1">
      <alignment horizontal="center" vertical="center"/>
    </xf>
    <xf numFmtId="4" fontId="75" fillId="0" borderId="1" xfId="3" applyNumberFormat="1" applyBorder="1" applyAlignment="1">
      <alignment horizontal="center" vertical="center"/>
    </xf>
    <xf numFmtId="0" fontId="75" fillId="0" borderId="1" xfId="3" applyBorder="1" applyAlignment="1">
      <alignment horizontal="right" vertical="center"/>
    </xf>
    <xf numFmtId="4" fontId="76" fillId="0" borderId="1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77" fillId="0" borderId="0" xfId="0" applyFont="1"/>
    <xf numFmtId="0" fontId="77" fillId="0" borderId="0" xfId="0" applyFont="1" applyBorder="1"/>
    <xf numFmtId="0" fontId="2" fillId="0" borderId="0" xfId="0" applyFont="1" applyBorder="1" applyAlignment="1">
      <alignment horizontal="right"/>
    </xf>
    <xf numFmtId="0" fontId="71" fillId="0" borderId="6" xfId="4" applyFont="1" applyFill="1" applyBorder="1" applyAlignment="1">
      <alignment horizontal="center" vertical="center" wrapText="1"/>
    </xf>
    <xf numFmtId="0" fontId="71" fillId="0" borderId="1" xfId="4" applyFont="1" applyFill="1" applyBorder="1" applyAlignment="1">
      <alignment horizontal="center" vertical="center" textRotation="90"/>
    </xf>
    <xf numFmtId="0" fontId="71" fillId="0" borderId="6" xfId="4" applyFont="1" applyFill="1" applyBorder="1" applyAlignment="1">
      <alignment horizontal="center" vertical="center" textRotation="90" wrapText="1"/>
    </xf>
    <xf numFmtId="0" fontId="79" fillId="0" borderId="1" xfId="4" applyFont="1" applyBorder="1" applyAlignment="1">
      <alignment horizontal="center" vertical="center" textRotation="90" wrapText="1"/>
    </xf>
    <xf numFmtId="0" fontId="55" fillId="0" borderId="0" xfId="0" applyFont="1" applyFill="1" applyBorder="1" applyAlignment="1">
      <alignment horizontal="center" vertical="center"/>
    </xf>
    <xf numFmtId="4" fontId="2" fillId="0" borderId="0" xfId="0" applyNumberFormat="1" applyFont="1" applyFill="1" applyBorder="1"/>
    <xf numFmtId="0" fontId="55" fillId="0" borderId="0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0" fillId="0" borderId="1" xfId="4" applyFont="1" applyFill="1" applyBorder="1" applyAlignment="1">
      <alignment horizontal="left" vertical="center" wrapText="1"/>
    </xf>
    <xf numFmtId="4" fontId="0" fillId="0" borderId="3" xfId="4" applyNumberFormat="1" applyFont="1" applyFill="1" applyBorder="1" applyAlignment="1">
      <alignment horizontal="left" vertical="center" wrapText="1"/>
    </xf>
    <xf numFmtId="0" fontId="1" fillId="0" borderId="1" xfId="4" applyFont="1" applyFill="1" applyBorder="1" applyAlignment="1">
      <alignment vertical="center" wrapText="1"/>
    </xf>
    <xf numFmtId="4" fontId="80" fillId="0" borderId="1" xfId="4" applyNumberFormat="1" applyFont="1" applyBorder="1" applyAlignment="1">
      <alignment horizontal="center" vertical="center"/>
    </xf>
    <xf numFmtId="4" fontId="1" fillId="0" borderId="1" xfId="0" applyNumberFormat="1" applyFont="1" applyFill="1" applyBorder="1"/>
    <xf numFmtId="2" fontId="1" fillId="0" borderId="1" xfId="0" applyNumberFormat="1" applyFont="1" applyFill="1" applyBorder="1"/>
    <xf numFmtId="4" fontId="0" fillId="0" borderId="0" xfId="0" applyNumberFormat="1" applyFill="1" applyBorder="1"/>
    <xf numFmtId="0" fontId="0" fillId="0" borderId="1" xfId="0" applyFill="1" applyBorder="1" applyAlignment="1"/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Alignment="1">
      <alignment wrapText="1"/>
    </xf>
    <xf numFmtId="0" fontId="81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4" fontId="26" fillId="0" borderId="0" xfId="0" applyNumberFormat="1" applyFont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21" borderId="6" xfId="0" applyFont="1" applyFill="1" applyBorder="1" applyAlignment="1">
      <alignment horizontal="left" vertical="center" textRotation="90" wrapText="1"/>
    </xf>
    <xf numFmtId="0" fontId="13" fillId="21" borderId="1" xfId="0" applyFont="1" applyFill="1" applyBorder="1" applyAlignment="1">
      <alignment horizontal="left" vertical="center" textRotation="90" wrapText="1"/>
    </xf>
    <xf numFmtId="0" fontId="73" fillId="22" borderId="1" xfId="0" applyFont="1" applyFill="1" applyBorder="1" applyAlignment="1">
      <alignment horizontal="left" vertical="center" textRotation="90" wrapText="1"/>
    </xf>
    <xf numFmtId="0" fontId="13" fillId="0" borderId="23" xfId="0" applyFont="1" applyFill="1" applyBorder="1" applyAlignment="1">
      <alignment horizontal="left" vertical="center" textRotation="90" wrapText="1"/>
    </xf>
    <xf numFmtId="0" fontId="13" fillId="21" borderId="1" xfId="0" applyFont="1" applyFill="1" applyBorder="1" applyAlignment="1">
      <alignment horizontal="center" vertical="center" wrapText="1"/>
    </xf>
    <xf numFmtId="0" fontId="0" fillId="21" borderId="1" xfId="0" applyFill="1" applyBorder="1"/>
    <xf numFmtId="0" fontId="2" fillId="21" borderId="1" xfId="0" applyFont="1" applyFill="1" applyBorder="1"/>
    <xf numFmtId="0" fontId="0" fillId="0" borderId="0" xfId="0" applyFont="1" applyFill="1" applyBorder="1"/>
    <xf numFmtId="0" fontId="1" fillId="21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4" fontId="0" fillId="21" borderId="1" xfId="0" applyNumberFormat="1" applyFill="1" applyBorder="1"/>
    <xf numFmtId="4" fontId="2" fillId="22" borderId="1" xfId="0" applyNumberFormat="1" applyFont="1" applyFill="1" applyBorder="1"/>
    <xf numFmtId="0" fontId="81" fillId="0" borderId="3" xfId="0" applyFont="1" applyBorder="1" applyAlignment="1">
      <alignment horizontal="center" vertical="center" wrapText="1"/>
    </xf>
    <xf numFmtId="0" fontId="81" fillId="0" borderId="4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left" vertical="center" wrapText="1"/>
    </xf>
    <xf numFmtId="0" fontId="76" fillId="0" borderId="0" xfId="0" applyFont="1"/>
    <xf numFmtId="0" fontId="83" fillId="0" borderId="1" xfId="0" applyFont="1" applyBorder="1" applyAlignment="1">
      <alignment horizontal="center" vertical="center" wrapText="1"/>
    </xf>
    <xf numFmtId="4" fontId="81" fillId="0" borderId="1" xfId="0" applyNumberFormat="1" applyFont="1" applyBorder="1" applyAlignment="1">
      <alignment horizontal="center" vertical="center" wrapText="1"/>
    </xf>
    <xf numFmtId="4" fontId="84" fillId="12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/>
    <xf numFmtId="2" fontId="2" fillId="0" borderId="0" xfId="0" applyNumberFormat="1" applyFont="1"/>
    <xf numFmtId="0" fontId="85" fillId="0" borderId="0" xfId="0" applyFont="1" applyFill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74" fillId="23" borderId="1" xfId="0" applyNumberFormat="1" applyFont="1" applyFill="1" applyBorder="1" applyAlignment="1">
      <alignment horizontal="left" vertical="center" wrapText="1"/>
    </xf>
    <xf numFmtId="4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2" xfId="0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6" fillId="0" borderId="9" xfId="0" applyFont="1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25" fillId="9" borderId="0" xfId="0" applyFont="1" applyFill="1"/>
    <xf numFmtId="0" fontId="0" fillId="0" borderId="0" xfId="0" applyAlignment="1">
      <alignment horizontal="center"/>
    </xf>
    <xf numFmtId="0" fontId="25" fillId="9" borderId="2" xfId="0" applyFont="1" applyFill="1" applyBorder="1"/>
    <xf numFmtId="0" fontId="2" fillId="0" borderId="0" xfId="0" applyFont="1" applyAlignment="1">
      <alignment vertical="center" textRotation="90"/>
    </xf>
    <xf numFmtId="0" fontId="2" fillId="0" borderId="2" xfId="0" applyFont="1" applyBorder="1" applyAlignment="1">
      <alignment vertical="center" textRotation="90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" fontId="19" fillId="0" borderId="0" xfId="0" applyNumberFormat="1" applyFont="1" applyFill="1"/>
    <xf numFmtId="4" fontId="3" fillId="0" borderId="0" xfId="0" applyNumberFormat="1" applyFont="1" applyFill="1"/>
    <xf numFmtId="4" fontId="22" fillId="0" borderId="0" xfId="0" applyNumberFormat="1" applyFont="1" applyFill="1"/>
    <xf numFmtId="2" fontId="37" fillId="0" borderId="1" xfId="2" applyNumberFormat="1" applyFont="1" applyFill="1" applyBorder="1" applyAlignment="1">
      <alignment horizontal="center" vertical="center"/>
    </xf>
    <xf numFmtId="49" fontId="38" fillId="0" borderId="2" xfId="2" applyNumberFormat="1" applyFont="1" applyFill="1" applyBorder="1" applyAlignment="1">
      <alignment horizontal="center"/>
    </xf>
    <xf numFmtId="4" fontId="40" fillId="0" borderId="1" xfId="2" applyNumberFormat="1" applyFont="1" applyFill="1" applyBorder="1" applyAlignment="1">
      <alignment horizontal="center" vertical="center"/>
    </xf>
    <xf numFmtId="49" fontId="46" fillId="0" borderId="0" xfId="2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57" fillId="0" borderId="0" xfId="0" applyFont="1"/>
    <xf numFmtId="0" fontId="59" fillId="0" borderId="0" xfId="0" applyFont="1" applyFill="1" applyAlignment="1">
      <alignment horizontal="center" vertical="center" wrapText="1"/>
    </xf>
    <xf numFmtId="0" fontId="58" fillId="0" borderId="0" xfId="0" applyFont="1" applyFill="1" applyAlignment="1">
      <alignment horizontal="center" vertical="center" wrapText="1"/>
    </xf>
    <xf numFmtId="0" fontId="60" fillId="0" borderId="0" xfId="0" applyFont="1" applyFill="1" applyAlignment="1">
      <alignment horizontal="right" wrapText="1"/>
    </xf>
    <xf numFmtId="0" fontId="61" fillId="0" borderId="0" xfId="0" applyFont="1" applyFill="1" applyAlignment="1">
      <alignment horizontal="right" wrapText="1"/>
    </xf>
    <xf numFmtId="0" fontId="2" fillId="0" borderId="0" xfId="0" applyFont="1" applyFill="1" applyBorder="1" applyAlignment="1">
      <alignment horizontal="center" vertical="top" wrapText="1"/>
    </xf>
    <xf numFmtId="2" fontId="75" fillId="0" borderId="3" xfId="3" applyNumberFormat="1" applyBorder="1" applyAlignment="1">
      <alignment horizontal="center" vertical="center" wrapText="1"/>
    </xf>
    <xf numFmtId="2" fontId="75" fillId="0" borderId="5" xfId="3" applyNumberFormat="1" applyBorder="1" applyAlignment="1">
      <alignment horizontal="center" vertical="center" wrapText="1"/>
    </xf>
    <xf numFmtId="2" fontId="75" fillId="0" borderId="22" xfId="3" applyNumberForma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/>
  </cellXfs>
  <cellStyles count="5">
    <cellStyle name="Обычный" xfId="0" builtinId="0"/>
    <cellStyle name="Обычный 2" xfId="4"/>
    <cellStyle name="Обычный 3" xfId="3"/>
    <cellStyle name="Обычный 3 2" xfId="2"/>
    <cellStyle name="Обычный_tmp7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RNET-SERVER\Public-folders\Public%20folder\&#1050;&#1091;&#1088;&#1090;&#1077;&#1077;&#1074;&#1072;%20&#1070;&#1083;&#1080;&#1103;\&#1086;&#1090;%20&#1051;.&#1040;\&#1043;&#1048;&#1057;\&#1055;&#1077;&#1088;&#1077;&#1095;&#1077;&#1085;&#1100;%20&#1088;&#1072;&#1073;&#1086;&#1090;%20&#104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rnet-server\Economics\&#1051;&#1040;\&#1057;&#1084;&#1077;&#1090;&#1072;\&#1057;&#1084;&#1077;&#1090;&#1072;%202021\&#1046;&#1050;%20&#1057;&#1080;&#1083;&#1100;&#1074;&#1077;&#1088;\&#1057;&#1080;&#1083;&#1100;&#1074;&#1077;&#108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rnet-server\Economics\&#1051;&#1040;\&#1057;&#1084;&#1077;&#1090;&#1072;\&#1057;&#1084;&#1077;&#1090;&#1072;%202021\&#1057;&#1052;&#1045;&#1058;&#1040;-2021%20&#1087;&#1086;%20&#1076;&#1086;&#1084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ечень работ и услуг"/>
      <sheetName val="Д-2"/>
      <sheetName val="ОпцииПеречня"/>
      <sheetName val="СпрРабУсл"/>
      <sheetName val="conf"/>
    </sheetNames>
    <sheetDataSet>
      <sheetData sheetId="0"/>
      <sheetData sheetId="1"/>
      <sheetData sheetId="2"/>
      <sheetData sheetId="3">
        <row r="1">
          <cell r="A1" t="str">
            <v>1.Работы по техническому обслуживанию, текущему ремонту и содержанию лифтового оборудования, входящего в состав общего имущества МКД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- исходные"/>
      <sheetName val="Общая"/>
      <sheetName val="ФОТ рабоч"/>
      <sheetName val="ФОТ МОП"/>
      <sheetName val="Санитарка"/>
      <sheetName val=" Смета ремонт"/>
      <sheetName val="эксплуат"/>
      <sheetName val="лифты"/>
      <sheetName val="ДУ ППА"/>
      <sheetName val="мусор"/>
      <sheetName val="дератизация"/>
      <sheetName val="Охрана"/>
      <sheetName val="электроэнергия"/>
      <sheetName val="вентиляция"/>
      <sheetName val="плиты"/>
      <sheetName val="авар"/>
      <sheetName val="электроизм раб"/>
      <sheetName val="Вода"/>
      <sheetName val="общие расходы по дому"/>
      <sheetName val="общие расходы по дому (уточн)"/>
      <sheetName val="Лист3"/>
      <sheetName val="Лист3 (2)"/>
      <sheetName val="сравнение"/>
    </sheetNames>
    <sheetDataSet>
      <sheetData sheetId="0">
        <row r="7">
          <cell r="B7" t="str">
            <v>пр-д Серебрякова, 11/1</v>
          </cell>
          <cell r="D7">
            <v>2019</v>
          </cell>
          <cell r="E7">
            <v>20</v>
          </cell>
          <cell r="G7">
            <v>805</v>
          </cell>
          <cell r="K7">
            <v>74726.399999999994</v>
          </cell>
          <cell r="L7">
            <v>64464.5</v>
          </cell>
          <cell r="N7">
            <v>10261.900000000001</v>
          </cell>
          <cell r="Q7">
            <v>8185.42</v>
          </cell>
          <cell r="R7">
            <v>5800</v>
          </cell>
          <cell r="T7">
            <v>4443</v>
          </cell>
          <cell r="V7">
            <v>707.6</v>
          </cell>
          <cell r="AE7">
            <v>11</v>
          </cell>
          <cell r="AH7">
            <v>8</v>
          </cell>
          <cell r="AI7">
            <v>34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ъемы"/>
      <sheetName val="План для разбивки"/>
      <sheetName val="Реформа"/>
      <sheetName val="БАк-49-1"/>
      <sheetName val="БАк-47-1"/>
      <sheetName val="Д-2"/>
      <sheetName val="Д-4"/>
      <sheetName val="Д-6-3"/>
      <sheetName val="Д-12"/>
      <sheetName val="Д-20"/>
      <sheetName val="Д-22-1"/>
      <sheetName val="Д-22-2"/>
      <sheetName val="Д-22-3"/>
      <sheetName val="Д-26-1"/>
      <sheetName val="Д-26-3"/>
      <sheetName val="Д-30-2"/>
      <sheetName val="Д-32-1"/>
      <sheetName val="Д-34"/>
      <sheetName val="Д-36-1"/>
      <sheetName val="Д-36-3"/>
      <sheetName val="Д-36-4"/>
      <sheetName val="З-31-4"/>
      <sheetName val="Зел 31-6"/>
      <sheetName val="З-35-4"/>
      <sheetName val="З-35-5"/>
      <sheetName val="Зел 45"/>
      <sheetName val="П-24-1"/>
      <sheetName val="П-28-5"/>
      <sheetName val="П-32-2"/>
      <sheetName val="Фест 53-1"/>
      <sheetName val="БМж"/>
      <sheetName val="З-21-1"/>
      <sheetName val="Площ.лифт.из экспл."/>
      <sheetName val="мусор (вывоз)"/>
      <sheetName val="мусор (уборка)"/>
      <sheetName val="Осмотр мусоропр."/>
      <sheetName val="расчеты"/>
      <sheetName val="Объемы на 2017 год"/>
      <sheetName val="Новые расценки копия"/>
      <sheetName val="НОВЫЕ РАСЦЕНКИ для разбивки коп"/>
      <sheetName val="НОВЫЕ РАСЦЕНКИ для разбивки"/>
      <sheetName val="Шаблон"/>
      <sheetName val="2019 год"/>
    </sheetNames>
    <sheetDataSet>
      <sheetData sheetId="0"/>
      <sheetData sheetId="1">
        <row r="7">
          <cell r="E7">
            <v>299</v>
          </cell>
          <cell r="I7">
            <v>233.94</v>
          </cell>
          <cell r="J7">
            <v>2.3393999999999999</v>
          </cell>
        </row>
        <row r="8">
          <cell r="E8">
            <v>53</v>
          </cell>
          <cell r="I8">
            <v>204.48</v>
          </cell>
          <cell r="J8">
            <v>2.0448</v>
          </cell>
        </row>
        <row r="9">
          <cell r="E9">
            <v>299</v>
          </cell>
          <cell r="I9">
            <v>315.37</v>
          </cell>
          <cell r="J9">
            <v>3.1537000000000002</v>
          </cell>
        </row>
        <row r="10">
          <cell r="E10">
            <v>53</v>
          </cell>
          <cell r="I10">
            <v>197.35</v>
          </cell>
          <cell r="J10">
            <v>19.734999999999999</v>
          </cell>
        </row>
        <row r="11">
          <cell r="E11">
            <v>299</v>
          </cell>
          <cell r="I11">
            <v>336.15</v>
          </cell>
          <cell r="J11">
            <v>3.3614999999999999</v>
          </cell>
        </row>
        <row r="12">
          <cell r="E12">
            <v>12</v>
          </cell>
          <cell r="I12">
            <v>333.48</v>
          </cell>
          <cell r="J12">
            <v>3.3348</v>
          </cell>
        </row>
        <row r="13">
          <cell r="E13">
            <v>12</v>
          </cell>
          <cell r="I13">
            <v>262.45</v>
          </cell>
          <cell r="J13">
            <v>2.6244999999999998</v>
          </cell>
        </row>
        <row r="14">
          <cell r="E14">
            <v>1</v>
          </cell>
          <cell r="I14">
            <v>860.15</v>
          </cell>
          <cell r="J14">
            <v>8.6014999999999997</v>
          </cell>
        </row>
        <row r="15">
          <cell r="E15">
            <v>1</v>
          </cell>
          <cell r="I15">
            <v>286.57</v>
          </cell>
          <cell r="J15">
            <v>2.8656999999999999</v>
          </cell>
        </row>
        <row r="16">
          <cell r="E16">
            <v>1</v>
          </cell>
          <cell r="I16">
            <v>179.12</v>
          </cell>
          <cell r="J16">
            <v>1.7911999999999999</v>
          </cell>
        </row>
        <row r="17">
          <cell r="E17">
            <v>1</v>
          </cell>
          <cell r="I17">
            <v>418.26</v>
          </cell>
          <cell r="J17">
            <v>4.1825999999999999</v>
          </cell>
        </row>
        <row r="18">
          <cell r="E18">
            <v>2</v>
          </cell>
          <cell r="I18">
            <v>416.53</v>
          </cell>
          <cell r="J18">
            <v>4.1653000000000002</v>
          </cell>
        </row>
        <row r="19">
          <cell r="E19">
            <v>1</v>
          </cell>
          <cell r="I19">
            <v>400.94</v>
          </cell>
          <cell r="J19">
            <v>4.0094000000000003</v>
          </cell>
        </row>
        <row r="20">
          <cell r="E20">
            <v>1</v>
          </cell>
          <cell r="I20">
            <v>269.24</v>
          </cell>
          <cell r="J20">
            <v>2.6924000000000001</v>
          </cell>
        </row>
        <row r="21">
          <cell r="E21">
            <v>2</v>
          </cell>
          <cell r="I21">
            <v>517.04</v>
          </cell>
          <cell r="J21">
            <v>5.1703999999999999</v>
          </cell>
        </row>
        <row r="22">
          <cell r="E22">
            <v>1</v>
          </cell>
          <cell r="I22">
            <v>257.11</v>
          </cell>
          <cell r="J22">
            <v>2.5710999999999999</v>
          </cell>
        </row>
        <row r="23">
          <cell r="E23">
            <v>1</v>
          </cell>
          <cell r="I23">
            <v>208.58</v>
          </cell>
          <cell r="J23">
            <v>2.0857999999999999</v>
          </cell>
        </row>
        <row r="24">
          <cell r="E24">
            <v>24</v>
          </cell>
          <cell r="I24">
            <v>369.74</v>
          </cell>
          <cell r="J24">
            <v>3.6974</v>
          </cell>
        </row>
        <row r="25">
          <cell r="E25">
            <v>0</v>
          </cell>
        </row>
        <row r="26">
          <cell r="E26">
            <v>2</v>
          </cell>
          <cell r="I26">
            <v>204.61</v>
          </cell>
          <cell r="J26">
            <v>2.0461</v>
          </cell>
        </row>
        <row r="27">
          <cell r="E27">
            <v>6</v>
          </cell>
          <cell r="I27">
            <v>767.3</v>
          </cell>
          <cell r="J27">
            <v>7.673</v>
          </cell>
        </row>
        <row r="28">
          <cell r="E28">
            <v>0</v>
          </cell>
          <cell r="I28">
            <v>1329.97</v>
          </cell>
          <cell r="J28">
            <v>13.2997</v>
          </cell>
        </row>
        <row r="29">
          <cell r="E29">
            <v>0</v>
          </cell>
        </row>
        <row r="30">
          <cell r="E30">
            <v>0</v>
          </cell>
          <cell r="I30">
            <v>0</v>
          </cell>
          <cell r="J30">
            <v>0</v>
          </cell>
        </row>
        <row r="31">
          <cell r="E31">
            <v>2</v>
          </cell>
          <cell r="I31">
            <v>68.430000000000007</v>
          </cell>
          <cell r="J31">
            <v>68.430000000000007</v>
          </cell>
        </row>
        <row r="32">
          <cell r="E32">
            <v>1</v>
          </cell>
          <cell r="I32">
            <v>168.33</v>
          </cell>
          <cell r="J32">
            <v>1.6833</v>
          </cell>
        </row>
        <row r="33">
          <cell r="E33">
            <v>365</v>
          </cell>
          <cell r="I33">
            <v>84.8</v>
          </cell>
          <cell r="J33">
            <v>8.48</v>
          </cell>
        </row>
        <row r="34">
          <cell r="E34">
            <v>0</v>
          </cell>
          <cell r="I34">
            <v>0</v>
          </cell>
          <cell r="J34">
            <v>0</v>
          </cell>
        </row>
        <row r="35">
          <cell r="E35">
            <v>0</v>
          </cell>
        </row>
        <row r="36">
          <cell r="E36">
            <v>53</v>
          </cell>
          <cell r="I36">
            <v>90.28</v>
          </cell>
          <cell r="J36">
            <v>90.28</v>
          </cell>
        </row>
        <row r="37">
          <cell r="E37">
            <v>22</v>
          </cell>
          <cell r="I37">
            <v>15.83</v>
          </cell>
          <cell r="J37">
            <v>15.83</v>
          </cell>
        </row>
        <row r="38">
          <cell r="E38">
            <v>0</v>
          </cell>
        </row>
        <row r="39">
          <cell r="E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E40">
            <v>365</v>
          </cell>
          <cell r="I40">
            <v>226.57</v>
          </cell>
          <cell r="J40">
            <v>226.57</v>
          </cell>
        </row>
        <row r="41">
          <cell r="I41">
            <v>0</v>
          </cell>
        </row>
        <row r="42">
          <cell r="E42">
            <v>0</v>
          </cell>
        </row>
        <row r="43">
          <cell r="E43">
            <v>365</v>
          </cell>
          <cell r="I43">
            <v>0</v>
          </cell>
          <cell r="J43">
            <v>0</v>
          </cell>
          <cell r="K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</v>
          </cell>
          <cell r="I46">
            <v>0</v>
          </cell>
          <cell r="J46">
            <v>0</v>
          </cell>
          <cell r="K46">
            <v>0</v>
          </cell>
        </row>
        <row r="47">
          <cell r="E47">
            <v>1</v>
          </cell>
          <cell r="I47">
            <v>0</v>
          </cell>
          <cell r="J47">
            <v>0</v>
          </cell>
          <cell r="K47">
            <v>0</v>
          </cell>
        </row>
        <row r="48">
          <cell r="E48">
            <v>1</v>
          </cell>
          <cell r="I48">
            <v>187.09</v>
          </cell>
          <cell r="J48">
            <v>187.09</v>
          </cell>
          <cell r="K48">
            <v>0</v>
          </cell>
        </row>
        <row r="49">
          <cell r="E49">
            <v>1</v>
          </cell>
          <cell r="I49">
            <v>0</v>
          </cell>
          <cell r="J49">
            <v>0</v>
          </cell>
          <cell r="K49">
            <v>0</v>
          </cell>
        </row>
        <row r="50">
          <cell r="E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E51">
            <v>0</v>
          </cell>
        </row>
        <row r="52">
          <cell r="E52">
            <v>1</v>
          </cell>
          <cell r="I52">
            <v>210.02</v>
          </cell>
          <cell r="J52">
            <v>210.02</v>
          </cell>
        </row>
        <row r="53">
          <cell r="E53">
            <v>0</v>
          </cell>
          <cell r="I53">
            <v>8867.57</v>
          </cell>
          <cell r="J53">
            <v>8867.57</v>
          </cell>
          <cell r="K53">
            <v>0</v>
          </cell>
        </row>
        <row r="54">
          <cell r="E54">
            <v>0</v>
          </cell>
          <cell r="I54">
            <v>369.12</v>
          </cell>
          <cell r="J54">
            <v>369.12</v>
          </cell>
          <cell r="K54">
            <v>0</v>
          </cell>
        </row>
        <row r="55">
          <cell r="E55">
            <v>2</v>
          </cell>
          <cell r="I55">
            <v>8993.14</v>
          </cell>
          <cell r="J55">
            <v>89.931399999999996</v>
          </cell>
        </row>
        <row r="56">
          <cell r="E56">
            <v>1</v>
          </cell>
          <cell r="I56">
            <v>354.92</v>
          </cell>
          <cell r="J56">
            <v>354.92</v>
          </cell>
        </row>
        <row r="57">
          <cell r="E57">
            <v>53</v>
          </cell>
          <cell r="I57">
            <v>719.14</v>
          </cell>
          <cell r="J57">
            <v>7.1913999999999998</v>
          </cell>
        </row>
        <row r="58">
          <cell r="E58">
            <v>0</v>
          </cell>
          <cell r="I58">
            <v>623.76</v>
          </cell>
          <cell r="J58">
            <v>6.2375999999999996</v>
          </cell>
          <cell r="K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E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E61">
            <v>0</v>
          </cell>
        </row>
        <row r="62">
          <cell r="E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E63">
            <v>0</v>
          </cell>
          <cell r="I63">
            <v>75.86</v>
          </cell>
          <cell r="J63">
            <v>75.86</v>
          </cell>
          <cell r="K63">
            <v>0</v>
          </cell>
        </row>
        <row r="64">
          <cell r="E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E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E66">
            <v>0</v>
          </cell>
        </row>
        <row r="67">
          <cell r="E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E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E69">
            <v>1</v>
          </cell>
          <cell r="I69">
            <v>149.59</v>
          </cell>
          <cell r="J69">
            <v>149.59</v>
          </cell>
          <cell r="K69">
            <v>0</v>
          </cell>
        </row>
        <row r="70">
          <cell r="E70">
            <v>1</v>
          </cell>
          <cell r="I70">
            <v>295.22000000000003</v>
          </cell>
          <cell r="J70">
            <v>295.22000000000003</v>
          </cell>
          <cell r="K70">
            <v>0</v>
          </cell>
        </row>
        <row r="71">
          <cell r="E71">
            <v>1</v>
          </cell>
          <cell r="I71">
            <v>106.01</v>
          </cell>
          <cell r="J71">
            <v>106.01</v>
          </cell>
          <cell r="K71">
            <v>0</v>
          </cell>
        </row>
        <row r="72">
          <cell r="E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E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E74">
            <v>0</v>
          </cell>
        </row>
        <row r="75">
          <cell r="E75">
            <v>1</v>
          </cell>
          <cell r="I75">
            <v>748.08</v>
          </cell>
          <cell r="J75">
            <v>748.08</v>
          </cell>
          <cell r="K75">
            <v>0</v>
          </cell>
        </row>
        <row r="76">
          <cell r="E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E77">
            <v>1</v>
          </cell>
          <cell r="I77">
            <v>852.2</v>
          </cell>
          <cell r="J77">
            <v>852.2</v>
          </cell>
          <cell r="K77">
            <v>0</v>
          </cell>
        </row>
        <row r="78">
          <cell r="E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E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E80">
            <v>0</v>
          </cell>
          <cell r="I80">
            <v>975.51</v>
          </cell>
          <cell r="J80">
            <v>975.51</v>
          </cell>
          <cell r="K80">
            <v>0</v>
          </cell>
        </row>
        <row r="81">
          <cell r="E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E82">
            <v>0</v>
          </cell>
        </row>
        <row r="83">
          <cell r="E83">
            <v>1</v>
          </cell>
          <cell r="I83">
            <v>111.14</v>
          </cell>
          <cell r="J83">
            <v>111.14</v>
          </cell>
          <cell r="K83">
            <v>0</v>
          </cell>
        </row>
        <row r="84">
          <cell r="E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E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E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E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E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E89">
            <v>0</v>
          </cell>
          <cell r="I89">
            <v>0</v>
          </cell>
          <cell r="J89">
            <v>0</v>
          </cell>
          <cell r="K89">
            <v>0</v>
          </cell>
        </row>
        <row r="90">
          <cell r="E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E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E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E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E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</row>
        <row r="96">
          <cell r="E96">
            <v>1</v>
          </cell>
          <cell r="I96">
            <v>462.33</v>
          </cell>
          <cell r="J96">
            <v>462.33</v>
          </cell>
        </row>
        <row r="97">
          <cell r="E97">
            <v>0</v>
          </cell>
          <cell r="I97">
            <v>0</v>
          </cell>
          <cell r="J97">
            <v>0</v>
          </cell>
        </row>
        <row r="98">
          <cell r="E98">
            <v>0</v>
          </cell>
          <cell r="I98">
            <v>0</v>
          </cell>
          <cell r="J98">
            <v>0</v>
          </cell>
        </row>
        <row r="99">
          <cell r="E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E100">
            <v>0</v>
          </cell>
        </row>
        <row r="101">
          <cell r="E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E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E103">
            <v>1</v>
          </cell>
          <cell r="I103">
            <v>86.11</v>
          </cell>
          <cell r="J103">
            <v>0.86109999999999998</v>
          </cell>
          <cell r="K103">
            <v>0</v>
          </cell>
        </row>
        <row r="104">
          <cell r="E104">
            <v>0</v>
          </cell>
          <cell r="I104">
            <v>101.49</v>
          </cell>
          <cell r="J104">
            <v>101.49</v>
          </cell>
          <cell r="K104">
            <v>0</v>
          </cell>
        </row>
        <row r="105">
          <cell r="E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  <cell r="I108">
            <v>2152.7199999999998</v>
          </cell>
          <cell r="J108">
            <v>2.1526999999999998</v>
          </cell>
          <cell r="K108">
            <v>0</v>
          </cell>
        </row>
        <row r="109">
          <cell r="I109">
            <v>190.12</v>
          </cell>
          <cell r="J109">
            <v>1.9012</v>
          </cell>
        </row>
        <row r="110">
          <cell r="E110">
            <v>0</v>
          </cell>
          <cell r="I110">
            <v>0</v>
          </cell>
          <cell r="J110">
            <v>0</v>
          </cell>
        </row>
        <row r="111">
          <cell r="E111">
            <v>0</v>
          </cell>
          <cell r="I111">
            <v>112.65</v>
          </cell>
          <cell r="J111">
            <v>11.265000000000001</v>
          </cell>
        </row>
        <row r="112">
          <cell r="E112">
            <v>1</v>
          </cell>
          <cell r="I112">
            <v>418.77</v>
          </cell>
          <cell r="J112">
            <v>418.77</v>
          </cell>
        </row>
        <row r="113">
          <cell r="E113">
            <v>2</v>
          </cell>
          <cell r="I113">
            <v>3134.33</v>
          </cell>
          <cell r="J113">
            <v>3.1343000000000001</v>
          </cell>
        </row>
        <row r="114">
          <cell r="E114">
            <v>0</v>
          </cell>
          <cell r="I114">
            <v>0</v>
          </cell>
          <cell r="J114">
            <v>0</v>
          </cell>
        </row>
        <row r="115">
          <cell r="E115">
            <v>2</v>
          </cell>
          <cell r="I115">
            <v>86.808800000000005</v>
          </cell>
          <cell r="J115">
            <v>86.808800000000005</v>
          </cell>
        </row>
        <row r="116">
          <cell r="E116">
            <v>6</v>
          </cell>
          <cell r="I116">
            <v>220.30320000000003</v>
          </cell>
          <cell r="J116">
            <v>220.3032</v>
          </cell>
          <cell r="K116">
            <v>0</v>
          </cell>
        </row>
        <row r="117">
          <cell r="E117">
            <v>12</v>
          </cell>
          <cell r="I117">
            <v>28458.322033898305</v>
          </cell>
          <cell r="J117">
            <v>28458.322</v>
          </cell>
          <cell r="K117">
            <v>0</v>
          </cell>
        </row>
        <row r="118">
          <cell r="I118">
            <v>94.338399999999993</v>
          </cell>
          <cell r="J118">
            <v>94.338399999999993</v>
          </cell>
          <cell r="K118">
            <v>0</v>
          </cell>
        </row>
        <row r="119">
          <cell r="I119">
            <v>195.43680000000001</v>
          </cell>
          <cell r="J119">
            <v>195.43680000000001</v>
          </cell>
        </row>
        <row r="120">
          <cell r="E120">
            <v>1</v>
          </cell>
          <cell r="I120">
            <v>22033.440000000002</v>
          </cell>
          <cell r="J120">
            <v>22033.439999999999</v>
          </cell>
          <cell r="K120">
            <v>0</v>
          </cell>
        </row>
        <row r="121">
          <cell r="E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E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I123">
            <v>0</v>
          </cell>
          <cell r="J123">
            <v>0</v>
          </cell>
        </row>
        <row r="124">
          <cell r="I124">
            <v>0</v>
          </cell>
          <cell r="J124">
            <v>0</v>
          </cell>
        </row>
        <row r="125">
          <cell r="I125">
            <v>0</v>
          </cell>
          <cell r="J125">
            <v>0</v>
          </cell>
        </row>
        <row r="126">
          <cell r="I126">
            <v>3.79</v>
          </cell>
          <cell r="J126">
            <v>3.79</v>
          </cell>
        </row>
        <row r="127">
          <cell r="E127">
            <v>0</v>
          </cell>
          <cell r="I127">
            <v>0</v>
          </cell>
          <cell r="J127">
            <v>0</v>
          </cell>
        </row>
        <row r="128">
          <cell r="E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E129">
            <v>0</v>
          </cell>
          <cell r="I129">
            <v>20405.59</v>
          </cell>
          <cell r="J129">
            <v>20405.59</v>
          </cell>
          <cell r="K129">
            <v>0</v>
          </cell>
        </row>
        <row r="130">
          <cell r="E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E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E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E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E134">
            <v>0</v>
          </cell>
          <cell r="I134">
            <v>0</v>
          </cell>
          <cell r="J134">
            <v>0</v>
          </cell>
        </row>
        <row r="135">
          <cell r="E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E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E140">
            <v>12</v>
          </cell>
          <cell r="I140">
            <v>3.79</v>
          </cell>
          <cell r="J140">
            <v>3.79</v>
          </cell>
        </row>
        <row r="141">
          <cell r="E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E142">
            <v>12</v>
          </cell>
          <cell r="I142">
            <v>16.37</v>
          </cell>
          <cell r="J142">
            <v>16.37</v>
          </cell>
        </row>
        <row r="143">
          <cell r="E143">
            <v>365</v>
          </cell>
          <cell r="I143">
            <v>125.78</v>
          </cell>
          <cell r="J143">
            <v>12.577999999999999</v>
          </cell>
        </row>
        <row r="144">
          <cell r="E144">
            <v>12</v>
          </cell>
          <cell r="I144">
            <v>63.58</v>
          </cell>
          <cell r="J144">
            <v>63.58</v>
          </cell>
        </row>
        <row r="145">
          <cell r="E145">
            <v>12</v>
          </cell>
          <cell r="I145">
            <v>95.48</v>
          </cell>
          <cell r="J145">
            <v>9.548</v>
          </cell>
        </row>
        <row r="146">
          <cell r="E146">
            <v>12</v>
          </cell>
          <cell r="I146">
            <v>62.81</v>
          </cell>
          <cell r="J146">
            <v>6.2809999999999997</v>
          </cell>
        </row>
        <row r="147">
          <cell r="E147">
            <v>12</v>
          </cell>
          <cell r="I147">
            <v>11.63</v>
          </cell>
          <cell r="J147">
            <v>11.63</v>
          </cell>
        </row>
        <row r="148">
          <cell r="E148">
            <v>1</v>
          </cell>
          <cell r="I148">
            <v>571.83000000000004</v>
          </cell>
          <cell r="J148">
            <v>571.83000000000004</v>
          </cell>
        </row>
        <row r="149">
          <cell r="E149">
            <v>1</v>
          </cell>
          <cell r="I149">
            <v>917.16</v>
          </cell>
          <cell r="J149">
            <v>917.16</v>
          </cell>
        </row>
        <row r="150">
          <cell r="E150">
            <v>0</v>
          </cell>
          <cell r="I150">
            <v>0</v>
          </cell>
          <cell r="J150">
            <v>0</v>
          </cell>
        </row>
        <row r="151">
          <cell r="E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I154">
            <v>0</v>
          </cell>
        </row>
        <row r="155">
          <cell r="E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I156">
            <v>0</v>
          </cell>
          <cell r="J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  <cell r="I159">
            <v>94.6</v>
          </cell>
          <cell r="J159">
            <v>94.6</v>
          </cell>
          <cell r="K159">
            <v>0</v>
          </cell>
        </row>
        <row r="160">
          <cell r="I160">
            <v>0</v>
          </cell>
          <cell r="J160">
            <v>0</v>
          </cell>
        </row>
        <row r="161">
          <cell r="E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E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E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E168">
            <v>0</v>
          </cell>
          <cell r="I168">
            <v>0</v>
          </cell>
          <cell r="J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E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E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  <cell r="I176">
            <v>0</v>
          </cell>
          <cell r="J176">
            <v>0</v>
          </cell>
        </row>
        <row r="177">
          <cell r="E177">
            <v>0</v>
          </cell>
          <cell r="I177">
            <v>0</v>
          </cell>
          <cell r="J177">
            <v>0</v>
          </cell>
        </row>
        <row r="178">
          <cell r="E178">
            <v>0</v>
          </cell>
          <cell r="I178">
            <v>0</v>
          </cell>
          <cell r="J178">
            <v>0</v>
          </cell>
          <cell r="K178">
            <v>0</v>
          </cell>
        </row>
        <row r="179">
          <cell r="E179">
            <v>0</v>
          </cell>
        </row>
        <row r="180">
          <cell r="E180">
            <v>0</v>
          </cell>
          <cell r="I180">
            <v>0</v>
          </cell>
          <cell r="J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  <cell r="I183">
            <v>0</v>
          </cell>
          <cell r="J183">
            <v>2.57</v>
          </cell>
          <cell r="K183">
            <v>0</v>
          </cell>
        </row>
        <row r="184">
          <cell r="I184">
            <v>0</v>
          </cell>
          <cell r="J184">
            <v>0</v>
          </cell>
        </row>
        <row r="185">
          <cell r="E185">
            <v>0</v>
          </cell>
          <cell r="I185">
            <v>0</v>
          </cell>
          <cell r="J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E189">
            <v>12</v>
          </cell>
          <cell r="I189">
            <v>367.23180000000002</v>
          </cell>
          <cell r="J189">
            <v>367.23180000000002</v>
          </cell>
        </row>
        <row r="190">
          <cell r="E190">
            <v>0</v>
          </cell>
          <cell r="I190">
            <v>0</v>
          </cell>
          <cell r="J190">
            <v>0</v>
          </cell>
        </row>
        <row r="191">
          <cell r="E19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45"/>
  <sheetViews>
    <sheetView tabSelected="1" topLeftCell="A14" workbookViewId="0">
      <selection activeCell="I28" sqref="I28"/>
    </sheetView>
  </sheetViews>
  <sheetFormatPr defaultRowHeight="12.75" x14ac:dyDescent="0.2"/>
  <cols>
    <col min="2" max="2" width="29" customWidth="1"/>
    <col min="3" max="3" width="15" customWidth="1"/>
    <col min="4" max="4" width="16.42578125" customWidth="1"/>
    <col min="5" max="5" width="3.85546875" customWidth="1"/>
    <col min="6" max="6" width="13" customWidth="1"/>
    <col min="7" max="8" width="17.28515625" customWidth="1"/>
    <col min="13" max="13" width="11.28515625" customWidth="1"/>
    <col min="14" max="14" width="11.7109375" customWidth="1"/>
    <col min="15" max="15" width="11.5703125" customWidth="1"/>
    <col min="16" max="16" width="12.28515625" customWidth="1"/>
  </cols>
  <sheetData>
    <row r="3" spans="1:16" x14ac:dyDescent="0.2">
      <c r="A3" t="s">
        <v>0</v>
      </c>
      <c r="C3" s="1" t="s">
        <v>1</v>
      </c>
    </row>
    <row r="4" spans="1:16" x14ac:dyDescent="0.2">
      <c r="A4" s="2" t="s">
        <v>2</v>
      </c>
      <c r="B4" s="2"/>
      <c r="C4" s="3">
        <f>'[2]свод- исходные'!K7</f>
        <v>74726.399999999994</v>
      </c>
      <c r="D4" s="2" t="s">
        <v>3</v>
      </c>
      <c r="E4" s="4"/>
    </row>
    <row r="5" spans="1:16" ht="24.75" customHeight="1" x14ac:dyDescent="0.2">
      <c r="A5" s="418" t="s">
        <v>4</v>
      </c>
      <c r="B5" s="418"/>
      <c r="C5" s="5">
        <f>'[2]свод- исходные'!L7</f>
        <v>64464.5</v>
      </c>
      <c r="D5" s="2"/>
      <c r="E5" s="4"/>
    </row>
    <row r="6" spans="1:16" ht="27" customHeight="1" x14ac:dyDescent="0.2">
      <c r="A6" s="418" t="s">
        <v>5</v>
      </c>
      <c r="B6" s="418"/>
      <c r="C6" s="5">
        <f>'[2]свод- исходные'!N7</f>
        <v>10261.900000000001</v>
      </c>
      <c r="D6" s="2"/>
      <c r="E6" s="4"/>
    </row>
    <row r="7" spans="1:16" x14ac:dyDescent="0.2">
      <c r="A7" s="6"/>
      <c r="B7" s="6"/>
      <c r="C7" s="4"/>
      <c r="D7" s="4"/>
      <c r="E7" s="4"/>
    </row>
    <row r="8" spans="1:16" x14ac:dyDescent="0.2">
      <c r="A8" s="6"/>
      <c r="B8" s="6"/>
      <c r="C8" s="4"/>
      <c r="D8" s="4"/>
      <c r="E8" s="4"/>
    </row>
    <row r="9" spans="1:16" ht="17.25" customHeight="1" x14ac:dyDescent="0.2">
      <c r="A9" s="424" t="s">
        <v>6</v>
      </c>
      <c r="B9" s="424"/>
      <c r="C9" s="4"/>
      <c r="D9" s="4"/>
      <c r="E9" s="4"/>
      <c r="G9" t="s">
        <v>7</v>
      </c>
    </row>
    <row r="10" spans="1:16" x14ac:dyDescent="0.2">
      <c r="A10" s="425" t="s">
        <v>8</v>
      </c>
      <c r="B10" s="426"/>
      <c r="C10" s="7" t="s">
        <v>9</v>
      </c>
      <c r="D10" s="7" t="s">
        <v>10</v>
      </c>
      <c r="E10" s="8"/>
      <c r="G10" s="7" t="s">
        <v>9</v>
      </c>
      <c r="H10" s="7" t="s">
        <v>10</v>
      </c>
    </row>
    <row r="11" spans="1:16" x14ac:dyDescent="0.2">
      <c r="A11" s="414" t="s">
        <v>11</v>
      </c>
      <c r="B11" s="415"/>
      <c r="C11" s="9">
        <f>Санитарка!I2</f>
        <v>7875823.4390626987</v>
      </c>
      <c r="D11" s="2">
        <f>ROUND(C11/$C$4/12,2)</f>
        <v>8.7799999999999994</v>
      </c>
      <c r="E11" s="4"/>
      <c r="G11" s="10">
        <v>11063548.67</v>
      </c>
      <c r="H11" s="2">
        <f>ROUND(G11/$C$4/12,2)</f>
        <v>12.34</v>
      </c>
      <c r="M11" s="414" t="s">
        <v>12</v>
      </c>
      <c r="N11" s="415"/>
      <c r="O11" s="5">
        <f>1833000+628304</f>
        <v>2461304</v>
      </c>
      <c r="P11" s="2">
        <f>ROUND(O11/$C$5/12,2)</f>
        <v>3.18</v>
      </c>
    </row>
    <row r="12" spans="1:16" x14ac:dyDescent="0.2">
      <c r="A12" s="414" t="s">
        <v>13</v>
      </c>
      <c r="B12" s="415"/>
      <c r="C12" s="9">
        <f>' Смета ремонт'!G35-' Смета ремонт'!G12-' Смета ремонт'!G32</f>
        <v>8764515.8132760003</v>
      </c>
      <c r="D12" s="2">
        <f>ROUND(C12/$C$4/12,2)</f>
        <v>9.77</v>
      </c>
      <c r="E12" s="4"/>
      <c r="G12" s="10">
        <v>12860281.699999999</v>
      </c>
      <c r="H12" s="2">
        <f t="shared" ref="H12:H40" si="0">ROUND(G12/$C$4/12,2)</f>
        <v>14.34</v>
      </c>
    </row>
    <row r="13" spans="1:16" x14ac:dyDescent="0.2">
      <c r="A13" s="419"/>
      <c r="B13" s="420"/>
      <c r="C13" s="9"/>
      <c r="D13" s="2">
        <f t="shared" ref="D13:D40" si="1">ROUND(C13/$C$4/12,2)</f>
        <v>0</v>
      </c>
      <c r="E13" s="4"/>
      <c r="F13" s="11" t="s">
        <v>14</v>
      </c>
      <c r="G13" s="10">
        <v>977900.24</v>
      </c>
      <c r="H13" s="2">
        <f t="shared" si="0"/>
        <v>1.0900000000000001</v>
      </c>
    </row>
    <row r="14" spans="1:16" x14ac:dyDescent="0.2">
      <c r="A14" s="414" t="s">
        <v>15</v>
      </c>
      <c r="B14" s="415"/>
      <c r="C14" s="9">
        <f>95*5000</f>
        <v>475000</v>
      </c>
      <c r="D14" s="2">
        <f t="shared" si="1"/>
        <v>0.53</v>
      </c>
      <c r="E14" s="4"/>
      <c r="G14" s="10">
        <v>0</v>
      </c>
      <c r="H14" s="2">
        <f t="shared" si="0"/>
        <v>0</v>
      </c>
      <c r="K14" t="s">
        <v>16</v>
      </c>
    </row>
    <row r="15" spans="1:16" x14ac:dyDescent="0.2">
      <c r="A15" s="414" t="s">
        <v>17</v>
      </c>
      <c r="B15" s="415"/>
      <c r="C15" s="5">
        <f>912933+223098</f>
        <v>1136031</v>
      </c>
      <c r="D15" s="2">
        <f t="shared" si="1"/>
        <v>1.27</v>
      </c>
      <c r="E15" s="4"/>
      <c r="G15" s="10">
        <v>1136031</v>
      </c>
      <c r="H15" s="2">
        <f t="shared" si="0"/>
        <v>1.27</v>
      </c>
    </row>
    <row r="16" spans="1:16" x14ac:dyDescent="0.2">
      <c r="A16" s="414" t="s">
        <v>18</v>
      </c>
      <c r="B16" s="415"/>
      <c r="C16" s="9">
        <f>'ДУ ППА'!J8</f>
        <v>3959074.9440000001</v>
      </c>
      <c r="D16" s="2">
        <f t="shared" si="1"/>
        <v>4.42</v>
      </c>
      <c r="E16" s="4"/>
      <c r="G16" s="10">
        <v>4044251.51</v>
      </c>
      <c r="H16" s="2">
        <f t="shared" si="0"/>
        <v>4.51</v>
      </c>
    </row>
    <row r="17" spans="1:16" x14ac:dyDescent="0.2">
      <c r="A17" s="423"/>
      <c r="B17" s="415"/>
      <c r="C17" s="2"/>
      <c r="D17" s="2"/>
      <c r="E17" s="4"/>
      <c r="G17" s="10"/>
      <c r="H17" s="2">
        <f t="shared" si="0"/>
        <v>0</v>
      </c>
    </row>
    <row r="18" spans="1:16" x14ac:dyDescent="0.2">
      <c r="A18" s="421" t="s">
        <v>19</v>
      </c>
      <c r="B18" s="422"/>
      <c r="C18" s="3">
        <f>SUM(C11:C17)</f>
        <v>22210445.196338698</v>
      </c>
      <c r="D18" s="2">
        <f t="shared" si="1"/>
        <v>24.77</v>
      </c>
      <c r="E18" s="4"/>
      <c r="G18" s="10"/>
      <c r="H18" s="2">
        <f t="shared" si="0"/>
        <v>0</v>
      </c>
    </row>
    <row r="19" spans="1:16" x14ac:dyDescent="0.2">
      <c r="A19" s="414"/>
      <c r="B19" s="415"/>
      <c r="C19" s="2"/>
      <c r="D19" s="2"/>
      <c r="E19" s="4"/>
      <c r="G19" s="10"/>
      <c r="H19" s="2">
        <f t="shared" si="0"/>
        <v>0</v>
      </c>
    </row>
    <row r="20" spans="1:16" x14ac:dyDescent="0.2">
      <c r="A20" s="414" t="s">
        <v>20</v>
      </c>
      <c r="B20" s="415"/>
      <c r="C20" s="9">
        <v>662682.31999999995</v>
      </c>
      <c r="D20" s="2">
        <f t="shared" si="1"/>
        <v>0.74</v>
      </c>
      <c r="E20" s="4"/>
      <c r="G20" s="10">
        <v>2942275.66</v>
      </c>
      <c r="H20" s="2">
        <f t="shared" si="0"/>
        <v>3.28</v>
      </c>
    </row>
    <row r="21" spans="1:16" x14ac:dyDescent="0.2">
      <c r="A21" s="414" t="s">
        <v>21</v>
      </c>
      <c r="B21" s="415"/>
      <c r="C21" s="9">
        <f>лифты!J11</f>
        <v>6874053.8880000003</v>
      </c>
      <c r="D21" s="2">
        <f t="shared" si="1"/>
        <v>7.67</v>
      </c>
      <c r="E21" s="4"/>
      <c r="G21" s="10">
        <v>4721834.7</v>
      </c>
      <c r="H21" s="2">
        <f t="shared" si="0"/>
        <v>5.27</v>
      </c>
    </row>
    <row r="22" spans="1:16" x14ac:dyDescent="0.2">
      <c r="A22" s="414" t="s">
        <v>22</v>
      </c>
      <c r="B22" s="415"/>
      <c r="C22" s="9">
        <f>мусор!J34</f>
        <v>1423376.1600000001</v>
      </c>
      <c r="D22" s="2">
        <f t="shared" si="1"/>
        <v>1.59</v>
      </c>
      <c r="E22" s="4"/>
      <c r="G22" s="10">
        <v>1891072.51</v>
      </c>
      <c r="H22" s="2">
        <f t="shared" si="0"/>
        <v>2.11</v>
      </c>
    </row>
    <row r="23" spans="1:16" x14ac:dyDescent="0.2">
      <c r="A23" s="414" t="s">
        <v>23</v>
      </c>
      <c r="B23" s="415"/>
      <c r="C23" s="9">
        <f>дератизация!I10+дератизация!G10</f>
        <v>422629.57440000004</v>
      </c>
      <c r="D23" s="2">
        <f t="shared" si="1"/>
        <v>0.47</v>
      </c>
      <c r="E23" s="4"/>
      <c r="G23" s="10">
        <v>215956.71</v>
      </c>
      <c r="H23" s="2">
        <f t="shared" si="0"/>
        <v>0.24</v>
      </c>
    </row>
    <row r="24" spans="1:16" x14ac:dyDescent="0.2">
      <c r="A24" s="414" t="s">
        <v>24</v>
      </c>
      <c r="B24" s="415"/>
      <c r="C24" s="2"/>
      <c r="D24" s="466">
        <f t="shared" si="1"/>
        <v>0</v>
      </c>
      <c r="E24" s="4"/>
      <c r="G24" s="10">
        <v>455496.14</v>
      </c>
      <c r="H24" s="2">
        <f t="shared" si="0"/>
        <v>0.51</v>
      </c>
    </row>
    <row r="25" spans="1:16" x14ac:dyDescent="0.2">
      <c r="A25" s="414" t="s">
        <v>25</v>
      </c>
      <c r="B25" s="415"/>
      <c r="C25" s="2"/>
      <c r="D25" s="466">
        <f t="shared" si="1"/>
        <v>0</v>
      </c>
      <c r="E25" s="4"/>
      <c r="G25" s="10">
        <v>192551.55</v>
      </c>
      <c r="H25" s="2">
        <f t="shared" si="0"/>
        <v>0.21</v>
      </c>
      <c r="K25" t="s">
        <v>26</v>
      </c>
    </row>
    <row r="26" spans="1:16" x14ac:dyDescent="0.2">
      <c r="A26" s="414" t="s">
        <v>27</v>
      </c>
      <c r="B26" s="415"/>
      <c r="C26" s="2"/>
      <c r="D26" s="466">
        <f t="shared" si="1"/>
        <v>0</v>
      </c>
      <c r="E26" s="4"/>
      <c r="G26" s="10">
        <v>37473.31</v>
      </c>
      <c r="H26" s="2">
        <f t="shared" si="0"/>
        <v>0.04</v>
      </c>
      <c r="K26" t="s">
        <v>28</v>
      </c>
    </row>
    <row r="27" spans="1:16" x14ac:dyDescent="0.2">
      <c r="A27" s="414" t="s">
        <v>29</v>
      </c>
      <c r="B27" s="415"/>
      <c r="C27" s="2"/>
      <c r="D27" s="466">
        <f t="shared" si="1"/>
        <v>0</v>
      </c>
      <c r="E27" s="4"/>
      <c r="G27" s="10">
        <v>1490297.73</v>
      </c>
      <c r="H27" s="2">
        <f t="shared" si="0"/>
        <v>1.66</v>
      </c>
    </row>
    <row r="28" spans="1:16" ht="15.75" x14ac:dyDescent="0.25">
      <c r="A28" s="419" t="s">
        <v>30</v>
      </c>
      <c r="B28" s="420"/>
      <c r="C28" s="12">
        <v>8100000</v>
      </c>
      <c r="D28" s="2">
        <f t="shared" si="1"/>
        <v>9.0299999999999994</v>
      </c>
      <c r="E28" s="4"/>
      <c r="G28" s="10"/>
      <c r="H28" s="2">
        <f t="shared" si="0"/>
        <v>0</v>
      </c>
      <c r="I28" s="13" t="s">
        <v>31</v>
      </c>
    </row>
    <row r="29" spans="1:16" x14ac:dyDescent="0.2">
      <c r="A29" s="421" t="s">
        <v>32</v>
      </c>
      <c r="B29" s="422"/>
      <c r="C29" s="3">
        <f>SUM(C20:C28)</f>
        <v>17482741.942400001</v>
      </c>
      <c r="D29" s="2">
        <f t="shared" si="1"/>
        <v>19.5</v>
      </c>
      <c r="E29" s="4"/>
      <c r="G29" s="10"/>
      <c r="H29" s="2">
        <f t="shared" si="0"/>
        <v>0</v>
      </c>
    </row>
    <row r="30" spans="1:16" x14ac:dyDescent="0.2">
      <c r="D30" s="2"/>
      <c r="G30" s="10"/>
      <c r="H30" s="2">
        <f t="shared" si="0"/>
        <v>0</v>
      </c>
    </row>
    <row r="31" spans="1:16" x14ac:dyDescent="0.2">
      <c r="A31" s="414" t="s">
        <v>33</v>
      </c>
      <c r="B31" s="415"/>
      <c r="C31" s="9">
        <v>1784338.33</v>
      </c>
      <c r="D31" s="2">
        <f t="shared" si="1"/>
        <v>1.99</v>
      </c>
      <c r="E31" s="4"/>
      <c r="G31" s="10">
        <v>0</v>
      </c>
      <c r="H31" s="2">
        <f t="shared" si="0"/>
        <v>0</v>
      </c>
      <c r="P31" s="14"/>
    </row>
    <row r="32" spans="1:16" x14ac:dyDescent="0.2">
      <c r="A32" s="2" t="s">
        <v>34</v>
      </c>
      <c r="B32" s="2"/>
      <c r="C32" s="9">
        <v>54937.3</v>
      </c>
      <c r="D32" s="2">
        <f t="shared" si="1"/>
        <v>0.06</v>
      </c>
      <c r="E32" s="4"/>
      <c r="G32" s="10">
        <v>0</v>
      </c>
      <c r="H32" s="2">
        <f t="shared" si="0"/>
        <v>0</v>
      </c>
    </row>
    <row r="33" spans="1:8" x14ac:dyDescent="0.2">
      <c r="A33" s="416" t="s">
        <v>35</v>
      </c>
      <c r="B33" s="416"/>
      <c r="C33" s="3">
        <f>C31+C32</f>
        <v>1839275.6300000001</v>
      </c>
      <c r="D33" s="2">
        <f t="shared" si="1"/>
        <v>2.0499999999999998</v>
      </c>
      <c r="E33" s="4"/>
      <c r="G33" s="10"/>
      <c r="H33" s="2">
        <f t="shared" si="0"/>
        <v>0</v>
      </c>
    </row>
    <row r="34" spans="1:8" x14ac:dyDescent="0.2">
      <c r="A34" s="4"/>
      <c r="B34" s="4"/>
      <c r="C34" s="8"/>
      <c r="D34" s="2"/>
      <c r="G34" s="10"/>
      <c r="H34" s="2">
        <f t="shared" si="0"/>
        <v>0</v>
      </c>
    </row>
    <row r="35" spans="1:8" x14ac:dyDescent="0.2">
      <c r="A35" s="2" t="s">
        <v>36</v>
      </c>
      <c r="B35" s="2"/>
      <c r="C35" s="2"/>
      <c r="D35" s="466">
        <f t="shared" si="1"/>
        <v>0</v>
      </c>
      <c r="E35" s="4"/>
      <c r="G35" s="10">
        <v>3118703.14</v>
      </c>
      <c r="H35" s="2">
        <f>ROUND(G35/$C$4/12,2)</f>
        <v>3.48</v>
      </c>
    </row>
    <row r="36" spans="1:8" x14ac:dyDescent="0.2">
      <c r="A36" s="15"/>
      <c r="B36" s="16" t="s">
        <v>37</v>
      </c>
      <c r="C36" s="3">
        <f>C18+C29+C33+C35</f>
        <v>41532462.768738702</v>
      </c>
      <c r="D36" s="2">
        <f t="shared" si="1"/>
        <v>46.32</v>
      </c>
      <c r="E36" s="4"/>
      <c r="G36" s="10"/>
      <c r="H36" s="2">
        <f t="shared" si="0"/>
        <v>0</v>
      </c>
    </row>
    <row r="37" spans="1:8" x14ac:dyDescent="0.2">
      <c r="A37" s="17"/>
      <c r="B37" s="18"/>
      <c r="C37" s="2"/>
      <c r="D37" s="2">
        <f t="shared" si="1"/>
        <v>0</v>
      </c>
      <c r="E37" s="4"/>
      <c r="G37" s="10"/>
      <c r="H37" s="2">
        <f t="shared" si="0"/>
        <v>0</v>
      </c>
    </row>
    <row r="38" spans="1:8" x14ac:dyDescent="0.2">
      <c r="A38" s="414" t="s">
        <v>38</v>
      </c>
      <c r="B38" s="415"/>
      <c r="C38" s="3">
        <f>C36*10%</f>
        <v>4153246.2768738703</v>
      </c>
      <c r="D38" s="2">
        <f t="shared" si="1"/>
        <v>4.63</v>
      </c>
      <c r="E38" s="4"/>
      <c r="G38" s="10">
        <v>5308525.4400000004</v>
      </c>
      <c r="H38" s="2">
        <f t="shared" si="0"/>
        <v>5.92</v>
      </c>
    </row>
    <row r="39" spans="1:8" x14ac:dyDescent="0.2">
      <c r="A39" s="17"/>
      <c r="B39" s="18"/>
      <c r="C39" s="3"/>
      <c r="D39" s="2">
        <f t="shared" si="1"/>
        <v>0</v>
      </c>
      <c r="E39" s="4"/>
      <c r="F39" s="11" t="s">
        <v>39</v>
      </c>
      <c r="G39" s="10">
        <v>454078.15</v>
      </c>
      <c r="H39" s="2">
        <f t="shared" si="0"/>
        <v>0.51</v>
      </c>
    </row>
    <row r="40" spans="1:8" x14ac:dyDescent="0.2">
      <c r="A40" s="416" t="s">
        <v>37</v>
      </c>
      <c r="B40" s="416"/>
      <c r="C40" s="3">
        <f>C36+C38</f>
        <v>45685709.045612574</v>
      </c>
      <c r="D40" s="2">
        <f t="shared" si="1"/>
        <v>50.95</v>
      </c>
      <c r="E40" s="4"/>
      <c r="G40" s="3">
        <f>SUM(G11:G39)</f>
        <v>50910278.159999989</v>
      </c>
      <c r="H40" s="2">
        <f t="shared" si="0"/>
        <v>56.77</v>
      </c>
    </row>
    <row r="41" spans="1:8" s="4" customFormat="1" x14ac:dyDescent="0.2">
      <c r="A41" s="417"/>
      <c r="B41" s="417"/>
      <c r="C41" s="19"/>
      <c r="G41" s="19"/>
    </row>
    <row r="42" spans="1:8" s="4" customFormat="1" x14ac:dyDescent="0.2">
      <c r="A42" s="2" t="s">
        <v>40</v>
      </c>
      <c r="B42" s="2"/>
      <c r="C42" s="3">
        <v>10920</v>
      </c>
      <c r="G42" s="19"/>
    </row>
    <row r="43" spans="1:8" x14ac:dyDescent="0.2">
      <c r="A43" s="418" t="s">
        <v>41</v>
      </c>
      <c r="B43" s="418"/>
      <c r="C43" s="3">
        <v>815</v>
      </c>
    </row>
    <row r="44" spans="1:8" s="4" customFormat="1" x14ac:dyDescent="0.2">
      <c r="A44" s="6"/>
      <c r="B44" s="6"/>
      <c r="C44" s="14"/>
    </row>
    <row r="45" spans="1:8" x14ac:dyDescent="0.2">
      <c r="A45" s="413" t="s">
        <v>42</v>
      </c>
      <c r="B45" s="413"/>
      <c r="C45" s="7">
        <v>0</v>
      </c>
      <c r="D45" s="466">
        <f>ROUND(C45/C43/12,2)</f>
        <v>0</v>
      </c>
      <c r="E45" s="4"/>
      <c r="G45" s="10">
        <v>528807.99</v>
      </c>
      <c r="H45" s="2">
        <f>ROUND(G45/$C$4/12,2)</f>
        <v>0.59</v>
      </c>
    </row>
  </sheetData>
  <mergeCells count="31">
    <mergeCell ref="M11:N11"/>
    <mergeCell ref="A17:B17"/>
    <mergeCell ref="A5:B5"/>
    <mergeCell ref="A6:B6"/>
    <mergeCell ref="A9:B9"/>
    <mergeCell ref="A10:B10"/>
    <mergeCell ref="A11:B11"/>
    <mergeCell ref="A12:B12"/>
    <mergeCell ref="A13:B13"/>
    <mergeCell ref="A14:B14"/>
    <mergeCell ref="A15:B15"/>
    <mergeCell ref="A16:B16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45:B45"/>
    <mergeCell ref="A31:B31"/>
    <mergeCell ref="A33:B33"/>
    <mergeCell ref="A38:B38"/>
    <mergeCell ref="A40:B40"/>
    <mergeCell ref="A41:B41"/>
    <mergeCell ref="A43:B4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16"/>
  <sheetViews>
    <sheetView workbookViewId="0">
      <selection activeCell="M14" sqref="M14:P14"/>
    </sheetView>
  </sheetViews>
  <sheetFormatPr defaultRowHeight="12.75" x14ac:dyDescent="0.2"/>
  <cols>
    <col min="1" max="1" width="4" customWidth="1"/>
    <col min="2" max="2" width="29.42578125" customWidth="1"/>
    <col min="3" max="3" width="10.42578125" customWidth="1"/>
    <col min="4" max="4" width="8.42578125" style="20" customWidth="1"/>
    <col min="5" max="5" width="7.5703125" style="20" customWidth="1"/>
    <col min="6" max="6" width="9.140625" style="20"/>
    <col min="7" max="7" width="11.7109375" style="20" customWidth="1"/>
    <col min="8" max="8" width="9.140625" style="20"/>
    <col min="9" max="9" width="11.85546875" customWidth="1"/>
  </cols>
  <sheetData>
    <row r="1" spans="1:10" x14ac:dyDescent="0.2">
      <c r="B1" t="s">
        <v>687</v>
      </c>
      <c r="I1" s="4" t="s">
        <v>688</v>
      </c>
    </row>
    <row r="2" spans="1:10" x14ac:dyDescent="0.2">
      <c r="B2" s="1" t="s">
        <v>689</v>
      </c>
      <c r="C2" s="1"/>
      <c r="E2" s="400">
        <v>2.57</v>
      </c>
      <c r="F2" s="20" t="s">
        <v>690</v>
      </c>
      <c r="I2" s="401">
        <f>E2*1.18</f>
        <v>3.0325999999999995</v>
      </c>
    </row>
    <row r="3" spans="1:10" x14ac:dyDescent="0.2">
      <c r="B3" s="1" t="s">
        <v>691</v>
      </c>
      <c r="C3" s="1"/>
      <c r="E3" s="400">
        <v>11.64</v>
      </c>
      <c r="F3" s="20" t="s">
        <v>690</v>
      </c>
      <c r="I3" s="401">
        <f>E3*1.18</f>
        <v>13.735200000000001</v>
      </c>
    </row>
    <row r="4" spans="1:10" x14ac:dyDescent="0.2">
      <c r="B4" s="1" t="s">
        <v>692</v>
      </c>
      <c r="C4" s="1"/>
      <c r="E4" s="400">
        <f>1.4/12</f>
        <v>0.11666666666666665</v>
      </c>
      <c r="F4" s="20" t="s">
        <v>693</v>
      </c>
    </row>
    <row r="5" spans="1:10" x14ac:dyDescent="0.2">
      <c r="B5" s="1"/>
      <c r="C5" s="1"/>
      <c r="E5" s="400"/>
    </row>
    <row r="6" spans="1:10" ht="18" customHeight="1" x14ac:dyDescent="0.25">
      <c r="B6" s="352"/>
      <c r="C6" s="352"/>
      <c r="D6" s="402"/>
    </row>
    <row r="7" spans="1:10" x14ac:dyDescent="0.2">
      <c r="D7" s="465" t="s">
        <v>694</v>
      </c>
      <c r="E7" s="465"/>
      <c r="F7" s="465"/>
      <c r="G7" s="403"/>
      <c r="H7" s="403"/>
      <c r="I7" s="404" t="s">
        <v>695</v>
      </c>
    </row>
    <row r="8" spans="1:10" ht="32.25" customHeight="1" x14ac:dyDescent="0.2">
      <c r="A8" s="80" t="s">
        <v>59</v>
      </c>
      <c r="B8" s="80" t="s">
        <v>0</v>
      </c>
      <c r="C8" s="80"/>
      <c r="D8" s="82" t="s">
        <v>696</v>
      </c>
      <c r="E8" s="82" t="s">
        <v>697</v>
      </c>
      <c r="F8" s="82"/>
      <c r="G8" s="82" t="s">
        <v>691</v>
      </c>
      <c r="H8" s="82"/>
      <c r="I8" s="34" t="s">
        <v>689</v>
      </c>
    </row>
    <row r="9" spans="1:10" x14ac:dyDescent="0.2">
      <c r="B9" s="96" t="str">
        <f>'[2]свод- исходные'!B7</f>
        <v>пр-д Серебрякова, 11/1</v>
      </c>
      <c r="C9" s="405">
        <f>'[2]свод- исходные'!L7</f>
        <v>64464.5</v>
      </c>
      <c r="D9" s="95">
        <f>'[2]свод- исходные'!R7</f>
        <v>5800</v>
      </c>
      <c r="E9" s="95">
        <f>'[2]свод- исходные'!V7</f>
        <v>707.6</v>
      </c>
      <c r="F9" s="95"/>
      <c r="G9" s="369"/>
      <c r="H9" s="95"/>
      <c r="I9" s="406">
        <f>(D9+E9)*$E$4*1.18*12</f>
        <v>10750.555199999999</v>
      </c>
      <c r="J9" t="s">
        <v>698</v>
      </c>
    </row>
    <row r="10" spans="1:10" x14ac:dyDescent="0.2">
      <c r="B10" s="96" t="str">
        <f>B9</f>
        <v>пр-д Серебрякова, 11/1</v>
      </c>
      <c r="C10" s="96">
        <f t="shared" ref="C10:E10" si="0">C9</f>
        <v>64464.5</v>
      </c>
      <c r="D10" s="96">
        <f t="shared" si="0"/>
        <v>5800</v>
      </c>
      <c r="E10" s="96">
        <f t="shared" si="0"/>
        <v>707.6</v>
      </c>
      <c r="F10" s="95"/>
      <c r="G10" s="406">
        <f>(D10+E10)*E3*1.2/6*12</f>
        <v>181796.31360000002</v>
      </c>
      <c r="H10" s="95"/>
      <c r="I10" s="406">
        <f>(D10+E10)*$E$2*1.2*12</f>
        <v>240833.26079999999</v>
      </c>
      <c r="J10" t="s">
        <v>699</v>
      </c>
    </row>
    <row r="11" spans="1:10" x14ac:dyDescent="0.2">
      <c r="G11" s="326">
        <f>G10</f>
        <v>181796.31360000002</v>
      </c>
      <c r="I11" s="61">
        <f>I9+I10</f>
        <v>251583.81599999999</v>
      </c>
    </row>
    <row r="13" spans="1:10" x14ac:dyDescent="0.2">
      <c r="D13" s="20" t="s">
        <v>700</v>
      </c>
      <c r="I13" s="61">
        <f>I11/12</f>
        <v>20965.317999999999</v>
      </c>
    </row>
    <row r="14" spans="1:10" x14ac:dyDescent="0.2">
      <c r="D14" s="20" t="s">
        <v>701</v>
      </c>
      <c r="I14" s="61">
        <f>G11/12</f>
        <v>15149.692800000003</v>
      </c>
    </row>
    <row r="15" spans="1:10" x14ac:dyDescent="0.2">
      <c r="I15" s="61">
        <f>I13+I14</f>
        <v>36115.010800000004</v>
      </c>
    </row>
    <row r="16" spans="1:10" x14ac:dyDescent="0.2">
      <c r="I16" s="61">
        <f>I15*12</f>
        <v>433380.12960000004</v>
      </c>
    </row>
  </sheetData>
  <mergeCells count="1">
    <mergeCell ref="D7:F7"/>
  </mergeCell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2:E17"/>
  <sheetViews>
    <sheetView workbookViewId="0">
      <selection activeCell="M14" sqref="M14:P14"/>
    </sheetView>
  </sheetViews>
  <sheetFormatPr defaultRowHeight="12.75" x14ac:dyDescent="0.2"/>
  <cols>
    <col min="1" max="2" width="25.28515625" style="410" customWidth="1"/>
    <col min="3" max="3" width="17.140625" style="410" customWidth="1"/>
    <col min="4" max="4" width="16.85546875" style="410" customWidth="1"/>
    <col min="5" max="5" width="13.5703125" style="410" customWidth="1"/>
    <col min="6" max="16384" width="9.140625" style="410"/>
  </cols>
  <sheetData>
    <row r="2" spans="1:5" ht="18" customHeight="1" x14ac:dyDescent="0.2">
      <c r="A2" s="407" t="s">
        <v>702</v>
      </c>
      <c r="B2" s="407" t="s">
        <v>703</v>
      </c>
      <c r="C2" s="407" t="s">
        <v>704</v>
      </c>
      <c r="D2" s="408" t="s">
        <v>628</v>
      </c>
      <c r="E2" s="409" t="s">
        <v>705</v>
      </c>
    </row>
    <row r="3" spans="1:5" ht="18" customHeight="1" x14ac:dyDescent="0.2">
      <c r="A3" s="407">
        <v>15</v>
      </c>
      <c r="B3" s="407">
        <v>30</v>
      </c>
      <c r="C3" s="407">
        <v>1500</v>
      </c>
      <c r="D3" s="411">
        <f>A3*B3*C3</f>
        <v>675000</v>
      </c>
      <c r="E3" s="411">
        <f>D3*12</f>
        <v>8100000</v>
      </c>
    </row>
    <row r="4" spans="1:5" ht="18" customHeight="1" x14ac:dyDescent="0.2">
      <c r="A4" s="407"/>
      <c r="B4" s="407"/>
      <c r="C4" s="407"/>
      <c r="D4" s="409"/>
      <c r="E4" s="409"/>
    </row>
    <row r="6" spans="1:5" x14ac:dyDescent="0.2">
      <c r="A6" s="410" t="s">
        <v>706</v>
      </c>
    </row>
    <row r="7" spans="1:5" x14ac:dyDescent="0.2">
      <c r="A7" s="410" t="s">
        <v>707</v>
      </c>
    </row>
    <row r="8" spans="1:5" x14ac:dyDescent="0.2">
      <c r="A8" s="410" t="s">
        <v>708</v>
      </c>
    </row>
    <row r="11" spans="1:5" x14ac:dyDescent="0.2">
      <c r="A11" s="410">
        <v>15</v>
      </c>
      <c r="D11" s="410">
        <v>20589</v>
      </c>
    </row>
    <row r="12" spans="1:5" x14ac:dyDescent="0.2">
      <c r="D12" s="410">
        <f>D11*1.3</f>
        <v>26765.7</v>
      </c>
      <c r="E12" s="411">
        <f>D12*A11*12</f>
        <v>4817826</v>
      </c>
    </row>
    <row r="13" spans="1:5" x14ac:dyDescent="0.2">
      <c r="E13" s="411">
        <f>E12*1.5</f>
        <v>7226739</v>
      </c>
    </row>
    <row r="16" spans="1:5" x14ac:dyDescent="0.2">
      <c r="D16" s="410">
        <f>D11/B3</f>
        <v>686.3</v>
      </c>
    </row>
    <row r="17" spans="4:4" x14ac:dyDescent="0.2">
      <c r="D17" s="410">
        <f>D16*1.3</f>
        <v>892.18999999999994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2:L13"/>
  <sheetViews>
    <sheetView topLeftCell="A4" workbookViewId="0">
      <selection activeCell="E10" sqref="E10"/>
    </sheetView>
  </sheetViews>
  <sheetFormatPr defaultRowHeight="12.75" x14ac:dyDescent="0.2"/>
  <cols>
    <col min="1" max="1" width="5.42578125" bestFit="1" customWidth="1"/>
    <col min="2" max="2" width="31.140625" customWidth="1"/>
    <col min="3" max="3" width="2.85546875" customWidth="1"/>
    <col min="4" max="4" width="11.5703125" customWidth="1"/>
    <col min="5" max="5" width="11.85546875" customWidth="1"/>
    <col min="6" max="6" width="7.7109375" customWidth="1"/>
    <col min="7" max="7" width="6.42578125" customWidth="1"/>
    <col min="9" max="9" width="11.5703125" customWidth="1"/>
    <col min="12" max="12" width="11.85546875" customWidth="1"/>
  </cols>
  <sheetData>
    <row r="2" spans="1:12" x14ac:dyDescent="0.2">
      <c r="B2" s="11"/>
    </row>
    <row r="3" spans="1:12" x14ac:dyDescent="0.2">
      <c r="B3" s="11"/>
    </row>
    <row r="4" spans="1:12" x14ac:dyDescent="0.2">
      <c r="B4" s="11"/>
      <c r="C4" s="61"/>
    </row>
    <row r="9" spans="1:12" x14ac:dyDescent="0.2">
      <c r="A9" s="80" t="s">
        <v>59</v>
      </c>
      <c r="B9" s="80" t="s">
        <v>0</v>
      </c>
      <c r="D9" s="412" t="s">
        <v>709</v>
      </c>
      <c r="E9" t="s">
        <v>710</v>
      </c>
    </row>
    <row r="10" spans="1:12" x14ac:dyDescent="0.2">
      <c r="A10" s="95">
        <v>6</v>
      </c>
      <c r="B10" s="339" t="s">
        <v>711</v>
      </c>
      <c r="D10" s="5">
        <v>324425.15000000002</v>
      </c>
      <c r="I10" s="19"/>
    </row>
    <row r="11" spans="1:12" x14ac:dyDescent="0.2">
      <c r="B11" s="96" t="str">
        <f>'[2]свод- исходные'!B7</f>
        <v>пр-д Серебрякова, 11/1</v>
      </c>
      <c r="D11" s="5"/>
      <c r="E11" s="106">
        <f>D10/8/3*11*12</f>
        <v>1784338.325</v>
      </c>
      <c r="F11" t="s">
        <v>712</v>
      </c>
    </row>
    <row r="13" spans="1:12" x14ac:dyDescent="0.2">
      <c r="L13" s="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3"/>
  <sheetViews>
    <sheetView topLeftCell="R6" workbookViewId="0">
      <selection activeCell="AW20" sqref="AW20"/>
    </sheetView>
  </sheetViews>
  <sheetFormatPr defaultRowHeight="12.75" x14ac:dyDescent="0.2"/>
  <cols>
    <col min="1" max="1" width="4.5703125" customWidth="1"/>
    <col min="2" max="2" width="30.28515625" customWidth="1"/>
    <col min="3" max="3" width="6" customWidth="1"/>
    <col min="4" max="4" width="6.5703125" customWidth="1"/>
    <col min="5" max="5" width="4.7109375" customWidth="1"/>
    <col min="6" max="6" width="4.42578125" style="20" customWidth="1"/>
    <col min="7" max="7" width="6.5703125" customWidth="1"/>
    <col min="8" max="8" width="4.28515625" customWidth="1"/>
    <col min="9" max="9" width="7.42578125" customWidth="1"/>
    <col min="10" max="11" width="10.140625" customWidth="1"/>
    <col min="12" max="12" width="9.5703125" customWidth="1"/>
    <col min="13" max="13" width="9.140625" customWidth="1"/>
    <col min="14" max="15" width="5.5703125" customWidth="1"/>
    <col min="16" max="16" width="10.140625" customWidth="1"/>
    <col min="17" max="17" width="7.140625" customWidth="1"/>
    <col min="18" max="18" width="4.85546875" customWidth="1"/>
    <col min="19" max="19" width="7.42578125" customWidth="1"/>
    <col min="20" max="20" width="5.7109375" customWidth="1"/>
    <col min="21" max="21" width="7.5703125" customWidth="1"/>
    <col min="22" max="22" width="6.85546875" customWidth="1"/>
    <col min="23" max="23" width="7.28515625" customWidth="1"/>
    <col min="24" max="24" width="5.7109375" customWidth="1"/>
    <col min="25" max="25" width="7.28515625" customWidth="1"/>
    <col min="26" max="26" width="4.85546875" customWidth="1"/>
    <col min="27" max="27" width="7.28515625" customWidth="1"/>
    <col min="28" max="28" width="9.140625" customWidth="1"/>
    <col min="29" max="32" width="7.7109375" customWidth="1"/>
    <col min="33" max="34" width="9.140625" customWidth="1"/>
    <col min="35" max="35" width="6.7109375" customWidth="1"/>
    <col min="36" max="38" width="7" customWidth="1"/>
    <col min="39" max="39" width="6.7109375" customWidth="1"/>
    <col min="40" max="40" width="10.7109375" customWidth="1"/>
    <col min="41" max="41" width="10.42578125" customWidth="1"/>
    <col min="42" max="42" width="10.42578125" style="20" customWidth="1"/>
    <col min="43" max="43" width="10" customWidth="1"/>
    <col min="44" max="44" width="6.28515625" customWidth="1"/>
    <col min="45" max="45" width="7.85546875" customWidth="1"/>
    <col min="46" max="46" width="12.7109375" customWidth="1"/>
    <col min="47" max="48" width="12.5703125" customWidth="1"/>
    <col min="49" max="49" width="13" customWidth="1"/>
    <col min="50" max="50" width="11.42578125" customWidth="1"/>
    <col min="51" max="51" width="1" customWidth="1"/>
    <col min="52" max="52" width="13.140625" customWidth="1"/>
    <col min="53" max="55" width="11.7109375" bestFit="1" customWidth="1"/>
    <col min="56" max="57" width="11.7109375" customWidth="1"/>
    <col min="58" max="58" width="11.42578125" customWidth="1"/>
    <col min="60" max="60" width="12.42578125" customWidth="1"/>
  </cols>
  <sheetData>
    <row r="1" spans="1:61" ht="24" customHeight="1" x14ac:dyDescent="0.2"/>
    <row r="2" spans="1:61" x14ac:dyDescent="0.2">
      <c r="B2" s="21"/>
      <c r="J2" s="22"/>
      <c r="K2" s="22"/>
      <c r="AA2" t="s">
        <v>713</v>
      </c>
      <c r="AP2" s="23">
        <v>18742</v>
      </c>
      <c r="AQ2" s="24">
        <f>AP2</f>
        <v>18742</v>
      </c>
      <c r="AR2" t="s">
        <v>43</v>
      </c>
    </row>
    <row r="3" spans="1:61" x14ac:dyDescent="0.2">
      <c r="B3" s="21"/>
      <c r="J3" s="22"/>
      <c r="K3" s="22"/>
      <c r="AO3" t="s">
        <v>44</v>
      </c>
      <c r="AP3">
        <v>365</v>
      </c>
      <c r="AR3" t="s">
        <v>45</v>
      </c>
    </row>
    <row r="4" spans="1:61" ht="24.75" customHeight="1" x14ac:dyDescent="0.25">
      <c r="B4" s="21"/>
      <c r="E4" s="434">
        <v>2021</v>
      </c>
      <c r="F4" s="434"/>
      <c r="G4" s="434"/>
      <c r="H4" s="20"/>
      <c r="J4" s="22"/>
      <c r="K4" s="22"/>
      <c r="P4" s="1" t="s">
        <v>46</v>
      </c>
      <c r="AO4" t="s">
        <v>47</v>
      </c>
      <c r="AP4">
        <v>243</v>
      </c>
      <c r="AR4" t="s">
        <v>45</v>
      </c>
    </row>
    <row r="5" spans="1:61" s="20" customFormat="1" ht="38.25" x14ac:dyDescent="0.2">
      <c r="B5" s="21"/>
      <c r="J5" s="22"/>
      <c r="K5" s="22"/>
      <c r="P5" s="25"/>
      <c r="AO5" s="26" t="s">
        <v>48</v>
      </c>
      <c r="AP5">
        <v>122</v>
      </c>
      <c r="AQ5"/>
      <c r="AR5" t="s">
        <v>49</v>
      </c>
      <c r="AS5"/>
    </row>
    <row r="6" spans="1:61" s="20" customFormat="1" x14ac:dyDescent="0.2">
      <c r="B6" s="21"/>
      <c r="J6" s="22"/>
      <c r="K6" s="22"/>
      <c r="P6" s="25"/>
      <c r="AS6" s="27"/>
    </row>
    <row r="7" spans="1:61" ht="24.75" customHeight="1" x14ac:dyDescent="0.2">
      <c r="P7" s="28" t="s">
        <v>50</v>
      </c>
      <c r="Q7" s="435" t="s">
        <v>51</v>
      </c>
      <c r="R7" s="436"/>
      <c r="S7" s="435" t="s">
        <v>52</v>
      </c>
      <c r="T7" s="436"/>
      <c r="U7" s="437" t="s">
        <v>53</v>
      </c>
      <c r="V7" s="437"/>
      <c r="W7" s="437" t="s">
        <v>54</v>
      </c>
      <c r="X7" s="437"/>
      <c r="Y7" s="437" t="s">
        <v>55</v>
      </c>
      <c r="Z7" s="437"/>
      <c r="AA7" s="431" t="s">
        <v>56</v>
      </c>
      <c r="AB7" s="432"/>
      <c r="AC7" s="432"/>
      <c r="AD7" s="432"/>
      <c r="AE7" s="432"/>
      <c r="AF7" s="433"/>
      <c r="AG7" s="431" t="s">
        <v>57</v>
      </c>
      <c r="AH7" s="432"/>
      <c r="AI7" s="432"/>
      <c r="AJ7" s="29"/>
      <c r="AK7" s="29"/>
      <c r="AL7" s="29"/>
      <c r="AM7" s="29"/>
      <c r="AN7" s="30" t="s">
        <v>58</v>
      </c>
      <c r="AT7" s="31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1" ht="111" customHeight="1" x14ac:dyDescent="0.2">
      <c r="A8" s="32" t="s">
        <v>59</v>
      </c>
      <c r="B8" s="32" t="s">
        <v>0</v>
      </c>
      <c r="C8" s="33" t="s">
        <v>60</v>
      </c>
      <c r="D8" s="33" t="s">
        <v>61</v>
      </c>
      <c r="E8" s="34" t="s">
        <v>62</v>
      </c>
      <c r="F8" s="35" t="s">
        <v>63</v>
      </c>
      <c r="G8" s="36" t="s">
        <v>64</v>
      </c>
      <c r="H8" s="36" t="s">
        <v>65</v>
      </c>
      <c r="I8" s="37" t="s">
        <v>66</v>
      </c>
      <c r="J8" s="37" t="s">
        <v>67</v>
      </c>
      <c r="K8" s="36" t="s">
        <v>68</v>
      </c>
      <c r="L8" s="37" t="s">
        <v>69</v>
      </c>
      <c r="M8" s="37" t="s">
        <v>70</v>
      </c>
      <c r="N8" s="37" t="s">
        <v>71</v>
      </c>
      <c r="O8" s="37" t="s">
        <v>72</v>
      </c>
      <c r="P8" s="36" t="s">
        <v>73</v>
      </c>
      <c r="Q8" s="36" t="s">
        <v>74</v>
      </c>
      <c r="R8" s="37" t="s">
        <v>75</v>
      </c>
      <c r="S8" s="36" t="s">
        <v>74</v>
      </c>
      <c r="T8" s="37" t="s">
        <v>75</v>
      </c>
      <c r="U8" s="36" t="s">
        <v>74</v>
      </c>
      <c r="V8" s="37" t="s">
        <v>75</v>
      </c>
      <c r="W8" s="36" t="s">
        <v>74</v>
      </c>
      <c r="X8" s="37" t="s">
        <v>75</v>
      </c>
      <c r="Y8" s="36" t="s">
        <v>74</v>
      </c>
      <c r="Z8" s="37" t="s">
        <v>75</v>
      </c>
      <c r="AA8" s="36" t="s">
        <v>76</v>
      </c>
      <c r="AB8" s="36" t="s">
        <v>77</v>
      </c>
      <c r="AC8" s="36" t="s">
        <v>78</v>
      </c>
      <c r="AD8" s="36" t="s">
        <v>79</v>
      </c>
      <c r="AE8" s="36" t="s">
        <v>80</v>
      </c>
      <c r="AF8" s="36" t="s">
        <v>81</v>
      </c>
      <c r="AG8" s="36" t="s">
        <v>82</v>
      </c>
      <c r="AH8" s="36" t="s">
        <v>83</v>
      </c>
      <c r="AI8" s="36" t="s">
        <v>84</v>
      </c>
      <c r="AJ8" s="36" t="s">
        <v>85</v>
      </c>
      <c r="AK8" s="36" t="s">
        <v>81</v>
      </c>
      <c r="AL8" s="36" t="s">
        <v>75</v>
      </c>
      <c r="AM8" s="36" t="s">
        <v>75</v>
      </c>
      <c r="AN8" s="36" t="s">
        <v>86</v>
      </c>
      <c r="AO8" s="36" t="s">
        <v>87</v>
      </c>
      <c r="AP8" s="38" t="s">
        <v>88</v>
      </c>
      <c r="AQ8" s="36" t="s">
        <v>89</v>
      </c>
      <c r="AR8" s="36" t="s">
        <v>90</v>
      </c>
      <c r="AS8" s="36" t="s">
        <v>91</v>
      </c>
      <c r="AT8" s="37" t="s">
        <v>92</v>
      </c>
      <c r="AU8" s="39" t="s">
        <v>93</v>
      </c>
      <c r="AV8" s="39" t="s">
        <v>94</v>
      </c>
      <c r="AW8" s="40" t="s">
        <v>95</v>
      </c>
      <c r="AX8" s="37" t="s">
        <v>96</v>
      </c>
      <c r="AZ8" s="40" t="s">
        <v>97</v>
      </c>
      <c r="BA8" s="4"/>
      <c r="BB8" s="4"/>
      <c r="BC8" s="4"/>
      <c r="BD8" s="4"/>
      <c r="BE8" s="4"/>
      <c r="BF8" s="4"/>
      <c r="BG8" s="4"/>
      <c r="BH8" s="41"/>
      <c r="BI8" s="4"/>
    </row>
    <row r="9" spans="1:61" s="20" customFormat="1" x14ac:dyDescent="0.2">
      <c r="A9" s="32"/>
      <c r="B9" s="32"/>
      <c r="C9" s="32"/>
      <c r="D9" s="32"/>
      <c r="E9" s="3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>
        <v>13100</v>
      </c>
      <c r="AU9" s="44" t="s">
        <v>98</v>
      </c>
      <c r="AV9" s="44" t="s">
        <v>98</v>
      </c>
      <c r="AW9" s="42"/>
      <c r="AX9" s="42"/>
      <c r="AZ9" s="45"/>
      <c r="BA9" s="45"/>
      <c r="BB9" s="45"/>
      <c r="BC9" s="45"/>
      <c r="BD9" s="45"/>
      <c r="BE9" s="45"/>
      <c r="BF9" s="45"/>
      <c r="BG9" s="45"/>
      <c r="BH9" s="45"/>
      <c r="BI9" s="45"/>
    </row>
    <row r="10" spans="1:61" x14ac:dyDescent="0.2">
      <c r="B10" s="46" t="str">
        <f>'[2]свод- исходные'!B7</f>
        <v>пр-д Серебрякова, 11/1</v>
      </c>
      <c r="C10" s="46">
        <f>'[2]свод- исходные'!D7</f>
        <v>2019</v>
      </c>
      <c r="D10" s="46">
        <f>'[2]свод- исходные'!E7</f>
        <v>20</v>
      </c>
      <c r="E10" s="46">
        <f>'[2]свод- исходные'!G7</f>
        <v>805</v>
      </c>
      <c r="F10" s="47">
        <f t="shared" ref="F10" si="0">$E$4-C10</f>
        <v>2</v>
      </c>
      <c r="G10" s="46">
        <v>2</v>
      </c>
      <c r="H10" s="46">
        <v>2</v>
      </c>
      <c r="I10" s="48">
        <f>'[2]свод- исходные'!Q7+1500</f>
        <v>9685.42</v>
      </c>
      <c r="J10" s="47">
        <f>'[2]свод- исходные'!AQ7</f>
        <v>0</v>
      </c>
      <c r="K10" s="49">
        <f>'[2]свод- исходные'!K7</f>
        <v>74726.399999999994</v>
      </c>
      <c r="L10" s="47">
        <f>'[2]свод- исходные'!R7</f>
        <v>5800</v>
      </c>
      <c r="M10" s="47">
        <v>0</v>
      </c>
      <c r="N10" s="47">
        <f>'[2]свод- исходные'!AE7</f>
        <v>11</v>
      </c>
      <c r="O10" s="47">
        <v>2</v>
      </c>
      <c r="P10" s="50">
        <f>ROUND(I10/$AT$9,2)</f>
        <v>0.74</v>
      </c>
      <c r="Q10" s="47">
        <v>67000</v>
      </c>
      <c r="R10" s="50">
        <f t="shared" ref="R10" si="1">ROUND(K10/Q10,2)</f>
        <v>1.1200000000000001</v>
      </c>
      <c r="S10" s="47">
        <v>81800</v>
      </c>
      <c r="T10" s="50">
        <f t="shared" ref="T10" si="2">ROUND(K10/S10,2)</f>
        <v>0.91</v>
      </c>
      <c r="U10" s="47">
        <v>107800</v>
      </c>
      <c r="V10" s="50">
        <f t="shared" ref="V10" si="3">ROUND(K10/U10,2)</f>
        <v>0.69</v>
      </c>
      <c r="W10" s="47">
        <v>73000</v>
      </c>
      <c r="X10" s="50">
        <f t="shared" ref="X10" si="4">ROUND(K10/W10,2)</f>
        <v>1.02</v>
      </c>
      <c r="Y10" s="47">
        <v>58300</v>
      </c>
      <c r="Z10" s="50">
        <f t="shared" ref="Z10" si="5">ROUND(K10/Y10,2)</f>
        <v>1.28</v>
      </c>
      <c r="AA10" s="47">
        <v>442</v>
      </c>
      <c r="AB10" s="50">
        <f t="shared" ref="AB10" si="6">ROUND(E10/AA10,2)</f>
        <v>1.82</v>
      </c>
      <c r="AC10" s="47">
        <v>40800</v>
      </c>
      <c r="AD10" s="51">
        <f t="shared" ref="AD10" si="7">ROUND(K10/AC10,2)</f>
        <v>1.83</v>
      </c>
      <c r="AE10" s="52">
        <v>100</v>
      </c>
      <c r="AF10" s="51">
        <f>N10/AE10</f>
        <v>0.11</v>
      </c>
      <c r="AG10" s="47">
        <v>2310</v>
      </c>
      <c r="AH10" s="53">
        <f t="shared" ref="AH10" si="8">ROUND(E10/AG10,2)</f>
        <v>0.35</v>
      </c>
      <c r="AI10" s="53">
        <v>60</v>
      </c>
      <c r="AJ10" s="53">
        <f t="shared" ref="AJ10" si="9">ROUND(H10/AI10,2)</f>
        <v>0.03</v>
      </c>
      <c r="AK10" s="52">
        <v>100</v>
      </c>
      <c r="AL10" s="52">
        <f>N10/AK10</f>
        <v>0.11</v>
      </c>
      <c r="AM10" s="51">
        <f>AH10+AJ10+AL10</f>
        <v>0.49</v>
      </c>
      <c r="AN10" s="50">
        <f>ROUND((L10+M10)/25000,2)</f>
        <v>0.23</v>
      </c>
      <c r="AO10" s="50">
        <f>ROUND((L10+M10)/38000,2)</f>
        <v>0.15</v>
      </c>
      <c r="AP10" s="51">
        <f>R10+T10+V10+X10+Z10+AB10+AD10+AM10+AN10+AO10+AF10</f>
        <v>9.6500000000000021</v>
      </c>
      <c r="AQ10" s="51">
        <f>P10+R10+T10+V10+X10+Z10+AB10+AD10+AM10+AN10+AO10+AF10</f>
        <v>10.39</v>
      </c>
      <c r="AR10" s="48">
        <f>ROUND(AQ10*23/243,2)</f>
        <v>0.98</v>
      </c>
      <c r="AS10" s="51">
        <f t="shared" ref="AS10" si="10">ROUND(AQ10+AR10,1)</f>
        <v>11.4</v>
      </c>
      <c r="AT10" s="54">
        <f>P10*$AQ$2*12</f>
        <v>166428.96</v>
      </c>
      <c r="AU10" s="55">
        <f t="shared" ref="AU10" si="11">(AP10*$AP$2)*12</f>
        <v>2170323.6000000006</v>
      </c>
      <c r="AV10" s="55">
        <f t="shared" ref="AV10" si="12">AR10*$AP$2*12</f>
        <v>220405.91999999998</v>
      </c>
      <c r="AW10" s="56">
        <f t="shared" ref="AW10" si="13">AT10+AU10+AV10</f>
        <v>2557158.4800000004</v>
      </c>
      <c r="AX10" s="57">
        <f t="shared" ref="AX10" si="14">ROUND(AW10/12,2)</f>
        <v>213096.54</v>
      </c>
      <c r="AY10" s="58"/>
      <c r="AZ10" s="59">
        <f>(AW10+AW19+AW20+AW21+AW22+AW23)*1.18</f>
        <v>4538240.2976256013</v>
      </c>
    </row>
    <row r="13" spans="1:61" x14ac:dyDescent="0.2">
      <c r="P13">
        <f>P10</f>
        <v>0.74</v>
      </c>
      <c r="R13">
        <f t="shared" ref="R13:AS13" si="15">R10</f>
        <v>1.1200000000000001</v>
      </c>
      <c r="T13">
        <f t="shared" si="15"/>
        <v>0.91</v>
      </c>
      <c r="V13">
        <f t="shared" si="15"/>
        <v>0.69</v>
      </c>
      <c r="X13">
        <f t="shared" si="15"/>
        <v>1.02</v>
      </c>
      <c r="Z13">
        <f t="shared" si="15"/>
        <v>1.28</v>
      </c>
      <c r="AB13">
        <f t="shared" si="15"/>
        <v>1.82</v>
      </c>
      <c r="AD13">
        <f t="shared" si="15"/>
        <v>1.83</v>
      </c>
      <c r="AF13">
        <f t="shared" si="15"/>
        <v>0.11</v>
      </c>
      <c r="AM13">
        <f t="shared" si="15"/>
        <v>0.49</v>
      </c>
      <c r="AN13">
        <f t="shared" si="15"/>
        <v>0.23</v>
      </c>
      <c r="AO13">
        <f t="shared" si="15"/>
        <v>0.15</v>
      </c>
      <c r="AP13">
        <f>SUM(R13:AO13)</f>
        <v>9.6500000000000021</v>
      </c>
      <c r="AQ13">
        <f>AP13+P13</f>
        <v>10.390000000000002</v>
      </c>
      <c r="AR13">
        <f t="shared" si="15"/>
        <v>0.98</v>
      </c>
      <c r="AS13">
        <f t="shared" si="15"/>
        <v>11.4</v>
      </c>
      <c r="AV13" t="s">
        <v>99</v>
      </c>
      <c r="AW13" s="60" t="e">
        <f>#REF!*0.302</f>
        <v>#REF!</v>
      </c>
    </row>
    <row r="14" spans="1:61" ht="24.75" customHeight="1" x14ac:dyDescent="0.25">
      <c r="AS14" s="427" t="s">
        <v>100</v>
      </c>
      <c r="AT14" s="427"/>
      <c r="AU14" s="427"/>
      <c r="AV14" s="428"/>
      <c r="AW14" s="61" t="e">
        <f>#REF!*0.05</f>
        <v>#REF!</v>
      </c>
      <c r="AZ14" s="61">
        <f>958827.89+2287353.1+250440.12+648759.17+3415526.21+1855642.03+892043.86+314839.01+197966.95+212277.82+3253336.42</f>
        <v>14287012.579999998</v>
      </c>
    </row>
    <row r="15" spans="1:61" ht="27.75" customHeight="1" x14ac:dyDescent="0.25">
      <c r="AS15" s="427" t="s">
        <v>101</v>
      </c>
      <c r="AT15" s="427"/>
      <c r="AU15" s="427"/>
      <c r="AV15" s="428"/>
      <c r="AW15" s="61" t="e">
        <f>#REF!*0.1</f>
        <v>#REF!</v>
      </c>
    </row>
    <row r="16" spans="1:61" ht="15.75" customHeight="1" x14ac:dyDescent="0.25">
      <c r="AS16" s="429" t="s">
        <v>102</v>
      </c>
      <c r="AT16" s="429"/>
      <c r="AU16" s="429"/>
      <c r="AV16" s="430"/>
      <c r="AW16" s="61" t="e">
        <f>#REF!*0.05</f>
        <v>#REF!</v>
      </c>
    </row>
    <row r="17" spans="45:49" ht="15.75" customHeight="1" x14ac:dyDescent="0.25">
      <c r="AS17" s="429" t="s">
        <v>103</v>
      </c>
      <c r="AT17" s="429"/>
      <c r="AU17" s="429"/>
      <c r="AV17" s="430"/>
      <c r="AW17" s="61" t="e">
        <f>#REF!*0.002</f>
        <v>#REF!</v>
      </c>
    </row>
    <row r="19" spans="45:49" x14ac:dyDescent="0.2">
      <c r="AV19" t="s">
        <v>104</v>
      </c>
      <c r="AW19" s="60">
        <f>AW10*0.302</f>
        <v>772261.86096000008</v>
      </c>
    </row>
    <row r="20" spans="45:49" ht="15.75" x14ac:dyDescent="0.25">
      <c r="AS20" s="427" t="s">
        <v>100</v>
      </c>
      <c r="AT20" s="427"/>
      <c r="AU20" s="427"/>
      <c r="AV20" s="428"/>
      <c r="AW20" s="61">
        <f>AW10*0.05</f>
        <v>127857.92400000003</v>
      </c>
    </row>
    <row r="21" spans="45:49" ht="15.75" x14ac:dyDescent="0.25">
      <c r="AS21" s="427" t="s">
        <v>101</v>
      </c>
      <c r="AT21" s="427"/>
      <c r="AU21" s="427"/>
      <c r="AV21" s="428"/>
      <c r="AW21" s="61">
        <f>AW10*0.1</f>
        <v>255715.84800000006</v>
      </c>
    </row>
    <row r="22" spans="45:49" ht="15.75" x14ac:dyDescent="0.25">
      <c r="AS22" s="429" t="s">
        <v>102</v>
      </c>
      <c r="AT22" s="429"/>
      <c r="AU22" s="429"/>
      <c r="AV22" s="430"/>
      <c r="AW22" s="61">
        <f>AW10*0.05</f>
        <v>127857.92400000003</v>
      </c>
    </row>
    <row r="23" spans="45:49" ht="15.75" x14ac:dyDescent="0.25">
      <c r="AS23" s="429" t="s">
        <v>103</v>
      </c>
      <c r="AT23" s="429"/>
      <c r="AU23" s="429"/>
      <c r="AV23" s="430"/>
      <c r="AW23" s="61">
        <f>AW10*0.002</f>
        <v>5114.316960000001</v>
      </c>
    </row>
  </sheetData>
  <mergeCells count="16">
    <mergeCell ref="Y7:Z7"/>
    <mergeCell ref="E4:G4"/>
    <mergeCell ref="Q7:R7"/>
    <mergeCell ref="S7:T7"/>
    <mergeCell ref="U7:V7"/>
    <mergeCell ref="W7:X7"/>
    <mergeCell ref="AS20:AV20"/>
    <mergeCell ref="AS21:AV21"/>
    <mergeCell ref="AS22:AV22"/>
    <mergeCell ref="AS23:AV23"/>
    <mergeCell ref="AA7:AF7"/>
    <mergeCell ref="AG7:AI7"/>
    <mergeCell ref="AS14:AV14"/>
    <mergeCell ref="AS15:AV15"/>
    <mergeCell ref="AS16:AV16"/>
    <mergeCell ref="AS17:AV17"/>
  </mergeCells>
  <pageMargins left="0.15748031496062992" right="0.15748031496062992" top="0.59055118110236227" bottom="0.39370078740157483" header="0.51181102362204722" footer="0.51181102362204722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17"/>
  <sheetViews>
    <sheetView workbookViewId="0">
      <selection activeCell="M14" sqref="M14:P14"/>
    </sheetView>
  </sheetViews>
  <sheetFormatPr defaultRowHeight="12.75" x14ac:dyDescent="0.2"/>
  <cols>
    <col min="1" max="1" width="3.85546875" customWidth="1"/>
    <col min="2" max="2" width="28.42578125" customWidth="1"/>
    <col min="3" max="3" width="6.28515625" customWidth="1"/>
    <col min="4" max="6" width="5" customWidth="1"/>
    <col min="7" max="7" width="6.28515625" customWidth="1"/>
    <col min="8" max="8" width="7.5703125" customWidth="1"/>
    <col min="9" max="9" width="10.42578125" customWidth="1"/>
    <col min="10" max="10" width="8.140625" bestFit="1" customWidth="1"/>
    <col min="11" max="12" width="9.140625" bestFit="1" customWidth="1"/>
    <col min="13" max="15" width="7.85546875" customWidth="1"/>
    <col min="16" max="16" width="7.7109375" customWidth="1"/>
    <col min="17" max="17" width="9.140625" bestFit="1" customWidth="1"/>
    <col min="18" max="18" width="7" customWidth="1"/>
    <col min="19" max="19" width="6.5703125" bestFit="1" customWidth="1"/>
    <col min="20" max="20" width="5.5703125" bestFit="1" customWidth="1"/>
    <col min="21" max="21" width="6.5703125" style="20" bestFit="1" customWidth="1"/>
    <col min="22" max="22" width="10.140625" style="20" customWidth="1"/>
    <col min="23" max="23" width="7.5703125" style="20" customWidth="1"/>
    <col min="24" max="24" width="5.5703125" style="20" customWidth="1"/>
    <col min="25" max="25" width="5.42578125" style="20" customWidth="1"/>
    <col min="26" max="26" width="10.140625" bestFit="1" customWidth="1"/>
    <col min="27" max="27" width="6.5703125" customWidth="1"/>
    <col min="28" max="28" width="9.28515625" customWidth="1"/>
    <col min="29" max="30" width="10.85546875" customWidth="1"/>
    <col min="31" max="31" width="9.85546875" customWidth="1"/>
    <col min="32" max="34" width="10.42578125" customWidth="1"/>
    <col min="35" max="35" width="12.5703125" customWidth="1"/>
    <col min="36" max="36" width="10.140625" customWidth="1"/>
    <col min="37" max="38" width="10.5703125" customWidth="1"/>
    <col min="39" max="39" width="11.140625" customWidth="1"/>
    <col min="40" max="40" width="11.5703125" customWidth="1"/>
    <col min="41" max="41" width="11.85546875" customWidth="1"/>
    <col min="42" max="45" width="10.5703125" customWidth="1"/>
    <col min="46" max="46" width="11.85546875" customWidth="1"/>
    <col min="47" max="47" width="13" customWidth="1"/>
    <col min="48" max="48" width="10.5703125" customWidth="1"/>
    <col min="50" max="50" width="11.140625" customWidth="1"/>
    <col min="51" max="51" width="10.42578125" customWidth="1"/>
    <col min="52" max="52" width="11.28515625" customWidth="1"/>
    <col min="53" max="53" width="10.5703125" customWidth="1"/>
    <col min="54" max="54" width="10.42578125" customWidth="1"/>
    <col min="56" max="56" width="11.85546875" customWidth="1"/>
    <col min="57" max="57" width="10.7109375" customWidth="1"/>
    <col min="58" max="58" width="11" customWidth="1"/>
    <col min="59" max="59" width="12.5703125" customWidth="1"/>
    <col min="61" max="61" width="10.140625" bestFit="1" customWidth="1"/>
    <col min="62" max="62" width="11.42578125" customWidth="1"/>
  </cols>
  <sheetData>
    <row r="1" spans="1:62" ht="38.25" customHeight="1" x14ac:dyDescent="0.2">
      <c r="A1" s="441" t="s">
        <v>105</v>
      </c>
      <c r="B1" s="443" t="s">
        <v>106</v>
      </c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3"/>
      <c r="U1" s="443"/>
      <c r="V1" s="62">
        <v>532</v>
      </c>
      <c r="W1" s="20" t="s">
        <v>107</v>
      </c>
      <c r="X1" s="63"/>
      <c r="Y1" s="444"/>
      <c r="Z1" s="444"/>
      <c r="AA1" s="444"/>
      <c r="AB1" s="444"/>
      <c r="AC1" s="444"/>
      <c r="AD1" s="444"/>
      <c r="AE1" s="444"/>
      <c r="AF1" s="444"/>
      <c r="AG1" s="444"/>
      <c r="AH1" s="444"/>
      <c r="AI1" s="444"/>
      <c r="AJ1" s="444"/>
      <c r="AK1" t="s">
        <v>108</v>
      </c>
      <c r="AL1">
        <v>365</v>
      </c>
      <c r="AM1" t="s">
        <v>45</v>
      </c>
    </row>
    <row r="2" spans="1:62" ht="16.5" customHeight="1" x14ac:dyDescent="0.2">
      <c r="A2" s="441"/>
      <c r="B2" s="443" t="s">
        <v>109</v>
      </c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6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63"/>
      <c r="AK2" t="s">
        <v>47</v>
      </c>
      <c r="AL2">
        <v>299</v>
      </c>
      <c r="AM2" t="s">
        <v>45</v>
      </c>
    </row>
    <row r="3" spans="1:62" ht="16.5" customHeight="1" x14ac:dyDescent="0.2">
      <c r="A3" s="441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65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4"/>
      <c r="AI3" s="444"/>
      <c r="AJ3" s="63"/>
      <c r="AK3" t="s">
        <v>110</v>
      </c>
      <c r="AL3">
        <v>52</v>
      </c>
      <c r="AM3" t="s">
        <v>111</v>
      </c>
    </row>
    <row r="4" spans="1:62" ht="16.5" customHeight="1" x14ac:dyDescent="0.2">
      <c r="A4" s="441"/>
      <c r="B4" s="26"/>
      <c r="C4" s="26"/>
      <c r="D4" s="26"/>
      <c r="E4" s="26"/>
      <c r="F4" s="26"/>
      <c r="G4" s="26"/>
      <c r="H4" s="26"/>
      <c r="I4" s="26">
        <v>2021</v>
      </c>
      <c r="J4" s="26" t="s">
        <v>98</v>
      </c>
      <c r="K4" s="26"/>
      <c r="L4" s="26"/>
      <c r="M4" s="26"/>
      <c r="N4" s="26"/>
      <c r="O4" s="26"/>
      <c r="P4" s="26"/>
      <c r="Q4" s="26"/>
      <c r="R4" s="26"/>
      <c r="S4" s="26"/>
      <c r="T4" s="443" t="s">
        <v>112</v>
      </c>
      <c r="U4" s="443"/>
      <c r="V4" s="66" t="s">
        <v>113</v>
      </c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t="s">
        <v>114</v>
      </c>
      <c r="AL4">
        <v>14</v>
      </c>
      <c r="AM4" t="s">
        <v>45</v>
      </c>
    </row>
    <row r="5" spans="1:62" x14ac:dyDescent="0.2">
      <c r="A5" s="441"/>
      <c r="B5" s="67" t="s">
        <v>115</v>
      </c>
      <c r="C5" s="67"/>
      <c r="D5" s="67"/>
      <c r="E5" s="67"/>
      <c r="F5" s="67"/>
      <c r="G5" s="67"/>
      <c r="H5" s="67"/>
      <c r="I5" s="67"/>
      <c r="J5" s="67"/>
      <c r="K5" s="67"/>
      <c r="L5" s="68"/>
      <c r="M5" s="68"/>
      <c r="N5" s="68"/>
      <c r="O5" s="68"/>
      <c r="P5" s="68"/>
      <c r="Q5" s="68"/>
      <c r="R5" s="68"/>
      <c r="S5" s="68"/>
      <c r="T5" s="445"/>
      <c r="U5" s="445"/>
      <c r="V5" s="69">
        <v>20589</v>
      </c>
      <c r="W5" s="20" t="s">
        <v>43</v>
      </c>
      <c r="Y5" s="70" t="s">
        <v>116</v>
      </c>
      <c r="AE5" s="67"/>
      <c r="AF5" s="67"/>
      <c r="AG5" s="67"/>
      <c r="AH5" s="67"/>
      <c r="AI5" s="67"/>
      <c r="AJ5" t="s">
        <v>117</v>
      </c>
      <c r="AN5" s="61"/>
    </row>
    <row r="6" spans="1:62" x14ac:dyDescent="0.2">
      <c r="A6" s="441"/>
      <c r="B6" s="67" t="s">
        <v>118</v>
      </c>
      <c r="C6" s="67"/>
      <c r="D6" s="67"/>
      <c r="E6" s="67"/>
      <c r="F6" s="67"/>
      <c r="G6" s="67"/>
      <c r="H6" s="67"/>
      <c r="I6" s="67"/>
      <c r="J6" s="67"/>
      <c r="K6" s="67"/>
      <c r="L6" s="68"/>
      <c r="M6" s="68"/>
      <c r="N6" s="68"/>
      <c r="O6" s="68"/>
      <c r="P6" s="68"/>
      <c r="Q6" s="68"/>
      <c r="R6" s="71"/>
      <c r="S6" s="68"/>
      <c r="T6" s="446"/>
      <c r="U6" s="446"/>
      <c r="V6" s="72">
        <f>V5*1.17</f>
        <v>24089.129999999997</v>
      </c>
      <c r="W6" s="20" t="s">
        <v>43</v>
      </c>
      <c r="X6" s="20">
        <v>1.17</v>
      </c>
      <c r="Y6" s="73"/>
      <c r="AB6">
        <v>0.38825324100000008</v>
      </c>
      <c r="AC6">
        <v>0.74209579700000006</v>
      </c>
    </row>
    <row r="7" spans="1:62" x14ac:dyDescent="0.2">
      <c r="A7" s="441"/>
      <c r="B7" s="67" t="s">
        <v>119</v>
      </c>
      <c r="C7" s="67"/>
      <c r="D7" s="67"/>
      <c r="E7" s="67"/>
      <c r="F7" s="67"/>
      <c r="G7" s="67"/>
      <c r="H7" s="67"/>
      <c r="I7" s="67"/>
      <c r="J7" s="67"/>
      <c r="K7" s="67"/>
      <c r="L7" s="68"/>
      <c r="M7" s="68"/>
      <c r="N7" s="68"/>
      <c r="O7" s="68"/>
      <c r="P7" s="68"/>
      <c r="Q7" s="68"/>
      <c r="R7" s="71"/>
      <c r="S7" s="68"/>
      <c r="T7" s="447"/>
      <c r="U7" s="447"/>
      <c r="V7" s="72">
        <f>V5*1.45</f>
        <v>29854.05</v>
      </c>
      <c r="X7" s="20">
        <v>1.45</v>
      </c>
      <c r="Y7" s="73"/>
    </row>
    <row r="8" spans="1:62" ht="18" x14ac:dyDescent="0.25">
      <c r="A8" s="442"/>
      <c r="B8" t="s">
        <v>120</v>
      </c>
      <c r="R8" s="74" t="s">
        <v>121</v>
      </c>
      <c r="T8" s="73" t="s">
        <v>122</v>
      </c>
      <c r="V8" s="75">
        <f>X8+X9</f>
        <v>6.7339999999999997E-2</v>
      </c>
      <c r="W8" s="76" t="s">
        <v>123</v>
      </c>
      <c r="X8" s="438">
        <v>2.3130000000000001E-2</v>
      </c>
      <c r="Y8" s="438"/>
      <c r="Z8" t="s">
        <v>124</v>
      </c>
      <c r="AB8" t="s">
        <v>125</v>
      </c>
      <c r="AC8" t="s">
        <v>126</v>
      </c>
      <c r="AM8" s="439" t="s">
        <v>127</v>
      </c>
      <c r="AN8" s="439"/>
      <c r="AO8" s="439"/>
    </row>
    <row r="9" spans="1:62" x14ac:dyDescent="0.2">
      <c r="A9" s="77"/>
      <c r="R9" s="78"/>
      <c r="V9" s="75"/>
      <c r="W9" s="76" t="s">
        <v>123</v>
      </c>
      <c r="X9" s="440">
        <v>4.4209999999999999E-2</v>
      </c>
      <c r="Y9" s="440"/>
      <c r="Z9" t="s">
        <v>128</v>
      </c>
      <c r="AB9" t="s">
        <v>129</v>
      </c>
      <c r="AM9" s="79"/>
      <c r="AN9" s="79"/>
      <c r="AO9" s="79"/>
    </row>
    <row r="10" spans="1:62" ht="149.25" customHeight="1" x14ac:dyDescent="0.2">
      <c r="A10" s="80" t="s">
        <v>59</v>
      </c>
      <c r="B10" s="80" t="s">
        <v>0</v>
      </c>
      <c r="C10" s="33" t="s">
        <v>60</v>
      </c>
      <c r="D10" s="33" t="s">
        <v>130</v>
      </c>
      <c r="E10" s="81" t="s">
        <v>131</v>
      </c>
      <c r="F10" s="81"/>
      <c r="G10" s="82" t="s">
        <v>132</v>
      </c>
      <c r="H10" s="33" t="s">
        <v>61</v>
      </c>
      <c r="I10" s="83" t="s">
        <v>2</v>
      </c>
      <c r="J10" s="84" t="s">
        <v>133</v>
      </c>
      <c r="K10" s="83" t="s">
        <v>134</v>
      </c>
      <c r="L10" s="83" t="s">
        <v>135</v>
      </c>
      <c r="M10" s="83" t="s">
        <v>136</v>
      </c>
      <c r="N10" s="83" t="s">
        <v>137</v>
      </c>
      <c r="O10" s="83" t="s">
        <v>138</v>
      </c>
      <c r="P10" s="83" t="s">
        <v>139</v>
      </c>
      <c r="Q10" s="83" t="s">
        <v>140</v>
      </c>
      <c r="R10" s="85" t="s">
        <v>141</v>
      </c>
      <c r="S10" s="85" t="s">
        <v>142</v>
      </c>
      <c r="T10" s="85" t="s">
        <v>143</v>
      </c>
      <c r="U10" s="85" t="s">
        <v>144</v>
      </c>
      <c r="V10" s="34" t="s">
        <v>145</v>
      </c>
      <c r="W10" s="34" t="s">
        <v>146</v>
      </c>
      <c r="X10" s="34" t="s">
        <v>147</v>
      </c>
      <c r="Y10" s="34" t="s">
        <v>148</v>
      </c>
      <c r="Z10" s="34" t="s">
        <v>149</v>
      </c>
      <c r="AA10" s="34" t="s">
        <v>150</v>
      </c>
      <c r="AB10" s="86" t="s">
        <v>151</v>
      </c>
      <c r="AC10" s="87" t="s">
        <v>152</v>
      </c>
      <c r="AD10" s="88" t="s">
        <v>153</v>
      </c>
      <c r="AE10" s="89" t="s">
        <v>154</v>
      </c>
      <c r="AF10" s="90" t="s">
        <v>155</v>
      </c>
      <c r="AG10" s="91" t="s">
        <v>156</v>
      </c>
      <c r="AH10" s="91" t="s">
        <v>157</v>
      </c>
      <c r="AI10" s="91" t="s">
        <v>158</v>
      </c>
      <c r="AL10" s="92"/>
      <c r="AM10" s="93" t="s">
        <v>159</v>
      </c>
      <c r="AN10" s="93" t="s">
        <v>155</v>
      </c>
      <c r="AO10" s="93" t="s">
        <v>153</v>
      </c>
      <c r="AP10" s="92"/>
      <c r="AQ10" s="92" t="s">
        <v>160</v>
      </c>
      <c r="AR10" s="92" t="s">
        <v>161</v>
      </c>
      <c r="AS10" s="92" t="s">
        <v>162</v>
      </c>
      <c r="AT10" s="92" t="s">
        <v>163</v>
      </c>
      <c r="AU10" s="92" t="s">
        <v>164</v>
      </c>
      <c r="AV10" s="92"/>
      <c r="AX10" s="94">
        <v>0.30199999999999999</v>
      </c>
      <c r="AY10" s="34" t="s">
        <v>165</v>
      </c>
      <c r="AZ10" s="34" t="s">
        <v>166</v>
      </c>
      <c r="BA10" s="34" t="s">
        <v>167</v>
      </c>
      <c r="BB10" s="34" t="s">
        <v>168</v>
      </c>
      <c r="BD10" s="34" t="s">
        <v>169</v>
      </c>
      <c r="BE10" s="94">
        <v>0.30199999999999999</v>
      </c>
      <c r="BF10" s="34" t="s">
        <v>170</v>
      </c>
      <c r="BG10" s="34" t="s">
        <v>171</v>
      </c>
      <c r="BJ10" s="34" t="s">
        <v>172</v>
      </c>
    </row>
    <row r="11" spans="1:62" ht="12.75" customHeight="1" x14ac:dyDescent="0.2">
      <c r="A11" s="95"/>
      <c r="B11" s="96" t="str">
        <f>'[2]свод- исходные'!B7</f>
        <v>пр-д Серебрякова, 11/1</v>
      </c>
      <c r="C11" s="96">
        <f>'[2]свод- исходные'!D7</f>
        <v>2019</v>
      </c>
      <c r="D11" s="96">
        <f t="shared" ref="D11" si="0">$I$4-C11</f>
        <v>2</v>
      </c>
      <c r="E11" s="96"/>
      <c r="F11" s="96"/>
      <c r="G11" s="96"/>
      <c r="H11" s="96">
        <f>'[2]свод- исходные'!E7</f>
        <v>20</v>
      </c>
      <c r="I11" s="96">
        <f>'[2]свод- исходные'!K7</f>
        <v>74726.399999999994</v>
      </c>
      <c r="J11" s="96">
        <f>ROUND((805-27)*2.3,0)</f>
        <v>1789</v>
      </c>
      <c r="K11" s="95">
        <f>'[2]свод- исходные'!T7</f>
        <v>4443</v>
      </c>
      <c r="L11" s="95">
        <v>0</v>
      </c>
      <c r="M11" s="95">
        <v>0</v>
      </c>
      <c r="N11" s="95">
        <f>'[2]свод- исходные'!AH7+'[2]свод- исходные'!AI7</f>
        <v>42</v>
      </c>
      <c r="O11" s="95">
        <v>0</v>
      </c>
      <c r="P11" s="95">
        <f>'[2]свод- исходные'!V7</f>
        <v>707.6</v>
      </c>
      <c r="Q11" s="97">
        <f>SUM(K11:P11)</f>
        <v>5192.6000000000004</v>
      </c>
      <c r="R11" s="96">
        <v>1320</v>
      </c>
      <c r="S11" s="98">
        <f t="shared" ref="S11" si="1">ROUND(Q11/R11,2)</f>
        <v>3.93</v>
      </c>
      <c r="T11" s="98">
        <f>ROUND(S11*27/$AL$2,2)</f>
        <v>0.35</v>
      </c>
      <c r="U11" s="99">
        <f t="shared" ref="U11" si="2">ROUND(S11+T11,1)</f>
        <v>4.3</v>
      </c>
      <c r="V11" s="100">
        <f>ROUND(J11/$V$1,1)</f>
        <v>3.4</v>
      </c>
      <c r="W11" s="101">
        <f t="shared" ref="W11" si="3">ROUND(V11*99/365,1)</f>
        <v>0.9</v>
      </c>
      <c r="X11" s="99">
        <f t="shared" ref="X11" si="4">V11+W11</f>
        <v>4.3</v>
      </c>
      <c r="Y11" s="2">
        <f t="shared" ref="Y11" si="5">ROUND(I11/1000*$V$8,2)</f>
        <v>5.03</v>
      </c>
      <c r="Z11" s="2">
        <f t="shared" ref="Z11" si="6">ROUND(I11/1000*$X$8,2)</f>
        <v>1.73</v>
      </c>
      <c r="AA11" s="2">
        <f t="shared" ref="AA11" si="7">ROUND(I11/1000*$X$9,2)</f>
        <v>3.3</v>
      </c>
      <c r="AB11" s="102">
        <f>Z11*V7</f>
        <v>51647.506499999996</v>
      </c>
      <c r="AC11" s="103">
        <f>AA11*$V$6</f>
        <v>79494.128999999986</v>
      </c>
      <c r="AD11" s="104">
        <f>AB11+AC11</f>
        <v>131141.63549999997</v>
      </c>
      <c r="AE11" s="105">
        <f>U11*$V$5</f>
        <v>88532.7</v>
      </c>
      <c r="AF11" s="105">
        <f>X11*$V$5</f>
        <v>88532.7</v>
      </c>
      <c r="AG11" s="2">
        <f>(AD11+AE11+AF11)*30.2%</f>
        <v>93078.524720999994</v>
      </c>
      <c r="AH11" s="56">
        <f>SUM(AD11:AG11)</f>
        <v>401285.56022099999</v>
      </c>
      <c r="AI11" s="106">
        <f>AH11*12*1.2</f>
        <v>5778512.0671823993</v>
      </c>
      <c r="AL11" s="14"/>
      <c r="AM11" s="107"/>
      <c r="AN11" s="107"/>
      <c r="AO11" s="107"/>
      <c r="AP11" s="14"/>
      <c r="AQ11" s="14"/>
      <c r="AR11" s="14"/>
      <c r="AS11" s="19"/>
      <c r="AT11" s="19"/>
      <c r="AU11" s="14"/>
      <c r="AV11" s="14"/>
      <c r="AY11" s="61"/>
      <c r="BA11" s="108"/>
      <c r="BB11" s="20"/>
      <c r="BD11" s="61"/>
      <c r="BF11" s="61"/>
      <c r="BG11" s="61"/>
      <c r="BJ11" s="61"/>
    </row>
    <row r="12" spans="1:62" ht="12.75" customHeight="1" x14ac:dyDescent="0.2">
      <c r="A12" s="109"/>
      <c r="B12" s="110"/>
      <c r="C12" s="110"/>
      <c r="D12" s="110"/>
      <c r="E12" s="110"/>
      <c r="F12" s="110"/>
      <c r="G12" s="110"/>
      <c r="H12" s="110"/>
      <c r="I12" s="110"/>
      <c r="J12" s="110"/>
      <c r="K12" s="109"/>
      <c r="L12" s="109"/>
      <c r="M12" s="109"/>
      <c r="N12" s="109"/>
      <c r="O12" s="109"/>
      <c r="P12" s="109"/>
      <c r="Q12" s="109"/>
      <c r="R12" s="110"/>
      <c r="S12" s="111"/>
      <c r="T12" s="111"/>
      <c r="U12" s="112"/>
      <c r="V12" s="112"/>
      <c r="W12" s="111"/>
      <c r="X12" s="112"/>
      <c r="Y12" s="4"/>
      <c r="Z12" s="4"/>
      <c r="AA12" s="4"/>
      <c r="AB12" s="113"/>
      <c r="AC12" s="114"/>
      <c r="AD12" s="114"/>
      <c r="AE12" s="115"/>
      <c r="AF12" s="115"/>
      <c r="AG12" s="116"/>
      <c r="AH12" s="116"/>
      <c r="AI12" s="116"/>
      <c r="AL12" s="14"/>
      <c r="AM12" s="107"/>
      <c r="AN12" s="107"/>
      <c r="AO12" s="107"/>
      <c r="AP12" s="14"/>
      <c r="AQ12" s="14"/>
      <c r="AR12" s="14"/>
      <c r="AS12" s="19"/>
      <c r="AT12" s="19"/>
      <c r="AU12" s="14"/>
      <c r="AV12" s="14"/>
      <c r="AY12" s="61"/>
      <c r="BA12" s="108"/>
      <c r="BB12" s="20"/>
      <c r="BD12" s="61"/>
      <c r="BF12" s="61"/>
      <c r="BG12" s="61"/>
      <c r="BJ12" s="61"/>
    </row>
    <row r="13" spans="1:62" ht="12.75" customHeight="1" x14ac:dyDescent="0.2">
      <c r="A13" s="109"/>
      <c r="B13" s="110"/>
      <c r="C13" s="110"/>
      <c r="D13" s="110"/>
      <c r="E13" s="110"/>
      <c r="F13" s="110"/>
      <c r="G13" s="110"/>
      <c r="H13" s="110"/>
      <c r="I13" s="110"/>
      <c r="J13" s="110"/>
      <c r="K13" s="109"/>
      <c r="L13" s="109"/>
      <c r="M13" s="109"/>
      <c r="N13" s="109"/>
      <c r="O13" s="109"/>
      <c r="P13" s="109"/>
      <c r="Q13" s="109"/>
      <c r="R13" s="110"/>
      <c r="S13" s="111"/>
      <c r="T13" s="111"/>
      <c r="U13" s="112"/>
      <c r="V13" s="112"/>
      <c r="W13" s="111"/>
      <c r="X13" s="112"/>
      <c r="Y13" s="4"/>
      <c r="Z13" s="4"/>
      <c r="AA13" s="4"/>
      <c r="AB13" s="113"/>
      <c r="AC13" s="114"/>
      <c r="AD13" s="114"/>
      <c r="AE13" s="115"/>
      <c r="AF13" s="115"/>
      <c r="AG13" s="116"/>
      <c r="AH13" s="116"/>
      <c r="AI13" s="116"/>
      <c r="AL13" s="14"/>
      <c r="AM13" s="107"/>
      <c r="AN13" s="107"/>
      <c r="AO13" s="107"/>
      <c r="AP13" s="14"/>
      <c r="AQ13" s="14"/>
      <c r="AR13" s="14"/>
      <c r="AS13" s="19"/>
      <c r="AT13" s="19"/>
      <c r="AU13" s="14"/>
      <c r="AV13" s="14"/>
      <c r="AY13" s="61"/>
      <c r="BA13" s="108"/>
      <c r="BB13" s="20"/>
      <c r="BD13" s="61"/>
      <c r="BF13" s="61"/>
      <c r="BG13" s="61"/>
      <c r="BJ13" s="61"/>
    </row>
    <row r="14" spans="1:62" x14ac:dyDescent="0.2">
      <c r="W14" s="117"/>
    </row>
    <row r="15" spans="1:62" x14ac:dyDescent="0.2">
      <c r="AF15" s="20"/>
      <c r="AG15" s="118"/>
      <c r="AH15" s="118"/>
      <c r="AI15" s="118"/>
    </row>
    <row r="16" spans="1:62" x14ac:dyDescent="0.2">
      <c r="AF16" s="20"/>
      <c r="AG16" s="118"/>
      <c r="AH16" s="118"/>
      <c r="AI16" s="118"/>
    </row>
    <row r="17" spans="32:35" x14ac:dyDescent="0.2">
      <c r="AF17" s="20"/>
      <c r="AG17" s="20"/>
      <c r="AH17" s="20"/>
      <c r="AI17" s="20"/>
    </row>
  </sheetData>
  <mergeCells count="13">
    <mergeCell ref="X8:Y8"/>
    <mergeCell ref="AM8:AO8"/>
    <mergeCell ref="X9:Y9"/>
    <mergeCell ref="A1:A8"/>
    <mergeCell ref="B1:U1"/>
    <mergeCell ref="Y1:AJ1"/>
    <mergeCell ref="B2:U2"/>
    <mergeCell ref="X2:AI2"/>
    <mergeCell ref="X3:AI3"/>
    <mergeCell ref="T4:U4"/>
    <mergeCell ref="T5:U5"/>
    <mergeCell ref="T6:U6"/>
    <mergeCell ref="T7:U7"/>
  </mergeCells>
  <pageMargins left="0.39370078740157483" right="0" top="0.39370078740157483" bottom="0.19685039370078741" header="0.51181102362204722" footer="0.51181102362204722"/>
  <pageSetup paperSize="9" scale="70" fitToWidth="3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Y205"/>
  <sheetViews>
    <sheetView zoomScaleNormal="100" workbookViewId="0">
      <pane xSplit="3" ySplit="4" topLeftCell="D142" activePane="bottomRight" state="frozen"/>
      <selection activeCell="M14" sqref="M14:P14"/>
      <selection pane="topRight" activeCell="M14" sqref="M14:P14"/>
      <selection pane="bottomLeft" activeCell="M14" sqref="M14:P14"/>
      <selection pane="bottomRight" activeCell="M14" sqref="M14:P14"/>
    </sheetView>
  </sheetViews>
  <sheetFormatPr defaultRowHeight="14.25" x14ac:dyDescent="0.2"/>
  <cols>
    <col min="1" max="1" width="5.85546875" style="284" customWidth="1"/>
    <col min="2" max="2" width="34.140625" style="288" customWidth="1"/>
    <col min="3" max="3" width="9" style="123" customWidth="1"/>
    <col min="4" max="4" width="5.140625" style="122" customWidth="1"/>
    <col min="5" max="5" width="7.7109375" style="123" customWidth="1"/>
    <col min="6" max="6" width="8.5703125" style="124" customWidth="1"/>
    <col min="7" max="7" width="0.140625" style="125" customWidth="1"/>
    <col min="8" max="8" width="9" style="289" customWidth="1"/>
    <col min="9" max="9" width="17.42578125" style="287" customWidth="1"/>
    <col min="10" max="10" width="11.7109375" style="128" customWidth="1"/>
    <col min="11" max="11" width="0.140625" style="141" customWidth="1"/>
    <col min="12" max="12" width="11.42578125" style="128" customWidth="1"/>
    <col min="13" max="13" width="10.85546875" style="128" customWidth="1"/>
    <col min="14" max="25" width="9.140625" style="129"/>
    <col min="26" max="16384" width="9.140625" style="285"/>
  </cols>
  <sheetData>
    <row r="1" spans="1:16" ht="18.75" customHeight="1" x14ac:dyDescent="0.2">
      <c r="A1" s="119"/>
      <c r="B1" s="120"/>
      <c r="C1" s="121"/>
      <c r="H1" s="126" t="s">
        <v>173</v>
      </c>
      <c r="I1" s="127">
        <f>I3*F1*12</f>
        <v>0</v>
      </c>
      <c r="J1" s="448" t="s">
        <v>174</v>
      </c>
      <c r="K1" s="448"/>
    </row>
    <row r="2" spans="1:16" ht="24" thickBot="1" x14ac:dyDescent="0.4">
      <c r="A2" s="449" t="s">
        <v>175</v>
      </c>
      <c r="B2" s="449"/>
      <c r="C2" s="130"/>
      <c r="F2" s="131"/>
      <c r="H2" s="132" t="s">
        <v>176</v>
      </c>
      <c r="I2" s="133">
        <f>I193</f>
        <v>7875823.4390626987</v>
      </c>
      <c r="J2" s="450"/>
      <c r="K2" s="450"/>
      <c r="O2" s="134">
        <f>I2</f>
        <v>7875823.4390626987</v>
      </c>
      <c r="P2" s="129" t="s">
        <v>177</v>
      </c>
    </row>
    <row r="3" spans="1:16" ht="15" thickBot="1" x14ac:dyDescent="0.25">
      <c r="A3" s="135"/>
      <c r="B3" s="136" t="s">
        <v>178</v>
      </c>
      <c r="C3" s="136"/>
      <c r="D3" s="137">
        <v>2</v>
      </c>
      <c r="E3" s="137">
        <v>3</v>
      </c>
      <c r="F3" s="138" t="s">
        <v>179</v>
      </c>
      <c r="G3" s="137">
        <v>5</v>
      </c>
      <c r="H3" s="139">
        <v>6</v>
      </c>
      <c r="I3" s="140">
        <f>64464.5+7018.1</f>
        <v>71482.600000000006</v>
      </c>
    </row>
    <row r="4" spans="1:16" ht="100.5" customHeight="1" thickBot="1" x14ac:dyDescent="0.25">
      <c r="A4" s="135" t="s">
        <v>59</v>
      </c>
      <c r="B4" s="142" t="s">
        <v>180</v>
      </c>
      <c r="C4" s="142" t="s">
        <v>181</v>
      </c>
      <c r="D4" s="143" t="s">
        <v>182</v>
      </c>
      <c r="E4" s="144" t="s">
        <v>183</v>
      </c>
      <c r="F4" s="145" t="s">
        <v>184</v>
      </c>
      <c r="G4" s="144" t="s">
        <v>185</v>
      </c>
      <c r="H4" s="146" t="s">
        <v>186</v>
      </c>
      <c r="I4" s="147" t="s">
        <v>187</v>
      </c>
      <c r="J4" s="148" t="s">
        <v>188</v>
      </c>
    </row>
    <row r="5" spans="1:16" ht="19.5" customHeight="1" x14ac:dyDescent="0.25">
      <c r="A5" s="149">
        <v>1</v>
      </c>
      <c r="B5" s="150" t="s">
        <v>189</v>
      </c>
      <c r="C5" s="151"/>
      <c r="D5" s="152" t="s">
        <v>190</v>
      </c>
      <c r="E5" s="151"/>
      <c r="F5" s="153"/>
      <c r="G5" s="154"/>
      <c r="H5" s="154" t="s">
        <v>190</v>
      </c>
      <c r="I5" s="155">
        <f>I192*10%</f>
        <v>715983.94900569995</v>
      </c>
      <c r="J5" s="156">
        <f>I5/1000</f>
        <v>715.98394900569997</v>
      </c>
    </row>
    <row r="6" spans="1:16" s="129" customFormat="1" ht="21.75" hidden="1" customHeight="1" x14ac:dyDescent="0.2">
      <c r="A6" s="157">
        <v>2</v>
      </c>
      <c r="B6" s="158" t="s">
        <v>191</v>
      </c>
      <c r="C6" s="158"/>
      <c r="D6" s="159"/>
      <c r="E6" s="158"/>
      <c r="F6" s="160"/>
      <c r="G6" s="161"/>
      <c r="H6" s="162"/>
      <c r="I6" s="163"/>
      <c r="J6" s="164"/>
      <c r="K6" s="141"/>
      <c r="L6" s="128"/>
      <c r="M6" s="128"/>
    </row>
    <row r="7" spans="1:16" ht="22.5" x14ac:dyDescent="0.2">
      <c r="A7" s="135">
        <v>2.1</v>
      </c>
      <c r="B7" s="136" t="s">
        <v>192</v>
      </c>
      <c r="C7" s="142" t="s">
        <v>193</v>
      </c>
      <c r="D7" s="143">
        <f>'[3]План для разбивки'!E7</f>
        <v>299</v>
      </c>
      <c r="E7" s="165" t="s">
        <v>194</v>
      </c>
      <c r="F7" s="166">
        <v>803</v>
      </c>
      <c r="G7" s="167">
        <f>'[3]План для разбивки'!I7</f>
        <v>233.94</v>
      </c>
      <c r="H7" s="168">
        <f>'[3]План для разбивки'!J7</f>
        <v>2.3393999999999999</v>
      </c>
      <c r="I7" s="169">
        <f t="shared" ref="I7:I24" si="0">D7*F7*H7</f>
        <v>561682.92180000001</v>
      </c>
      <c r="J7" s="170">
        <f t="shared" ref="J7:J24" si="1">I7/1000</f>
        <v>561.68292180000003</v>
      </c>
    </row>
    <row r="8" spans="1:16" ht="22.5" x14ac:dyDescent="0.2">
      <c r="A8" s="135">
        <v>2.2000000000000002</v>
      </c>
      <c r="B8" s="136" t="s">
        <v>195</v>
      </c>
      <c r="C8" s="171" t="s">
        <v>196</v>
      </c>
      <c r="D8" s="172">
        <f>'[3]План для разбивки'!E8</f>
        <v>53</v>
      </c>
      <c r="E8" s="173" t="s">
        <v>194</v>
      </c>
      <c r="F8" s="166">
        <v>6340.4</v>
      </c>
      <c r="G8" s="167">
        <f>'[3]План для разбивки'!I8</f>
        <v>204.48</v>
      </c>
      <c r="H8" s="168">
        <f>'[3]План для разбивки'!J8</f>
        <v>2.0448</v>
      </c>
      <c r="I8" s="169">
        <f t="shared" si="0"/>
        <v>687137.04575999989</v>
      </c>
      <c r="J8" s="170">
        <f t="shared" si="1"/>
        <v>687.13704575999986</v>
      </c>
    </row>
    <row r="9" spans="1:16" ht="22.5" x14ac:dyDescent="0.2">
      <c r="A9" s="135">
        <v>2.2999999999999998</v>
      </c>
      <c r="B9" s="136" t="s">
        <v>197</v>
      </c>
      <c r="C9" s="142" t="s">
        <v>193</v>
      </c>
      <c r="D9" s="172">
        <f>'[3]План для разбивки'!E9</f>
        <v>299</v>
      </c>
      <c r="E9" s="173" t="s">
        <v>194</v>
      </c>
      <c r="F9" s="166">
        <v>530.4</v>
      </c>
      <c r="G9" s="167">
        <f>'[3]План для разбивки'!I9</f>
        <v>315.37</v>
      </c>
      <c r="H9" s="168">
        <f>'[3]План для разбивки'!J9</f>
        <v>3.1537000000000002</v>
      </c>
      <c r="I9" s="169">
        <f t="shared" si="0"/>
        <v>500144.02152000007</v>
      </c>
      <c r="J9" s="170">
        <f t="shared" si="1"/>
        <v>500.14402152000008</v>
      </c>
    </row>
    <row r="10" spans="1:16" ht="33.75" x14ac:dyDescent="0.2">
      <c r="A10" s="135">
        <v>2.4</v>
      </c>
      <c r="B10" s="136" t="s">
        <v>198</v>
      </c>
      <c r="C10" s="171" t="s">
        <v>196</v>
      </c>
      <c r="D10" s="143">
        <f>'[3]План для разбивки'!E10</f>
        <v>53</v>
      </c>
      <c r="E10" s="165" t="s">
        <v>199</v>
      </c>
      <c r="F10" s="166">
        <v>200</v>
      </c>
      <c r="G10" s="167">
        <f>'[3]План для разбивки'!I10</f>
        <v>197.35</v>
      </c>
      <c r="H10" s="168">
        <f>'[3]План для разбивки'!J10</f>
        <v>19.734999999999999</v>
      </c>
      <c r="I10" s="169">
        <f t="shared" si="0"/>
        <v>209191</v>
      </c>
      <c r="J10" s="170">
        <f t="shared" si="1"/>
        <v>209.191</v>
      </c>
    </row>
    <row r="11" spans="1:16" ht="22.5" x14ac:dyDescent="0.2">
      <c r="A11" s="135">
        <v>2.5</v>
      </c>
      <c r="B11" s="174" t="s">
        <v>200</v>
      </c>
      <c r="C11" s="142" t="s">
        <v>193</v>
      </c>
      <c r="D11" s="172">
        <f>'[3]План для разбивки'!E11</f>
        <v>299</v>
      </c>
      <c r="E11" s="173" t="s">
        <v>194</v>
      </c>
      <c r="F11" s="166">
        <v>68.88</v>
      </c>
      <c r="G11" s="167">
        <f>'[3]План для разбивки'!I11</f>
        <v>336.15</v>
      </c>
      <c r="H11" s="168">
        <f>'[3]План для разбивки'!J11</f>
        <v>3.3614999999999999</v>
      </c>
      <c r="I11" s="169">
        <f t="shared" si="0"/>
        <v>69230.495880000002</v>
      </c>
      <c r="J11" s="170">
        <f t="shared" si="1"/>
        <v>69.230495880000007</v>
      </c>
    </row>
    <row r="12" spans="1:16" s="129" customFormat="1" ht="19.5" customHeight="1" x14ac:dyDescent="0.2">
      <c r="A12" s="135" t="s">
        <v>201</v>
      </c>
      <c r="B12" s="136" t="s">
        <v>202</v>
      </c>
      <c r="C12" s="144" t="s">
        <v>203</v>
      </c>
      <c r="D12" s="172">
        <f>'[3]План для разбивки'!E12</f>
        <v>12</v>
      </c>
      <c r="E12" s="173" t="s">
        <v>194</v>
      </c>
      <c r="F12" s="166">
        <f>F7</f>
        <v>803</v>
      </c>
      <c r="G12" s="167">
        <f>'[3]План для разбивки'!I12</f>
        <v>333.48</v>
      </c>
      <c r="H12" s="168">
        <f>'[3]План для разбивки'!J12</f>
        <v>3.3348</v>
      </c>
      <c r="I12" s="169">
        <f t="shared" si="0"/>
        <v>32134.132799999999</v>
      </c>
      <c r="J12" s="170">
        <f t="shared" si="1"/>
        <v>32.134132799999996</v>
      </c>
      <c r="K12" s="141"/>
      <c r="L12" s="128"/>
      <c r="M12" s="128"/>
    </row>
    <row r="13" spans="1:16" s="129" customFormat="1" ht="21" customHeight="1" x14ac:dyDescent="0.2">
      <c r="A13" s="135" t="s">
        <v>204</v>
      </c>
      <c r="B13" s="136" t="s">
        <v>205</v>
      </c>
      <c r="C13" s="144" t="s">
        <v>203</v>
      </c>
      <c r="D13" s="172">
        <f>'[3]План для разбивки'!E13</f>
        <v>12</v>
      </c>
      <c r="E13" s="173" t="s">
        <v>194</v>
      </c>
      <c r="F13" s="166">
        <f>F8</f>
        <v>6340.4</v>
      </c>
      <c r="G13" s="167">
        <f>'[3]План для разбивки'!I13</f>
        <v>262.45</v>
      </c>
      <c r="H13" s="168">
        <f>'[3]План для разбивки'!J13</f>
        <v>2.6244999999999998</v>
      </c>
      <c r="I13" s="169">
        <f t="shared" si="0"/>
        <v>199684.55759999997</v>
      </c>
      <c r="J13" s="170">
        <f t="shared" si="1"/>
        <v>199.68455759999998</v>
      </c>
      <c r="K13" s="141"/>
      <c r="L13" s="128"/>
      <c r="M13" s="128"/>
    </row>
    <row r="14" spans="1:16" s="129" customFormat="1" ht="15" customHeight="1" x14ac:dyDescent="0.2">
      <c r="A14" s="175" t="s">
        <v>206</v>
      </c>
      <c r="B14" s="176" t="s">
        <v>207</v>
      </c>
      <c r="C14" s="144" t="s">
        <v>208</v>
      </c>
      <c r="D14" s="172">
        <f>'[3]План для разбивки'!E14</f>
        <v>1</v>
      </c>
      <c r="E14" s="173" t="s">
        <v>194</v>
      </c>
      <c r="F14" s="177">
        <f>1262+30+547+65+71</f>
        <v>1975</v>
      </c>
      <c r="G14" s="167">
        <f>'[3]План для разбивки'!I14</f>
        <v>860.15</v>
      </c>
      <c r="H14" s="168">
        <f>'[3]План для разбивки'!J14</f>
        <v>8.6014999999999997</v>
      </c>
      <c r="I14" s="169">
        <f t="shared" si="0"/>
        <v>16987.962499999998</v>
      </c>
      <c r="J14" s="170">
        <f t="shared" si="1"/>
        <v>16.987962499999998</v>
      </c>
      <c r="K14" s="141"/>
      <c r="L14" s="128"/>
      <c r="M14" s="128"/>
    </row>
    <row r="15" spans="1:16" x14ac:dyDescent="0.2">
      <c r="A15" s="135" t="s">
        <v>209</v>
      </c>
      <c r="B15" s="174" t="s">
        <v>210</v>
      </c>
      <c r="C15" s="144" t="s">
        <v>208</v>
      </c>
      <c r="D15" s="172">
        <f>'[3]План для разбивки'!E15</f>
        <v>1</v>
      </c>
      <c r="E15" s="173" t="s">
        <v>194</v>
      </c>
      <c r="F15" s="166">
        <v>14612.1</v>
      </c>
      <c r="G15" s="167">
        <f>'[3]План для разбивки'!I15</f>
        <v>286.57</v>
      </c>
      <c r="H15" s="168">
        <f>'[3]План для разбивки'!J15</f>
        <v>2.8656999999999999</v>
      </c>
      <c r="I15" s="169">
        <f t="shared" si="0"/>
        <v>41873.894970000001</v>
      </c>
      <c r="J15" s="170">
        <f t="shared" si="1"/>
        <v>41.873894970000002</v>
      </c>
    </row>
    <row r="16" spans="1:16" ht="22.5" x14ac:dyDescent="0.2">
      <c r="A16" s="135" t="s">
        <v>211</v>
      </c>
      <c r="B16" s="136" t="s">
        <v>212</v>
      </c>
      <c r="C16" s="142" t="s">
        <v>208</v>
      </c>
      <c r="D16" s="172">
        <f>'[3]План для разбивки'!E16</f>
        <v>1</v>
      </c>
      <c r="E16" s="173" t="s">
        <v>213</v>
      </c>
      <c r="F16" s="166">
        <v>3243</v>
      </c>
      <c r="G16" s="167">
        <f>'[3]План для разбивки'!I16</f>
        <v>179.12</v>
      </c>
      <c r="H16" s="168">
        <f>'[3]План для разбивки'!J16</f>
        <v>1.7911999999999999</v>
      </c>
      <c r="I16" s="169">
        <f t="shared" si="0"/>
        <v>5808.8615999999993</v>
      </c>
      <c r="J16" s="170">
        <f t="shared" si="1"/>
        <v>5.8088615999999993</v>
      </c>
    </row>
    <row r="17" spans="1:13" x14ac:dyDescent="0.2">
      <c r="A17" s="135" t="s">
        <v>214</v>
      </c>
      <c r="B17" s="174" t="s">
        <v>215</v>
      </c>
      <c r="C17" s="142" t="s">
        <v>208</v>
      </c>
      <c r="D17" s="172">
        <f>'[3]План для разбивки'!E17</f>
        <v>1</v>
      </c>
      <c r="E17" s="173" t="s">
        <v>194</v>
      </c>
      <c r="F17" s="166">
        <v>25260</v>
      </c>
      <c r="G17" s="167">
        <f>'[3]План для разбивки'!I17</f>
        <v>418.26</v>
      </c>
      <c r="H17" s="168">
        <f>'[3]План для разбивки'!J17</f>
        <v>4.1825999999999999</v>
      </c>
      <c r="I17" s="169">
        <f t="shared" si="0"/>
        <v>105652.476</v>
      </c>
      <c r="J17" s="170">
        <f t="shared" si="1"/>
        <v>105.65247599999999</v>
      </c>
    </row>
    <row r="18" spans="1:13" ht="22.5" x14ac:dyDescent="0.2">
      <c r="A18" s="135" t="s">
        <v>216</v>
      </c>
      <c r="B18" s="174" t="s">
        <v>217</v>
      </c>
      <c r="C18" s="142" t="s">
        <v>218</v>
      </c>
      <c r="D18" s="172">
        <f>'[3]План для разбивки'!E18</f>
        <v>2</v>
      </c>
      <c r="E18" s="173" t="s">
        <v>194</v>
      </c>
      <c r="F18" s="166">
        <v>674.24</v>
      </c>
      <c r="G18" s="167">
        <f>'[3]План для разбивки'!I18</f>
        <v>416.53</v>
      </c>
      <c r="H18" s="168">
        <f>'[3]План для разбивки'!J18</f>
        <v>4.1653000000000002</v>
      </c>
      <c r="I18" s="169">
        <f t="shared" si="0"/>
        <v>5616.8237440000003</v>
      </c>
      <c r="J18" s="170">
        <f t="shared" si="1"/>
        <v>5.6168237440000004</v>
      </c>
    </row>
    <row r="19" spans="1:13" s="129" customFormat="1" hidden="1" x14ac:dyDescent="0.2">
      <c r="A19" s="175" t="s">
        <v>219</v>
      </c>
      <c r="B19" s="176" t="s">
        <v>220</v>
      </c>
      <c r="C19" s="144" t="s">
        <v>208</v>
      </c>
      <c r="D19" s="172">
        <f>'[3]План для разбивки'!E19</f>
        <v>1</v>
      </c>
      <c r="E19" s="173" t="s">
        <v>194</v>
      </c>
      <c r="F19" s="166"/>
      <c r="G19" s="167">
        <f>'[3]План для разбивки'!I19</f>
        <v>400.94</v>
      </c>
      <c r="H19" s="168">
        <f>'[3]План для разбивки'!J19</f>
        <v>4.0094000000000003</v>
      </c>
      <c r="I19" s="169">
        <f t="shared" si="0"/>
        <v>0</v>
      </c>
      <c r="J19" s="170">
        <f t="shared" si="1"/>
        <v>0</v>
      </c>
      <c r="K19" s="141"/>
      <c r="L19" s="128"/>
      <c r="M19" s="128"/>
    </row>
    <row r="20" spans="1:13" hidden="1" x14ac:dyDescent="0.2">
      <c r="A20" s="135" t="s">
        <v>221</v>
      </c>
      <c r="B20" s="174" t="s">
        <v>222</v>
      </c>
      <c r="C20" s="142" t="s">
        <v>208</v>
      </c>
      <c r="D20" s="172">
        <f>'[3]План для разбивки'!E20</f>
        <v>1</v>
      </c>
      <c r="E20" s="173" t="s">
        <v>194</v>
      </c>
      <c r="F20" s="166"/>
      <c r="G20" s="167">
        <f>'[3]План для разбивки'!I20</f>
        <v>269.24</v>
      </c>
      <c r="H20" s="168">
        <f>'[3]План для разбивки'!J20</f>
        <v>2.6924000000000001</v>
      </c>
      <c r="I20" s="169">
        <f t="shared" si="0"/>
        <v>0</v>
      </c>
      <c r="J20" s="170">
        <f t="shared" si="1"/>
        <v>0</v>
      </c>
    </row>
    <row r="21" spans="1:13" ht="22.5" x14ac:dyDescent="0.2">
      <c r="A21" s="135" t="s">
        <v>223</v>
      </c>
      <c r="B21" s="174" t="s">
        <v>224</v>
      </c>
      <c r="C21" s="144" t="s">
        <v>218</v>
      </c>
      <c r="D21" s="172">
        <f>'[3]План для разбивки'!E21</f>
        <v>2</v>
      </c>
      <c r="E21" s="173" t="s">
        <v>194</v>
      </c>
      <c r="F21" s="166">
        <v>99.8</v>
      </c>
      <c r="G21" s="167">
        <f>'[3]План для разбивки'!I21</f>
        <v>517.04</v>
      </c>
      <c r="H21" s="168">
        <f>'[3]План для разбивки'!J21</f>
        <v>5.1703999999999999</v>
      </c>
      <c r="I21" s="169">
        <f t="shared" si="0"/>
        <v>1032.0118399999999</v>
      </c>
      <c r="J21" s="170">
        <f t="shared" si="1"/>
        <v>1.0320118399999998</v>
      </c>
    </row>
    <row r="22" spans="1:13" ht="33.75" x14ac:dyDescent="0.2">
      <c r="A22" s="135" t="s">
        <v>225</v>
      </c>
      <c r="B22" s="136" t="s">
        <v>226</v>
      </c>
      <c r="C22" s="142" t="s">
        <v>208</v>
      </c>
      <c r="D22" s="172">
        <f>'[3]План для разбивки'!E22</f>
        <v>1</v>
      </c>
      <c r="E22" s="173" t="s">
        <v>194</v>
      </c>
      <c r="F22" s="166">
        <v>425.57</v>
      </c>
      <c r="G22" s="167">
        <f>'[3]План для разбивки'!I22</f>
        <v>257.11</v>
      </c>
      <c r="H22" s="168">
        <f>'[3]План для разбивки'!J22</f>
        <v>2.5710999999999999</v>
      </c>
      <c r="I22" s="169">
        <f t="shared" si="0"/>
        <v>1094.183027</v>
      </c>
      <c r="J22" s="170">
        <f t="shared" si="1"/>
        <v>1.0941830270000001</v>
      </c>
    </row>
    <row r="23" spans="1:13" x14ac:dyDescent="0.2">
      <c r="A23" s="135" t="s">
        <v>227</v>
      </c>
      <c r="B23" s="174" t="s">
        <v>228</v>
      </c>
      <c r="C23" s="142" t="s">
        <v>208</v>
      </c>
      <c r="D23" s="172">
        <f>'[3]План для разбивки'!E23</f>
        <v>1</v>
      </c>
      <c r="E23" s="173" t="s">
        <v>194</v>
      </c>
      <c r="F23" s="166">
        <v>73.42</v>
      </c>
      <c r="G23" s="167">
        <f>'[3]План для разбивки'!I23</f>
        <v>208.58</v>
      </c>
      <c r="H23" s="168">
        <f>'[3]План для разбивки'!J23</f>
        <v>2.0857999999999999</v>
      </c>
      <c r="I23" s="169">
        <f t="shared" si="0"/>
        <v>153.13943599999999</v>
      </c>
      <c r="J23" s="170">
        <f t="shared" si="1"/>
        <v>0.15313943599999999</v>
      </c>
    </row>
    <row r="24" spans="1:13" ht="22.5" x14ac:dyDescent="0.2">
      <c r="A24" s="135" t="s">
        <v>229</v>
      </c>
      <c r="B24" s="136" t="s">
        <v>230</v>
      </c>
      <c r="C24" s="142" t="s">
        <v>231</v>
      </c>
      <c r="D24" s="172">
        <f>'[3]План для разбивки'!E24</f>
        <v>24</v>
      </c>
      <c r="E24" s="173" t="s">
        <v>194</v>
      </c>
      <c r="F24" s="166">
        <v>1118.56</v>
      </c>
      <c r="G24" s="167">
        <f>'[3]План для разбивки'!I24</f>
        <v>369.74</v>
      </c>
      <c r="H24" s="168">
        <f>'[3]План для разбивки'!J24</f>
        <v>3.6974</v>
      </c>
      <c r="I24" s="169">
        <f t="shared" si="0"/>
        <v>99258.329855999997</v>
      </c>
      <c r="J24" s="170">
        <f t="shared" si="1"/>
        <v>99.258329856000003</v>
      </c>
    </row>
    <row r="25" spans="1:13" hidden="1" x14ac:dyDescent="0.2">
      <c r="A25" s="157" t="s">
        <v>232</v>
      </c>
      <c r="B25" s="158" t="s">
        <v>233</v>
      </c>
      <c r="C25" s="158"/>
      <c r="D25" s="159">
        <f>'[3]План для разбивки'!E25</f>
        <v>0</v>
      </c>
      <c r="E25" s="158"/>
      <c r="F25" s="166"/>
      <c r="G25" s="178"/>
      <c r="H25" s="179"/>
      <c r="I25" s="180"/>
      <c r="J25" s="180"/>
    </row>
    <row r="26" spans="1:13" ht="22.5" x14ac:dyDescent="0.2">
      <c r="A26" s="135" t="s">
        <v>234</v>
      </c>
      <c r="B26" s="136" t="s">
        <v>235</v>
      </c>
      <c r="C26" s="142" t="s">
        <v>218</v>
      </c>
      <c r="D26" s="172">
        <f>'[3]План для разбивки'!E26</f>
        <v>2</v>
      </c>
      <c r="E26" s="173" t="s">
        <v>194</v>
      </c>
      <c r="F26" s="166">
        <v>8185.42</v>
      </c>
      <c r="G26" s="181">
        <f>'[3]План для разбивки'!I26</f>
        <v>204.61</v>
      </c>
      <c r="H26" s="168">
        <f>'[3]План для разбивки'!J26</f>
        <v>2.0461</v>
      </c>
      <c r="I26" s="169">
        <f>D26*F26*H26</f>
        <v>33496.375723999998</v>
      </c>
      <c r="J26" s="170">
        <f>I26/1000</f>
        <v>33.496375723999996</v>
      </c>
    </row>
    <row r="27" spans="1:13" ht="39" x14ac:dyDescent="0.2">
      <c r="A27" s="135" t="s">
        <v>236</v>
      </c>
      <c r="B27" s="136" t="s">
        <v>237</v>
      </c>
      <c r="C27" s="182" t="s">
        <v>238</v>
      </c>
      <c r="D27" s="172">
        <f>'[3]План для разбивки'!E27</f>
        <v>6</v>
      </c>
      <c r="E27" s="173" t="s">
        <v>194</v>
      </c>
      <c r="F27" s="166">
        <v>525</v>
      </c>
      <c r="G27" s="181">
        <f>'[3]План для разбивки'!I27</f>
        <v>767.3</v>
      </c>
      <c r="H27" s="168">
        <f>'[3]План для разбивки'!J27</f>
        <v>7.673</v>
      </c>
      <c r="I27" s="169">
        <f>D27*F27*H27</f>
        <v>24169.95</v>
      </c>
      <c r="J27" s="170">
        <f>I27/1000</f>
        <v>24.16995</v>
      </c>
    </row>
    <row r="28" spans="1:13" ht="39" hidden="1" x14ac:dyDescent="0.2">
      <c r="A28" s="135" t="s">
        <v>239</v>
      </c>
      <c r="B28" s="136" t="s">
        <v>240</v>
      </c>
      <c r="C28" s="182" t="s">
        <v>238</v>
      </c>
      <c r="D28" s="172">
        <f>'[3]План для разбивки'!E28</f>
        <v>0</v>
      </c>
      <c r="E28" s="173" t="s">
        <v>194</v>
      </c>
      <c r="F28" s="166"/>
      <c r="G28" s="181">
        <f>'[3]План для разбивки'!I28</f>
        <v>1329.97</v>
      </c>
      <c r="H28" s="168">
        <f>'[3]План для разбивки'!J28</f>
        <v>13.2997</v>
      </c>
      <c r="I28" s="169">
        <f>D28*F28*H28</f>
        <v>0</v>
      </c>
      <c r="J28" s="170">
        <f>I28/1000</f>
        <v>0</v>
      </c>
    </row>
    <row r="29" spans="1:13" ht="22.5" hidden="1" x14ac:dyDescent="0.2">
      <c r="A29" s="157" t="s">
        <v>241</v>
      </c>
      <c r="B29" s="158" t="s">
        <v>242</v>
      </c>
      <c r="C29" s="158"/>
      <c r="D29" s="159">
        <f>'[3]План для разбивки'!E29</f>
        <v>0</v>
      </c>
      <c r="E29" s="158"/>
      <c r="F29" s="166"/>
      <c r="G29" s="178"/>
      <c r="H29" s="179"/>
      <c r="I29" s="183"/>
      <c r="J29" s="180"/>
    </row>
    <row r="30" spans="1:13" ht="33.75" hidden="1" x14ac:dyDescent="0.2">
      <c r="A30" s="135" t="s">
        <v>243</v>
      </c>
      <c r="B30" s="136" t="s">
        <v>244</v>
      </c>
      <c r="C30" s="182" t="s">
        <v>245</v>
      </c>
      <c r="D30" s="137">
        <f>'[3]План для разбивки'!E30</f>
        <v>0</v>
      </c>
      <c r="E30" s="136" t="s">
        <v>246</v>
      </c>
      <c r="F30" s="166"/>
      <c r="G30" s="144">
        <f>'[3]План для разбивки'!I30</f>
        <v>0</v>
      </c>
      <c r="H30" s="184">
        <f>'[3]План для разбивки'!J30</f>
        <v>0</v>
      </c>
      <c r="I30" s="169">
        <f>D30*F30*H30</f>
        <v>0</v>
      </c>
      <c r="J30" s="170">
        <f t="shared" ref="J30:J37" si="2">I30/1000</f>
        <v>0</v>
      </c>
    </row>
    <row r="31" spans="1:13" s="129" customFormat="1" ht="51.75" customHeight="1" x14ac:dyDescent="0.2">
      <c r="A31" s="135" t="s">
        <v>247</v>
      </c>
      <c r="B31" s="165" t="s">
        <v>248</v>
      </c>
      <c r="C31" s="182" t="s">
        <v>249</v>
      </c>
      <c r="D31" s="143">
        <f>'[3]План для разбивки'!E31</f>
        <v>2</v>
      </c>
      <c r="E31" s="165" t="s">
        <v>250</v>
      </c>
      <c r="F31" s="166">
        <v>250</v>
      </c>
      <c r="G31" s="181">
        <f>'[3]План для разбивки'!I31</f>
        <v>68.430000000000007</v>
      </c>
      <c r="H31" s="168">
        <f>'[3]План для разбивки'!J31</f>
        <v>68.430000000000007</v>
      </c>
      <c r="I31" s="169">
        <f>D31*F31*H31</f>
        <v>34215</v>
      </c>
      <c r="J31" s="170">
        <f t="shared" si="2"/>
        <v>34.215000000000003</v>
      </c>
      <c r="K31" s="141"/>
      <c r="L31" s="128"/>
      <c r="M31" s="128"/>
    </row>
    <row r="32" spans="1:13" ht="15" customHeight="1" x14ac:dyDescent="0.2">
      <c r="A32" s="135" t="s">
        <v>251</v>
      </c>
      <c r="B32" s="174" t="s">
        <v>252</v>
      </c>
      <c r="C32" s="142" t="s">
        <v>208</v>
      </c>
      <c r="D32" s="172">
        <f>'[3]План для разбивки'!E32</f>
        <v>1</v>
      </c>
      <c r="E32" s="173" t="s">
        <v>194</v>
      </c>
      <c r="F32" s="166">
        <v>5800</v>
      </c>
      <c r="G32" s="167">
        <f>'[3]План для разбивки'!I32</f>
        <v>168.33</v>
      </c>
      <c r="H32" s="168">
        <f>'[3]План для разбивки'!J32</f>
        <v>1.6833</v>
      </c>
      <c r="I32" s="169">
        <f>D32*F32*H32</f>
        <v>9763.14</v>
      </c>
      <c r="J32" s="170">
        <f t="shared" si="2"/>
        <v>9.7631399999999999</v>
      </c>
    </row>
    <row r="33" spans="1:13" ht="18" customHeight="1" x14ac:dyDescent="0.2">
      <c r="A33" s="135" t="s">
        <v>253</v>
      </c>
      <c r="B33" s="174" t="s">
        <v>254</v>
      </c>
      <c r="C33" s="142" t="s">
        <v>193</v>
      </c>
      <c r="D33" s="172">
        <f>'[3]План для разбивки'!E33</f>
        <v>365</v>
      </c>
      <c r="E33" s="173" t="s">
        <v>255</v>
      </c>
      <c r="F33" s="166">
        <v>707.6</v>
      </c>
      <c r="G33" s="167">
        <f>'[3]План для разбивки'!I33</f>
        <v>84.8</v>
      </c>
      <c r="H33" s="168">
        <f>'[3]План для разбивки'!J33</f>
        <v>8.48</v>
      </c>
      <c r="I33" s="169">
        <f>D33*F33*H33</f>
        <v>2190163.52</v>
      </c>
      <c r="J33" s="170">
        <f t="shared" si="2"/>
        <v>2190.1635200000001</v>
      </c>
    </row>
    <row r="34" spans="1:13" ht="29.25" hidden="1" x14ac:dyDescent="0.2">
      <c r="A34" s="135" t="s">
        <v>256</v>
      </c>
      <c r="B34" s="136" t="s">
        <v>257</v>
      </c>
      <c r="C34" s="182" t="s">
        <v>245</v>
      </c>
      <c r="D34" s="143">
        <f>'[3]План для разбивки'!E34</f>
        <v>0</v>
      </c>
      <c r="E34" s="165"/>
      <c r="F34" s="166"/>
      <c r="G34" s="181">
        <f>'[3]План для разбивки'!I34</f>
        <v>0</v>
      </c>
      <c r="H34" s="168">
        <f>'[3]План для разбивки'!J34</f>
        <v>0</v>
      </c>
      <c r="I34" s="169">
        <f>D34*F34*H34</f>
        <v>0</v>
      </c>
      <c r="J34" s="170">
        <f t="shared" si="2"/>
        <v>0</v>
      </c>
    </row>
    <row r="35" spans="1:13" s="196" customFormat="1" hidden="1" x14ac:dyDescent="0.2">
      <c r="A35" s="185" t="s">
        <v>258</v>
      </c>
      <c r="B35" s="186" t="s">
        <v>259</v>
      </c>
      <c r="C35" s="187"/>
      <c r="D35" s="188">
        <f>'[3]План для разбивки'!E35</f>
        <v>0</v>
      </c>
      <c r="E35" s="187"/>
      <c r="F35" s="189"/>
      <c r="G35" s="190"/>
      <c r="H35" s="191"/>
      <c r="I35" s="192"/>
      <c r="J35" s="193">
        <f t="shared" si="2"/>
        <v>0</v>
      </c>
      <c r="K35" s="194"/>
      <c r="L35" s="195"/>
      <c r="M35" s="195"/>
    </row>
    <row r="36" spans="1:13" hidden="1" x14ac:dyDescent="0.2">
      <c r="A36" s="135" t="s">
        <v>260</v>
      </c>
      <c r="B36" s="136" t="s">
        <v>261</v>
      </c>
      <c r="C36" s="144" t="s">
        <v>262</v>
      </c>
      <c r="D36" s="143">
        <f>'[3]План для разбивки'!E36</f>
        <v>53</v>
      </c>
      <c r="E36" s="165" t="s">
        <v>250</v>
      </c>
      <c r="F36" s="166"/>
      <c r="G36" s="167">
        <f>'[3]План для разбивки'!I36</f>
        <v>90.28</v>
      </c>
      <c r="H36" s="168">
        <f>'[3]План для разбивки'!J36</f>
        <v>90.28</v>
      </c>
      <c r="I36" s="169"/>
      <c r="J36" s="170"/>
    </row>
    <row r="37" spans="1:13" ht="29.25" x14ac:dyDescent="0.2">
      <c r="A37" s="135" t="s">
        <v>263</v>
      </c>
      <c r="B37" s="136" t="s">
        <v>264</v>
      </c>
      <c r="C37" s="182" t="s">
        <v>245</v>
      </c>
      <c r="D37" s="137">
        <f>'[3]План для разбивки'!E37</f>
        <v>22</v>
      </c>
      <c r="E37" s="136" t="s">
        <v>250</v>
      </c>
      <c r="F37" s="166">
        <v>6</v>
      </c>
      <c r="G37" s="167">
        <f>'[3]План для разбивки'!I37</f>
        <v>15.83</v>
      </c>
      <c r="H37" s="168">
        <f>'[3]План для разбивки'!J37</f>
        <v>15.83</v>
      </c>
      <c r="I37" s="169">
        <f>D37*F37*H37</f>
        <v>2089.56</v>
      </c>
      <c r="J37" s="170">
        <f t="shared" si="2"/>
        <v>2.0895600000000001</v>
      </c>
    </row>
    <row r="38" spans="1:13" ht="15" hidden="1" x14ac:dyDescent="0.2">
      <c r="A38" s="197"/>
      <c r="B38" s="198" t="s">
        <v>265</v>
      </c>
      <c r="C38" s="198"/>
      <c r="D38" s="199">
        <f>'[3]План для разбивки'!E38</f>
        <v>0</v>
      </c>
      <c r="E38" s="198"/>
      <c r="F38" s="166"/>
      <c r="G38" s="178"/>
      <c r="H38" s="179"/>
      <c r="I38" s="200"/>
      <c r="J38" s="201"/>
    </row>
    <row r="39" spans="1:13" hidden="1" x14ac:dyDescent="0.2">
      <c r="A39" s="135" t="s">
        <v>266</v>
      </c>
      <c r="B39" s="202" t="s">
        <v>267</v>
      </c>
      <c r="C39" s="202"/>
      <c r="D39" s="203">
        <f>'[3]План для разбивки'!E39</f>
        <v>0</v>
      </c>
      <c r="E39" s="202"/>
      <c r="F39" s="166"/>
      <c r="G39" s="178">
        <f>'[3]План для разбивки'!I39</f>
        <v>0</v>
      </c>
      <c r="H39" s="179">
        <f>'[3]План для разбивки'!J39</f>
        <v>0</v>
      </c>
      <c r="I39" s="204">
        <f>'[3]План для разбивки'!K39</f>
        <v>0</v>
      </c>
      <c r="J39" s="205">
        <f>I39/1000</f>
        <v>0</v>
      </c>
    </row>
    <row r="40" spans="1:13" ht="22.5" x14ac:dyDescent="0.2">
      <c r="A40" s="135" t="s">
        <v>268</v>
      </c>
      <c r="B40" s="165" t="s">
        <v>269</v>
      </c>
      <c r="C40" s="144" t="s">
        <v>193</v>
      </c>
      <c r="D40" s="143">
        <f>'[3]План для разбивки'!E40</f>
        <v>365</v>
      </c>
      <c r="E40" s="165" t="s">
        <v>270</v>
      </c>
      <c r="F40" s="166">
        <v>9.6</v>
      </c>
      <c r="G40" s="167">
        <f>'[3]План для разбивки'!I40</f>
        <v>226.57</v>
      </c>
      <c r="H40" s="168">
        <f>'[3]План для разбивки'!J40</f>
        <v>226.57</v>
      </c>
      <c r="I40" s="169">
        <f>D40*F40*H40</f>
        <v>793901.28</v>
      </c>
      <c r="J40" s="170">
        <f>I40/1000</f>
        <v>793.90128000000004</v>
      </c>
    </row>
    <row r="41" spans="1:13" x14ac:dyDescent="0.2">
      <c r="A41" s="135" t="s">
        <v>271</v>
      </c>
      <c r="B41" s="206" t="s">
        <v>272</v>
      </c>
      <c r="C41" s="206"/>
      <c r="D41" s="207">
        <v>12</v>
      </c>
      <c r="E41" s="206" t="s">
        <v>273</v>
      </c>
      <c r="F41" s="166">
        <f>'[2]свод- исходные'!L7</f>
        <v>64464.5</v>
      </c>
      <c r="G41" s="144">
        <f>'[3]План для разбивки'!I41</f>
        <v>0</v>
      </c>
      <c r="H41" s="208">
        <v>1.84</v>
      </c>
      <c r="I41" s="169">
        <f>D41*F41*H41</f>
        <v>1423376.1600000001</v>
      </c>
      <c r="J41" s="209">
        <f>I41/1000</f>
        <v>1423.3761600000003</v>
      </c>
    </row>
    <row r="42" spans="1:13" ht="15" hidden="1" x14ac:dyDescent="0.2">
      <c r="A42" s="197"/>
      <c r="B42" s="198" t="s">
        <v>274</v>
      </c>
      <c r="C42" s="210"/>
      <c r="D42" s="211">
        <f>'[3]План для разбивки'!E42</f>
        <v>0</v>
      </c>
      <c r="E42" s="210"/>
      <c r="F42" s="166"/>
      <c r="G42" s="212"/>
      <c r="H42" s="213"/>
      <c r="I42" s="214"/>
      <c r="J42" s="215"/>
    </row>
    <row r="43" spans="1:13" hidden="1" x14ac:dyDescent="0.2">
      <c r="A43" s="216" t="s">
        <v>275</v>
      </c>
      <c r="B43" s="198" t="s">
        <v>276</v>
      </c>
      <c r="C43" s="210"/>
      <c r="D43" s="211">
        <f>'[3]План для разбивки'!E43</f>
        <v>365</v>
      </c>
      <c r="E43" s="210"/>
      <c r="F43" s="166"/>
      <c r="G43" s="212">
        <f>'[3]План для разбивки'!I43</f>
        <v>0</v>
      </c>
      <c r="H43" s="213">
        <f>'[3]План для разбивки'!J43</f>
        <v>0</v>
      </c>
      <c r="I43" s="217">
        <f>'[3]План для разбивки'!K43</f>
        <v>0</v>
      </c>
      <c r="J43" s="218">
        <f>I43/1000</f>
        <v>0</v>
      </c>
    </row>
    <row r="44" spans="1:13" s="129" customFormat="1" ht="22.5" hidden="1" customHeight="1" x14ac:dyDescent="0.2">
      <c r="A44" s="219" t="s">
        <v>277</v>
      </c>
      <c r="B44" s="158" t="s">
        <v>278</v>
      </c>
      <c r="C44" s="158"/>
      <c r="D44" s="159">
        <f>'[3]План для разбивки'!E44</f>
        <v>0</v>
      </c>
      <c r="E44" s="158"/>
      <c r="F44" s="166"/>
      <c r="G44" s="178"/>
      <c r="H44" s="179"/>
      <c r="I44" s="163"/>
      <c r="J44" s="164"/>
      <c r="K44" s="141"/>
      <c r="L44" s="128"/>
      <c r="M44" s="128"/>
    </row>
    <row r="45" spans="1:13" hidden="1" x14ac:dyDescent="0.2">
      <c r="A45" s="219" t="s">
        <v>279</v>
      </c>
      <c r="B45" s="220" t="s">
        <v>280</v>
      </c>
      <c r="C45" s="158"/>
      <c r="D45" s="159">
        <f>'[3]План для разбивки'!E45</f>
        <v>0</v>
      </c>
      <c r="E45" s="158"/>
      <c r="F45" s="166"/>
      <c r="G45" s="221"/>
      <c r="H45" s="222"/>
      <c r="I45" s="223"/>
      <c r="J45" s="224"/>
    </row>
    <row r="46" spans="1:13" ht="22.5" hidden="1" customHeight="1" x14ac:dyDescent="0.2">
      <c r="A46" s="135" t="s">
        <v>281</v>
      </c>
      <c r="B46" s="136" t="s">
        <v>282</v>
      </c>
      <c r="C46" s="142" t="s">
        <v>283</v>
      </c>
      <c r="D46" s="143">
        <f>'[3]План для разбивки'!E46</f>
        <v>1</v>
      </c>
      <c r="E46" s="165" t="s">
        <v>284</v>
      </c>
      <c r="F46" s="166"/>
      <c r="G46" s="144">
        <f>'[3]План для разбивки'!I46</f>
        <v>0</v>
      </c>
      <c r="H46" s="184">
        <f>'[3]План для разбивки'!J46</f>
        <v>0</v>
      </c>
      <c r="I46" s="169">
        <f>'[3]План для разбивки'!K46</f>
        <v>0</v>
      </c>
      <c r="J46" s="170">
        <f>I46/1000</f>
        <v>0</v>
      </c>
    </row>
    <row r="47" spans="1:13" ht="22.5" hidden="1" x14ac:dyDescent="0.2">
      <c r="A47" s="135" t="s">
        <v>285</v>
      </c>
      <c r="B47" s="136" t="s">
        <v>286</v>
      </c>
      <c r="C47" s="142" t="s">
        <v>283</v>
      </c>
      <c r="D47" s="143">
        <f>'[3]План для разбивки'!E47</f>
        <v>1</v>
      </c>
      <c r="E47" s="165" t="s">
        <v>287</v>
      </c>
      <c r="F47" s="166"/>
      <c r="G47" s="144">
        <f>'[3]План для разбивки'!I47</f>
        <v>0</v>
      </c>
      <c r="H47" s="184">
        <f>'[3]План для разбивки'!J47</f>
        <v>0</v>
      </c>
      <c r="I47" s="169">
        <f>'[3]План для разбивки'!K47</f>
        <v>0</v>
      </c>
      <c r="J47" s="170">
        <f>I47/1000</f>
        <v>0</v>
      </c>
    </row>
    <row r="48" spans="1:13" hidden="1" x14ac:dyDescent="0.2">
      <c r="A48" s="135" t="s">
        <v>288</v>
      </c>
      <c r="B48" s="174" t="s">
        <v>289</v>
      </c>
      <c r="C48" s="142" t="s">
        <v>283</v>
      </c>
      <c r="D48" s="143">
        <f>'[3]План для разбивки'!E48</f>
        <v>1</v>
      </c>
      <c r="E48" s="165" t="s">
        <v>287</v>
      </c>
      <c r="F48" s="166"/>
      <c r="G48" s="181">
        <f>'[3]План для разбивки'!I48</f>
        <v>187.09</v>
      </c>
      <c r="H48" s="168">
        <f>'[3]План для разбивки'!J48</f>
        <v>187.09</v>
      </c>
      <c r="I48" s="169">
        <f>'[3]План для разбивки'!K48</f>
        <v>0</v>
      </c>
      <c r="J48" s="170">
        <f>I48/1000</f>
        <v>0</v>
      </c>
    </row>
    <row r="49" spans="1:13" ht="22.5" hidden="1" x14ac:dyDescent="0.2">
      <c r="A49" s="135" t="s">
        <v>290</v>
      </c>
      <c r="B49" s="136" t="s">
        <v>291</v>
      </c>
      <c r="C49" s="142" t="s">
        <v>283</v>
      </c>
      <c r="D49" s="143">
        <f>'[3]План для разбивки'!E49</f>
        <v>1</v>
      </c>
      <c r="E49" s="165" t="s">
        <v>292</v>
      </c>
      <c r="F49" s="166"/>
      <c r="G49" s="144">
        <f>'[3]План для разбивки'!I49</f>
        <v>0</v>
      </c>
      <c r="H49" s="184">
        <f>'[3]План для разбивки'!J49</f>
        <v>0</v>
      </c>
      <c r="I49" s="169">
        <f>'[3]План для разбивки'!K49</f>
        <v>0</v>
      </c>
      <c r="J49" s="170">
        <f>I49/1000</f>
        <v>0</v>
      </c>
    </row>
    <row r="50" spans="1:13" hidden="1" x14ac:dyDescent="0.2">
      <c r="A50" s="135" t="s">
        <v>293</v>
      </c>
      <c r="B50" s="174" t="s">
        <v>294</v>
      </c>
      <c r="C50" s="136"/>
      <c r="D50" s="137">
        <f>'[3]План для разбивки'!E50</f>
        <v>0</v>
      </c>
      <c r="E50" s="136"/>
      <c r="F50" s="166"/>
      <c r="G50" s="181">
        <f>'[3]План для разбивки'!I50</f>
        <v>0</v>
      </c>
      <c r="H50" s="168">
        <f>'[3]План для разбивки'!J50</f>
        <v>0</v>
      </c>
      <c r="I50" s="169">
        <f>'[3]План для разбивки'!K50</f>
        <v>0</v>
      </c>
      <c r="J50" s="170">
        <f>I50/1000</f>
        <v>0</v>
      </c>
    </row>
    <row r="51" spans="1:13" s="129" customFormat="1" hidden="1" x14ac:dyDescent="0.2">
      <c r="A51" s="219" t="s">
        <v>295</v>
      </c>
      <c r="B51" s="220" t="s">
        <v>296</v>
      </c>
      <c r="C51" s="158"/>
      <c r="D51" s="159">
        <f>'[3]План для разбивки'!E51</f>
        <v>0</v>
      </c>
      <c r="E51" s="158"/>
      <c r="F51" s="166"/>
      <c r="G51" s="221"/>
      <c r="H51" s="222"/>
      <c r="I51" s="223"/>
      <c r="J51" s="224"/>
      <c r="K51" s="141"/>
      <c r="L51" s="128"/>
      <c r="M51" s="128"/>
    </row>
    <row r="52" spans="1:13" ht="29.25" hidden="1" x14ac:dyDescent="0.2">
      <c r="A52" s="135" t="s">
        <v>297</v>
      </c>
      <c r="B52" s="136" t="s">
        <v>298</v>
      </c>
      <c r="C52" s="225" t="s">
        <v>245</v>
      </c>
      <c r="D52" s="143">
        <f>'[3]План для разбивки'!E52</f>
        <v>1</v>
      </c>
      <c r="E52" s="165" t="s">
        <v>299</v>
      </c>
      <c r="F52" s="166"/>
      <c r="G52" s="181">
        <f>'[3]План для разбивки'!I52</f>
        <v>210.02</v>
      </c>
      <c r="H52" s="168">
        <f>'[3]План для разбивки'!J52</f>
        <v>210.02</v>
      </c>
      <c r="I52" s="169"/>
      <c r="J52" s="170">
        <f t="shared" ref="J52:J60" si="3">I52/1000</f>
        <v>0</v>
      </c>
    </row>
    <row r="53" spans="1:13" ht="29.25" hidden="1" x14ac:dyDescent="0.2">
      <c r="A53" s="135" t="s">
        <v>300</v>
      </c>
      <c r="B53" s="136" t="s">
        <v>301</v>
      </c>
      <c r="C53" s="182" t="s">
        <v>245</v>
      </c>
      <c r="D53" s="143">
        <f>'[3]План для разбивки'!E53</f>
        <v>0</v>
      </c>
      <c r="E53" s="165" t="s">
        <v>302</v>
      </c>
      <c r="F53" s="166"/>
      <c r="G53" s="181">
        <f>'[3]План для разбивки'!I53</f>
        <v>8867.57</v>
      </c>
      <c r="H53" s="168">
        <f>'[3]План для разбивки'!J53</f>
        <v>8867.57</v>
      </c>
      <c r="I53" s="169">
        <f>'[3]План для разбивки'!K53</f>
        <v>0</v>
      </c>
      <c r="J53" s="170">
        <f t="shared" si="3"/>
        <v>0</v>
      </c>
    </row>
    <row r="54" spans="1:13" ht="45" hidden="1" x14ac:dyDescent="0.2">
      <c r="A54" s="135" t="s">
        <v>303</v>
      </c>
      <c r="B54" s="136" t="s">
        <v>304</v>
      </c>
      <c r="C54" s="225" t="s">
        <v>245</v>
      </c>
      <c r="D54" s="143">
        <f>'[3]План для разбивки'!E54</f>
        <v>0</v>
      </c>
      <c r="E54" s="165" t="s">
        <v>305</v>
      </c>
      <c r="F54" s="166"/>
      <c r="G54" s="181">
        <f>'[3]План для разбивки'!I54</f>
        <v>369.12</v>
      </c>
      <c r="H54" s="168">
        <f>'[3]План для разбивки'!J54</f>
        <v>369.12</v>
      </c>
      <c r="I54" s="169">
        <f>'[3]План для разбивки'!K54</f>
        <v>0</v>
      </c>
      <c r="J54" s="170">
        <f t="shared" si="3"/>
        <v>0</v>
      </c>
    </row>
    <row r="55" spans="1:13" ht="33.75" hidden="1" x14ac:dyDescent="0.2">
      <c r="A55" s="135" t="s">
        <v>306</v>
      </c>
      <c r="B55" s="136" t="s">
        <v>307</v>
      </c>
      <c r="C55" s="142" t="s">
        <v>218</v>
      </c>
      <c r="D55" s="143">
        <f>'[3]План для разбивки'!E55</f>
        <v>2</v>
      </c>
      <c r="E55" s="165" t="s">
        <v>308</v>
      </c>
      <c r="F55" s="166"/>
      <c r="G55" s="181">
        <f>'[3]План для разбивки'!I55</f>
        <v>8993.14</v>
      </c>
      <c r="H55" s="168">
        <f>'[3]План для разбивки'!J55</f>
        <v>89.931399999999996</v>
      </c>
      <c r="I55" s="169"/>
      <c r="J55" s="170">
        <f t="shared" si="3"/>
        <v>0</v>
      </c>
    </row>
    <row r="56" spans="1:13" ht="22.5" hidden="1" x14ac:dyDescent="0.2">
      <c r="A56" s="135" t="s">
        <v>309</v>
      </c>
      <c r="B56" s="136" t="s">
        <v>310</v>
      </c>
      <c r="C56" s="142" t="s">
        <v>283</v>
      </c>
      <c r="D56" s="143">
        <f>'[3]План для разбивки'!E56</f>
        <v>1</v>
      </c>
      <c r="E56" s="165" t="s">
        <v>287</v>
      </c>
      <c r="F56" s="166"/>
      <c r="G56" s="181">
        <f>'[3]План для разбивки'!I56</f>
        <v>354.92</v>
      </c>
      <c r="H56" s="168">
        <f>'[3]План для разбивки'!J56</f>
        <v>354.92</v>
      </c>
      <c r="I56" s="169"/>
      <c r="J56" s="170">
        <f t="shared" si="3"/>
        <v>0</v>
      </c>
    </row>
    <row r="57" spans="1:13" ht="33.75" hidden="1" x14ac:dyDescent="0.2">
      <c r="A57" s="135" t="s">
        <v>311</v>
      </c>
      <c r="B57" s="136" t="s">
        <v>312</v>
      </c>
      <c r="C57" s="142" t="s">
        <v>313</v>
      </c>
      <c r="D57" s="143">
        <f>'[3]План для разбивки'!E57</f>
        <v>53</v>
      </c>
      <c r="E57" s="165" t="s">
        <v>308</v>
      </c>
      <c r="F57" s="166"/>
      <c r="G57" s="181">
        <f>'[3]План для разбивки'!I57</f>
        <v>719.14</v>
      </c>
      <c r="H57" s="168">
        <f>'[3]План для разбивки'!J57</f>
        <v>7.1913999999999998</v>
      </c>
      <c r="I57" s="169"/>
      <c r="J57" s="170">
        <f t="shared" si="3"/>
        <v>0</v>
      </c>
    </row>
    <row r="58" spans="1:13" ht="22.5" hidden="1" x14ac:dyDescent="0.2">
      <c r="A58" s="135" t="s">
        <v>314</v>
      </c>
      <c r="B58" s="136" t="s">
        <v>315</v>
      </c>
      <c r="C58" s="142" t="s">
        <v>283</v>
      </c>
      <c r="D58" s="143">
        <f>'[3]План для разбивки'!E58</f>
        <v>0</v>
      </c>
      <c r="E58" s="165" t="s">
        <v>213</v>
      </c>
      <c r="F58" s="166"/>
      <c r="G58" s="181">
        <f>'[3]План для разбивки'!I58</f>
        <v>623.76</v>
      </c>
      <c r="H58" s="168">
        <f>'[3]План для разбивки'!J58</f>
        <v>6.2375999999999996</v>
      </c>
      <c r="I58" s="169">
        <f>'[3]План для разбивки'!K58</f>
        <v>0</v>
      </c>
      <c r="J58" s="170">
        <f t="shared" si="3"/>
        <v>0</v>
      </c>
    </row>
    <row r="59" spans="1:13" ht="22.5" hidden="1" x14ac:dyDescent="0.2">
      <c r="A59" s="135" t="s">
        <v>316</v>
      </c>
      <c r="B59" s="136" t="s">
        <v>317</v>
      </c>
      <c r="C59" s="136"/>
      <c r="D59" s="137">
        <f>'[3]План для разбивки'!E59</f>
        <v>0</v>
      </c>
      <c r="E59" s="136"/>
      <c r="F59" s="166"/>
      <c r="G59" s="144">
        <f>'[3]План для разбивки'!I59</f>
        <v>0</v>
      </c>
      <c r="H59" s="184">
        <f>'[3]План для разбивки'!J59</f>
        <v>0</v>
      </c>
      <c r="I59" s="169">
        <f>'[3]План для разбивки'!K59</f>
        <v>0</v>
      </c>
      <c r="J59" s="170">
        <f t="shared" si="3"/>
        <v>0</v>
      </c>
    </row>
    <row r="60" spans="1:13" hidden="1" x14ac:dyDescent="0.2">
      <c r="A60" s="135" t="s">
        <v>318</v>
      </c>
      <c r="B60" s="174" t="s">
        <v>319</v>
      </c>
      <c r="C60" s="136"/>
      <c r="D60" s="137">
        <f>'[3]План для разбивки'!E60</f>
        <v>0</v>
      </c>
      <c r="E60" s="136"/>
      <c r="F60" s="166"/>
      <c r="G60" s="181">
        <f>'[3]План для разбивки'!I60</f>
        <v>0</v>
      </c>
      <c r="H60" s="168">
        <f>'[3]План для разбивки'!J60</f>
        <v>0</v>
      </c>
      <c r="I60" s="169">
        <f>'[3]План для разбивки'!K60</f>
        <v>0</v>
      </c>
      <c r="J60" s="170">
        <f t="shared" si="3"/>
        <v>0</v>
      </c>
    </row>
    <row r="61" spans="1:13" s="129" customFormat="1" hidden="1" x14ac:dyDescent="0.2">
      <c r="A61" s="219" t="s">
        <v>320</v>
      </c>
      <c r="B61" s="220" t="s">
        <v>321</v>
      </c>
      <c r="C61" s="158"/>
      <c r="D61" s="159">
        <f>'[3]План для разбивки'!E61</f>
        <v>0</v>
      </c>
      <c r="E61" s="158"/>
      <c r="F61" s="166"/>
      <c r="G61" s="221"/>
      <c r="H61" s="222"/>
      <c r="I61" s="223"/>
      <c r="J61" s="224"/>
      <c r="K61" s="141"/>
      <c r="L61" s="128"/>
      <c r="M61" s="128"/>
    </row>
    <row r="62" spans="1:13" s="129" customFormat="1" ht="22.5" hidden="1" x14ac:dyDescent="0.2">
      <c r="A62" s="175" t="s">
        <v>322</v>
      </c>
      <c r="B62" s="176" t="s">
        <v>323</v>
      </c>
      <c r="C62" s="142" t="s">
        <v>283</v>
      </c>
      <c r="D62" s="143">
        <f>'[3]План для разбивки'!E62</f>
        <v>0</v>
      </c>
      <c r="E62" s="165" t="s">
        <v>324</v>
      </c>
      <c r="F62" s="166"/>
      <c r="G62" s="181">
        <f>'[3]План для разбивки'!I62</f>
        <v>0</v>
      </c>
      <c r="H62" s="168">
        <f>'[3]План для разбивки'!J62</f>
        <v>0</v>
      </c>
      <c r="I62" s="169">
        <f>'[3]План для разбивки'!K62</f>
        <v>0</v>
      </c>
      <c r="J62" s="170">
        <f>I62/1000</f>
        <v>0</v>
      </c>
      <c r="K62" s="141"/>
      <c r="L62" s="128"/>
      <c r="M62" s="128"/>
    </row>
    <row r="63" spans="1:13" s="129" customFormat="1" ht="22.5" hidden="1" x14ac:dyDescent="0.2">
      <c r="A63" s="175" t="s">
        <v>325</v>
      </c>
      <c r="B63" s="176" t="s">
        <v>326</v>
      </c>
      <c r="C63" s="142" t="s">
        <v>283</v>
      </c>
      <c r="D63" s="143">
        <f>'[3]План для разбивки'!E63</f>
        <v>0</v>
      </c>
      <c r="E63" s="165" t="s">
        <v>327</v>
      </c>
      <c r="F63" s="166"/>
      <c r="G63" s="181">
        <f>'[3]План для разбивки'!I63</f>
        <v>75.86</v>
      </c>
      <c r="H63" s="168">
        <f>'[3]План для разбивки'!J63</f>
        <v>75.86</v>
      </c>
      <c r="I63" s="169">
        <f>'[3]План для разбивки'!K63</f>
        <v>0</v>
      </c>
      <c r="J63" s="170">
        <f>I63/1000</f>
        <v>0</v>
      </c>
      <c r="K63" s="141"/>
      <c r="L63" s="128"/>
      <c r="M63" s="128"/>
    </row>
    <row r="64" spans="1:13" s="129" customFormat="1" hidden="1" x14ac:dyDescent="0.2">
      <c r="A64" s="175" t="s">
        <v>328</v>
      </c>
      <c r="B64" s="176" t="s">
        <v>329</v>
      </c>
      <c r="C64" s="165"/>
      <c r="D64" s="143">
        <f>'[3]План для разбивки'!E64</f>
        <v>0</v>
      </c>
      <c r="E64" s="165"/>
      <c r="F64" s="166"/>
      <c r="G64" s="181">
        <f>'[3]План для разбивки'!I64</f>
        <v>0</v>
      </c>
      <c r="H64" s="168">
        <f>'[3]План для разбивки'!J64</f>
        <v>0</v>
      </c>
      <c r="I64" s="169">
        <f>'[3]План для разбивки'!K64</f>
        <v>0</v>
      </c>
      <c r="J64" s="170">
        <f>I64/1000</f>
        <v>0</v>
      </c>
      <c r="K64" s="141"/>
      <c r="L64" s="128"/>
      <c r="M64" s="128"/>
    </row>
    <row r="65" spans="1:13" s="129" customFormat="1" hidden="1" x14ac:dyDescent="0.2">
      <c r="A65" s="175" t="s">
        <v>330</v>
      </c>
      <c r="B65" s="176" t="s">
        <v>331</v>
      </c>
      <c r="C65" s="165"/>
      <c r="D65" s="143">
        <f>'[3]План для разбивки'!E65</f>
        <v>0</v>
      </c>
      <c r="E65" s="165"/>
      <c r="F65" s="166"/>
      <c r="G65" s="181">
        <f>'[3]План для разбивки'!I65</f>
        <v>0</v>
      </c>
      <c r="H65" s="168">
        <f>'[3]План для разбивки'!J65</f>
        <v>0</v>
      </c>
      <c r="I65" s="169">
        <f>'[3]План для разбивки'!K65</f>
        <v>0</v>
      </c>
      <c r="J65" s="170">
        <f>I65/1000</f>
        <v>0</v>
      </c>
      <c r="K65" s="141"/>
      <c r="L65" s="128"/>
      <c r="M65" s="128"/>
    </row>
    <row r="66" spans="1:13" s="129" customFormat="1" hidden="1" x14ac:dyDescent="0.2">
      <c r="A66" s="219" t="s">
        <v>332</v>
      </c>
      <c r="B66" s="220" t="s">
        <v>333</v>
      </c>
      <c r="C66" s="158"/>
      <c r="D66" s="159">
        <f>'[3]План для разбивки'!E66</f>
        <v>0</v>
      </c>
      <c r="E66" s="158"/>
      <c r="F66" s="166"/>
      <c r="G66" s="221"/>
      <c r="H66" s="222"/>
      <c r="I66" s="223"/>
      <c r="J66" s="224"/>
      <c r="K66" s="141"/>
      <c r="L66" s="128"/>
      <c r="M66" s="128"/>
    </row>
    <row r="67" spans="1:13" ht="22.5" hidden="1" x14ac:dyDescent="0.2">
      <c r="A67" s="135" t="s">
        <v>334</v>
      </c>
      <c r="B67" s="136" t="s">
        <v>335</v>
      </c>
      <c r="C67" s="136"/>
      <c r="D67" s="137">
        <f>'[3]План для разбивки'!E67</f>
        <v>0</v>
      </c>
      <c r="E67" s="136"/>
      <c r="F67" s="166"/>
      <c r="G67" s="144">
        <f>'[3]План для разбивки'!I67</f>
        <v>0</v>
      </c>
      <c r="H67" s="184">
        <f>'[3]План для разбивки'!J67</f>
        <v>0</v>
      </c>
      <c r="I67" s="169">
        <f>'[3]План для разбивки'!K67</f>
        <v>0</v>
      </c>
      <c r="J67" s="170">
        <f t="shared" ref="J67:J73" si="4">I67/1000</f>
        <v>0</v>
      </c>
    </row>
    <row r="68" spans="1:13" ht="22.5" hidden="1" x14ac:dyDescent="0.2">
      <c r="A68" s="135" t="s">
        <v>336</v>
      </c>
      <c r="B68" s="136" t="s">
        <v>337</v>
      </c>
      <c r="C68" s="136"/>
      <c r="D68" s="137">
        <f>'[3]План для разбивки'!E68</f>
        <v>0</v>
      </c>
      <c r="E68" s="136"/>
      <c r="F68" s="166"/>
      <c r="G68" s="144">
        <f>'[3]План для разбивки'!I68</f>
        <v>0</v>
      </c>
      <c r="H68" s="184">
        <f>'[3]План для разбивки'!J68</f>
        <v>0</v>
      </c>
      <c r="I68" s="169">
        <f>'[3]План для разбивки'!K68</f>
        <v>0</v>
      </c>
      <c r="J68" s="170">
        <f t="shared" si="4"/>
        <v>0</v>
      </c>
    </row>
    <row r="69" spans="1:13" ht="33.75" hidden="1" x14ac:dyDescent="0.2">
      <c r="A69" s="135" t="s">
        <v>338</v>
      </c>
      <c r="B69" s="136" t="s">
        <v>339</v>
      </c>
      <c r="C69" s="144"/>
      <c r="D69" s="143">
        <f>'[3]План для разбивки'!E69</f>
        <v>1</v>
      </c>
      <c r="E69" s="165" t="s">
        <v>340</v>
      </c>
      <c r="F69" s="166"/>
      <c r="G69" s="181">
        <f>'[3]План для разбивки'!I69</f>
        <v>149.59</v>
      </c>
      <c r="H69" s="168">
        <f>'[3]План для разбивки'!J69</f>
        <v>149.59</v>
      </c>
      <c r="I69" s="169">
        <f>'[3]План для разбивки'!K69</f>
        <v>0</v>
      </c>
      <c r="J69" s="170">
        <f t="shared" si="4"/>
        <v>0</v>
      </c>
    </row>
    <row r="70" spans="1:13" hidden="1" x14ac:dyDescent="0.2">
      <c r="A70" s="135" t="s">
        <v>341</v>
      </c>
      <c r="B70" s="136" t="s">
        <v>342</v>
      </c>
      <c r="C70" s="142" t="s">
        <v>283</v>
      </c>
      <c r="D70" s="226">
        <f>'[3]План для разбивки'!E70</f>
        <v>1</v>
      </c>
      <c r="E70" s="227" t="s">
        <v>343</v>
      </c>
      <c r="F70" s="166"/>
      <c r="G70" s="181">
        <f>'[3]План для разбивки'!I70</f>
        <v>295.22000000000003</v>
      </c>
      <c r="H70" s="168">
        <f>'[3]План для разбивки'!J70</f>
        <v>295.22000000000003</v>
      </c>
      <c r="I70" s="169">
        <f>'[3]План для разбивки'!K70</f>
        <v>0</v>
      </c>
      <c r="J70" s="170">
        <f t="shared" si="4"/>
        <v>0</v>
      </c>
    </row>
    <row r="71" spans="1:13" ht="22.5" hidden="1" x14ac:dyDescent="0.2">
      <c r="A71" s="135" t="s">
        <v>344</v>
      </c>
      <c r="B71" s="136" t="s">
        <v>345</v>
      </c>
      <c r="C71" s="144" t="s">
        <v>208</v>
      </c>
      <c r="D71" s="143">
        <f>'[3]План для разбивки'!E71</f>
        <v>1</v>
      </c>
      <c r="E71" s="165" t="s">
        <v>346</v>
      </c>
      <c r="F71" s="166"/>
      <c r="G71" s="181">
        <f>'[3]План для разбивки'!I71</f>
        <v>106.01</v>
      </c>
      <c r="H71" s="168">
        <f>'[3]План для разбивки'!J71</f>
        <v>106.01</v>
      </c>
      <c r="I71" s="169">
        <f>'[3]План для разбивки'!K71</f>
        <v>0</v>
      </c>
      <c r="J71" s="170">
        <f t="shared" si="4"/>
        <v>0</v>
      </c>
    </row>
    <row r="72" spans="1:13" hidden="1" x14ac:dyDescent="0.2">
      <c r="A72" s="135" t="s">
        <v>347</v>
      </c>
      <c r="B72" s="136" t="s">
        <v>348</v>
      </c>
      <c r="C72" s="136"/>
      <c r="D72" s="137">
        <f>'[3]План для разбивки'!E72</f>
        <v>0</v>
      </c>
      <c r="E72" s="136"/>
      <c r="F72" s="166"/>
      <c r="G72" s="144">
        <f>'[3]План для разбивки'!I72</f>
        <v>0</v>
      </c>
      <c r="H72" s="184">
        <f>'[3]План для разбивки'!J72</f>
        <v>0</v>
      </c>
      <c r="I72" s="169">
        <f>'[3]План для разбивки'!K72</f>
        <v>0</v>
      </c>
      <c r="J72" s="170">
        <f t="shared" si="4"/>
        <v>0</v>
      </c>
    </row>
    <row r="73" spans="1:13" hidden="1" x14ac:dyDescent="0.2">
      <c r="A73" s="135" t="s">
        <v>349</v>
      </c>
      <c r="B73" s="136" t="s">
        <v>350</v>
      </c>
      <c r="C73" s="136"/>
      <c r="D73" s="137">
        <f>'[3]План для разбивки'!E73</f>
        <v>0</v>
      </c>
      <c r="E73" s="136"/>
      <c r="F73" s="166"/>
      <c r="G73" s="144">
        <f>'[3]План для разбивки'!I73</f>
        <v>0</v>
      </c>
      <c r="H73" s="184">
        <f>'[3]План для разбивки'!J73</f>
        <v>0</v>
      </c>
      <c r="I73" s="169">
        <f>'[3]План для разбивки'!K73</f>
        <v>0</v>
      </c>
      <c r="J73" s="170">
        <f t="shared" si="4"/>
        <v>0</v>
      </c>
    </row>
    <row r="74" spans="1:13" s="129" customFormat="1" ht="45" hidden="1" customHeight="1" x14ac:dyDescent="0.2">
      <c r="A74" s="157" t="s">
        <v>351</v>
      </c>
      <c r="B74" s="158" t="s">
        <v>352</v>
      </c>
      <c r="C74" s="158"/>
      <c r="D74" s="159">
        <f>'[3]План для разбивки'!E74</f>
        <v>0</v>
      </c>
      <c r="E74" s="158"/>
      <c r="F74" s="166"/>
      <c r="G74" s="178"/>
      <c r="H74" s="179"/>
      <c r="I74" s="223"/>
      <c r="J74" s="224"/>
      <c r="K74" s="141"/>
      <c r="L74" s="128"/>
      <c r="M74" s="128"/>
    </row>
    <row r="75" spans="1:13" ht="22.5" hidden="1" x14ac:dyDescent="0.2">
      <c r="A75" s="135" t="s">
        <v>353</v>
      </c>
      <c r="B75" s="136" t="s">
        <v>354</v>
      </c>
      <c r="C75" s="142" t="s">
        <v>283</v>
      </c>
      <c r="D75" s="143">
        <f>'[3]План для разбивки'!E75</f>
        <v>1</v>
      </c>
      <c r="E75" s="165" t="s">
        <v>28</v>
      </c>
      <c r="F75" s="166"/>
      <c r="G75" s="181">
        <f>'[3]План для разбивки'!I75</f>
        <v>748.08</v>
      </c>
      <c r="H75" s="168">
        <f>'[3]План для разбивки'!J75</f>
        <v>748.08</v>
      </c>
      <c r="I75" s="169">
        <f>'[3]План для разбивки'!K75</f>
        <v>0</v>
      </c>
      <c r="J75" s="170">
        <f t="shared" ref="J75:J81" si="5">I75/1000</f>
        <v>0</v>
      </c>
      <c r="M75" s="228"/>
    </row>
    <row r="76" spans="1:13" ht="22.5" hidden="1" x14ac:dyDescent="0.2">
      <c r="A76" s="135" t="s">
        <v>355</v>
      </c>
      <c r="B76" s="136" t="s">
        <v>356</v>
      </c>
      <c r="C76" s="136"/>
      <c r="D76" s="137">
        <f>'[3]План для разбивки'!E76</f>
        <v>0</v>
      </c>
      <c r="E76" s="136"/>
      <c r="F76" s="166"/>
      <c r="G76" s="144">
        <f>'[3]План для разбивки'!I76</f>
        <v>0</v>
      </c>
      <c r="H76" s="184">
        <f>'[3]План для разбивки'!J76</f>
        <v>0</v>
      </c>
      <c r="I76" s="169">
        <f>'[3]План для разбивки'!K76</f>
        <v>0</v>
      </c>
      <c r="J76" s="170">
        <f t="shared" si="5"/>
        <v>0</v>
      </c>
    </row>
    <row r="77" spans="1:13" ht="22.5" hidden="1" x14ac:dyDescent="0.2">
      <c r="A77" s="135" t="s">
        <v>357</v>
      </c>
      <c r="B77" s="136" t="s">
        <v>358</v>
      </c>
      <c r="C77" s="144"/>
      <c r="D77" s="143">
        <f>'[3]План для разбивки'!E77</f>
        <v>1</v>
      </c>
      <c r="E77" s="165"/>
      <c r="F77" s="166"/>
      <c r="G77" s="181">
        <f>'[3]План для разбивки'!I77</f>
        <v>852.2</v>
      </c>
      <c r="H77" s="168">
        <f>'[3]План для разбивки'!J77</f>
        <v>852.2</v>
      </c>
      <c r="I77" s="169">
        <f>'[3]План для разбивки'!K77</f>
        <v>0</v>
      </c>
      <c r="J77" s="170">
        <f t="shared" si="5"/>
        <v>0</v>
      </c>
    </row>
    <row r="78" spans="1:13" ht="22.5" hidden="1" x14ac:dyDescent="0.2">
      <c r="A78" s="135" t="s">
        <v>359</v>
      </c>
      <c r="B78" s="136" t="s">
        <v>360</v>
      </c>
      <c r="C78" s="136"/>
      <c r="D78" s="137">
        <f>'[3]План для разбивки'!E78</f>
        <v>0</v>
      </c>
      <c r="E78" s="136"/>
      <c r="F78" s="166"/>
      <c r="G78" s="144">
        <f>'[3]План для разбивки'!I78</f>
        <v>0</v>
      </c>
      <c r="H78" s="184">
        <f>'[3]План для разбивки'!J78</f>
        <v>0</v>
      </c>
      <c r="I78" s="169">
        <f>'[3]План для разбивки'!K78</f>
        <v>0</v>
      </c>
      <c r="J78" s="170">
        <f t="shared" si="5"/>
        <v>0</v>
      </c>
      <c r="M78" s="228"/>
    </row>
    <row r="79" spans="1:13" ht="22.5" hidden="1" x14ac:dyDescent="0.2">
      <c r="A79" s="135" t="s">
        <v>361</v>
      </c>
      <c r="B79" s="136" t="s">
        <v>362</v>
      </c>
      <c r="C79" s="229" t="s">
        <v>363</v>
      </c>
      <c r="D79" s="143">
        <f>'[3]План для разбивки'!E79</f>
        <v>0</v>
      </c>
      <c r="E79" s="230"/>
      <c r="F79" s="166"/>
      <c r="G79" s="181">
        <f>'[3]План для разбивки'!I79</f>
        <v>0</v>
      </c>
      <c r="H79" s="184">
        <f>'[3]План для разбивки'!J79</f>
        <v>0</v>
      </c>
      <c r="I79" s="169">
        <f>'[3]План для разбивки'!K79</f>
        <v>0</v>
      </c>
      <c r="J79" s="170">
        <f t="shared" si="5"/>
        <v>0</v>
      </c>
    </row>
    <row r="80" spans="1:13" ht="33.75" hidden="1" x14ac:dyDescent="0.2">
      <c r="A80" s="135" t="s">
        <v>364</v>
      </c>
      <c r="B80" s="136" t="s">
        <v>365</v>
      </c>
      <c r="C80" s="142" t="s">
        <v>245</v>
      </c>
      <c r="D80" s="143">
        <f>'[3]План для разбивки'!E80</f>
        <v>0</v>
      </c>
      <c r="E80" s="165" t="s">
        <v>366</v>
      </c>
      <c r="F80" s="166"/>
      <c r="G80" s="181">
        <f>'[3]План для разбивки'!I80</f>
        <v>975.51</v>
      </c>
      <c r="H80" s="168">
        <f>'[3]План для разбивки'!J80</f>
        <v>975.51</v>
      </c>
      <c r="I80" s="169">
        <f>'[3]План для разбивки'!K80</f>
        <v>0</v>
      </c>
      <c r="J80" s="170">
        <f t="shared" si="5"/>
        <v>0</v>
      </c>
    </row>
    <row r="81" spans="1:13" hidden="1" x14ac:dyDescent="0.2">
      <c r="A81" s="135" t="s">
        <v>367</v>
      </c>
      <c r="B81" s="136" t="s">
        <v>368</v>
      </c>
      <c r="C81" s="136"/>
      <c r="D81" s="137">
        <f>'[3]План для разбивки'!E81</f>
        <v>0</v>
      </c>
      <c r="E81" s="136"/>
      <c r="F81" s="166"/>
      <c r="G81" s="144">
        <f>'[3]План для разбивки'!I81</f>
        <v>0</v>
      </c>
      <c r="H81" s="184">
        <f>'[3]План для разбивки'!J81</f>
        <v>0</v>
      </c>
      <c r="I81" s="169">
        <f>'[3]План для разбивки'!K81</f>
        <v>0</v>
      </c>
      <c r="J81" s="170">
        <f t="shared" si="5"/>
        <v>0</v>
      </c>
    </row>
    <row r="82" spans="1:13" ht="33.75" hidden="1" x14ac:dyDescent="0.2">
      <c r="A82" s="157" t="s">
        <v>369</v>
      </c>
      <c r="B82" s="158" t="s">
        <v>370</v>
      </c>
      <c r="C82" s="158"/>
      <c r="D82" s="159">
        <f>'[3]План для разбивки'!E82</f>
        <v>0</v>
      </c>
      <c r="E82" s="158"/>
      <c r="F82" s="166"/>
      <c r="G82" s="178"/>
      <c r="H82" s="179"/>
      <c r="I82" s="223"/>
      <c r="J82" s="224"/>
    </row>
    <row r="83" spans="1:13" ht="22.5" hidden="1" x14ac:dyDescent="0.2">
      <c r="A83" s="135" t="s">
        <v>371</v>
      </c>
      <c r="B83" s="136" t="s">
        <v>372</v>
      </c>
      <c r="C83" s="142" t="s">
        <v>283</v>
      </c>
      <c r="D83" s="143">
        <f>'[3]План для разбивки'!E83</f>
        <v>1</v>
      </c>
      <c r="E83" s="165" t="s">
        <v>327</v>
      </c>
      <c r="F83" s="166"/>
      <c r="G83" s="181">
        <f>'[3]План для разбивки'!I83</f>
        <v>111.14</v>
      </c>
      <c r="H83" s="168">
        <f>'[3]План для разбивки'!J83</f>
        <v>111.14</v>
      </c>
      <c r="I83" s="231">
        <f>'[3]План для разбивки'!K83</f>
        <v>0</v>
      </c>
      <c r="J83" s="232">
        <f t="shared" ref="J83:J94" si="6">I83/1000</f>
        <v>0</v>
      </c>
    </row>
    <row r="84" spans="1:13" hidden="1" x14ac:dyDescent="0.2">
      <c r="A84" s="135" t="s">
        <v>373</v>
      </c>
      <c r="B84" s="136" t="s">
        <v>374</v>
      </c>
      <c r="C84" s="136"/>
      <c r="D84" s="137">
        <f>'[3]План для разбивки'!E84</f>
        <v>0</v>
      </c>
      <c r="E84" s="136"/>
      <c r="F84" s="166"/>
      <c r="G84" s="144">
        <f>'[3]План для разбивки'!I84</f>
        <v>0</v>
      </c>
      <c r="H84" s="184">
        <f>'[3]План для разбивки'!J84</f>
        <v>0</v>
      </c>
      <c r="I84" s="169">
        <f>'[3]План для разбивки'!K84</f>
        <v>0</v>
      </c>
      <c r="J84" s="170">
        <f t="shared" si="6"/>
        <v>0</v>
      </c>
    </row>
    <row r="85" spans="1:13" hidden="1" x14ac:dyDescent="0.2">
      <c r="A85" s="135" t="s">
        <v>375</v>
      </c>
      <c r="B85" s="136" t="s">
        <v>376</v>
      </c>
      <c r="C85" s="136"/>
      <c r="D85" s="137">
        <f>'[3]План для разбивки'!E85</f>
        <v>0</v>
      </c>
      <c r="E85" s="136"/>
      <c r="F85" s="166"/>
      <c r="G85" s="144">
        <f>'[3]План для разбивки'!I85</f>
        <v>0</v>
      </c>
      <c r="H85" s="184">
        <f>'[3]План для разбивки'!J85</f>
        <v>0</v>
      </c>
      <c r="I85" s="169">
        <f>'[3]План для разбивки'!K85</f>
        <v>0</v>
      </c>
      <c r="J85" s="170">
        <f t="shared" si="6"/>
        <v>0</v>
      </c>
    </row>
    <row r="86" spans="1:13" hidden="1" x14ac:dyDescent="0.2">
      <c r="A86" s="135" t="s">
        <v>377</v>
      </c>
      <c r="B86" s="136" t="s">
        <v>378</v>
      </c>
      <c r="C86" s="136"/>
      <c r="D86" s="137">
        <f>'[3]План для разбивки'!E86</f>
        <v>0</v>
      </c>
      <c r="E86" s="136"/>
      <c r="F86" s="166"/>
      <c r="G86" s="144">
        <f>'[3]План для разбивки'!I86</f>
        <v>0</v>
      </c>
      <c r="H86" s="184">
        <f>'[3]План для разбивки'!J86</f>
        <v>0</v>
      </c>
      <c r="I86" s="169">
        <f>'[3]План для разбивки'!K86</f>
        <v>0</v>
      </c>
      <c r="J86" s="170">
        <f t="shared" si="6"/>
        <v>0</v>
      </c>
    </row>
    <row r="87" spans="1:13" hidden="1" x14ac:dyDescent="0.2">
      <c r="A87" s="135" t="s">
        <v>379</v>
      </c>
      <c r="B87" s="136" t="s">
        <v>380</v>
      </c>
      <c r="C87" s="136"/>
      <c r="D87" s="137">
        <f>'[3]План для разбивки'!E87</f>
        <v>0</v>
      </c>
      <c r="E87" s="136"/>
      <c r="F87" s="166"/>
      <c r="G87" s="144">
        <f>'[3]План для разбивки'!I87</f>
        <v>0</v>
      </c>
      <c r="H87" s="184">
        <f>'[3]План для разбивки'!J87</f>
        <v>0</v>
      </c>
      <c r="I87" s="169">
        <f>'[3]План для разбивки'!K87</f>
        <v>0</v>
      </c>
      <c r="J87" s="170">
        <f t="shared" si="6"/>
        <v>0</v>
      </c>
    </row>
    <row r="88" spans="1:13" hidden="1" x14ac:dyDescent="0.2">
      <c r="A88" s="135" t="s">
        <v>381</v>
      </c>
      <c r="B88" s="136" t="s">
        <v>382</v>
      </c>
      <c r="C88" s="136"/>
      <c r="D88" s="137">
        <f>'[3]План для разбивки'!E88</f>
        <v>0</v>
      </c>
      <c r="E88" s="136"/>
      <c r="F88" s="166"/>
      <c r="G88" s="144">
        <f>'[3]План для разбивки'!I88</f>
        <v>0</v>
      </c>
      <c r="H88" s="184">
        <f>'[3]План для разбивки'!J88</f>
        <v>0</v>
      </c>
      <c r="I88" s="169">
        <f>'[3]План для разбивки'!K88</f>
        <v>0</v>
      </c>
      <c r="J88" s="170">
        <f t="shared" si="6"/>
        <v>0</v>
      </c>
    </row>
    <row r="89" spans="1:13" ht="33.75" hidden="1" x14ac:dyDescent="0.2">
      <c r="A89" s="135" t="s">
        <v>383</v>
      </c>
      <c r="B89" s="136" t="s">
        <v>384</v>
      </c>
      <c r="C89" s="136"/>
      <c r="D89" s="137">
        <f>'[3]План для разбивки'!E89</f>
        <v>0</v>
      </c>
      <c r="E89" s="136"/>
      <c r="F89" s="166"/>
      <c r="G89" s="144">
        <f>'[3]План для разбивки'!I89</f>
        <v>0</v>
      </c>
      <c r="H89" s="184">
        <f>'[3]План для разбивки'!J89</f>
        <v>0</v>
      </c>
      <c r="I89" s="169">
        <f>'[3]План для разбивки'!K89</f>
        <v>0</v>
      </c>
      <c r="J89" s="170">
        <f t="shared" si="6"/>
        <v>0</v>
      </c>
    </row>
    <row r="90" spans="1:13" ht="22.5" hidden="1" x14ac:dyDescent="0.2">
      <c r="A90" s="135" t="s">
        <v>385</v>
      </c>
      <c r="B90" s="136" t="s">
        <v>386</v>
      </c>
      <c r="C90" s="136"/>
      <c r="D90" s="137">
        <f>'[3]План для разбивки'!E90</f>
        <v>0</v>
      </c>
      <c r="E90" s="136"/>
      <c r="F90" s="166"/>
      <c r="G90" s="144">
        <f>'[3]План для разбивки'!I90</f>
        <v>0</v>
      </c>
      <c r="H90" s="184">
        <f>'[3]План для разбивки'!J90</f>
        <v>0</v>
      </c>
      <c r="I90" s="169">
        <f>'[3]План для разбивки'!K90</f>
        <v>0</v>
      </c>
      <c r="J90" s="170">
        <f t="shared" si="6"/>
        <v>0</v>
      </c>
    </row>
    <row r="91" spans="1:13" ht="22.5" hidden="1" x14ac:dyDescent="0.2">
      <c r="A91" s="135" t="s">
        <v>387</v>
      </c>
      <c r="B91" s="136" t="s">
        <v>388</v>
      </c>
      <c r="C91" s="136"/>
      <c r="D91" s="137">
        <f>'[3]План для разбивки'!E91</f>
        <v>0</v>
      </c>
      <c r="E91" s="136"/>
      <c r="F91" s="166"/>
      <c r="G91" s="144">
        <f>'[3]План для разбивки'!I91</f>
        <v>0</v>
      </c>
      <c r="H91" s="184">
        <f>'[3]План для разбивки'!J91</f>
        <v>0</v>
      </c>
      <c r="I91" s="169">
        <f>'[3]План для разбивки'!K91</f>
        <v>0</v>
      </c>
      <c r="J91" s="170">
        <f t="shared" si="6"/>
        <v>0</v>
      </c>
    </row>
    <row r="92" spans="1:13" ht="22.5" hidden="1" x14ac:dyDescent="0.2">
      <c r="A92" s="135" t="s">
        <v>389</v>
      </c>
      <c r="B92" s="136" t="s">
        <v>390</v>
      </c>
      <c r="C92" s="136"/>
      <c r="D92" s="137">
        <f>'[3]План для разбивки'!E92</f>
        <v>0</v>
      </c>
      <c r="E92" s="136"/>
      <c r="F92" s="166"/>
      <c r="G92" s="144">
        <f>'[3]План для разбивки'!I92</f>
        <v>0</v>
      </c>
      <c r="H92" s="184">
        <f>'[3]План для разбивки'!J92</f>
        <v>0</v>
      </c>
      <c r="I92" s="169">
        <f>'[3]План для разбивки'!K92</f>
        <v>0</v>
      </c>
      <c r="J92" s="170">
        <f t="shared" si="6"/>
        <v>0</v>
      </c>
    </row>
    <row r="93" spans="1:13" ht="22.5" hidden="1" x14ac:dyDescent="0.2">
      <c r="A93" s="135" t="s">
        <v>391</v>
      </c>
      <c r="B93" s="136" t="s">
        <v>392</v>
      </c>
      <c r="C93" s="136"/>
      <c r="D93" s="137">
        <f>'[3]План для разбивки'!E93</f>
        <v>0</v>
      </c>
      <c r="E93" s="136"/>
      <c r="F93" s="166"/>
      <c r="G93" s="144">
        <f>'[3]План для разбивки'!I93</f>
        <v>0</v>
      </c>
      <c r="H93" s="184">
        <f>'[3]План для разбивки'!J93</f>
        <v>0</v>
      </c>
      <c r="I93" s="169">
        <f>'[3]План для разбивки'!K93</f>
        <v>0</v>
      </c>
      <c r="J93" s="170">
        <f t="shared" si="6"/>
        <v>0</v>
      </c>
    </row>
    <row r="94" spans="1:13" s="129" customFormat="1" ht="22.5" hidden="1" x14ac:dyDescent="0.2">
      <c r="A94" s="175" t="s">
        <v>393</v>
      </c>
      <c r="B94" s="165" t="s">
        <v>394</v>
      </c>
      <c r="C94" s="165"/>
      <c r="D94" s="143">
        <f>'[3]План для разбивки'!E94</f>
        <v>0</v>
      </c>
      <c r="E94" s="165"/>
      <c r="F94" s="166"/>
      <c r="G94" s="144">
        <f>'[3]План для разбивки'!I94</f>
        <v>0</v>
      </c>
      <c r="H94" s="184">
        <f>'[3]План для разбивки'!J94</f>
        <v>0</v>
      </c>
      <c r="I94" s="169">
        <f>'[3]План для разбивки'!K94</f>
        <v>0</v>
      </c>
      <c r="J94" s="170">
        <f t="shared" si="6"/>
        <v>0</v>
      </c>
      <c r="K94" s="141"/>
      <c r="L94" s="128"/>
      <c r="M94" s="128"/>
    </row>
    <row r="95" spans="1:13" s="129" customFormat="1" hidden="1" x14ac:dyDescent="0.2">
      <c r="A95" s="157" t="s">
        <v>395</v>
      </c>
      <c r="B95" s="158" t="s">
        <v>396</v>
      </c>
      <c r="C95" s="158"/>
      <c r="D95" s="159">
        <f>'[3]План для разбивки'!E95</f>
        <v>0</v>
      </c>
      <c r="E95" s="158"/>
      <c r="F95" s="166"/>
      <c r="G95" s="178"/>
      <c r="H95" s="179"/>
      <c r="I95" s="183"/>
      <c r="J95" s="180"/>
      <c r="K95" s="141"/>
      <c r="L95" s="128"/>
      <c r="M95" s="128"/>
    </row>
    <row r="96" spans="1:13" ht="33.75" hidden="1" x14ac:dyDescent="0.2">
      <c r="A96" s="135" t="s">
        <v>397</v>
      </c>
      <c r="B96" s="136" t="s">
        <v>398</v>
      </c>
      <c r="C96" s="144"/>
      <c r="D96" s="143">
        <f>'[3]План для разбивки'!E96</f>
        <v>1</v>
      </c>
      <c r="E96" s="165" t="s">
        <v>340</v>
      </c>
      <c r="F96" s="166"/>
      <c r="G96" s="181">
        <f>'[3]План для разбивки'!I96</f>
        <v>462.33</v>
      </c>
      <c r="H96" s="168">
        <f>'[3]План для разбивки'!J96</f>
        <v>462.33</v>
      </c>
      <c r="I96" s="169"/>
      <c r="J96" s="170">
        <f>I96/1000</f>
        <v>0</v>
      </c>
    </row>
    <row r="97" spans="1:13" hidden="1" x14ac:dyDescent="0.2">
      <c r="A97" s="135" t="s">
        <v>399</v>
      </c>
      <c r="B97" s="136" t="s">
        <v>400</v>
      </c>
      <c r="C97" s="136"/>
      <c r="D97" s="137">
        <f>'[3]План для разбивки'!E97</f>
        <v>0</v>
      </c>
      <c r="E97" s="136"/>
      <c r="F97" s="166"/>
      <c r="G97" s="144">
        <f>'[3]План для разбивки'!I97</f>
        <v>0</v>
      </c>
      <c r="H97" s="184">
        <f>'[3]План для разбивки'!J97</f>
        <v>0</v>
      </c>
      <c r="I97" s="169"/>
      <c r="J97" s="170">
        <f>I97/1000</f>
        <v>0</v>
      </c>
    </row>
    <row r="98" spans="1:13" hidden="1" x14ac:dyDescent="0.2">
      <c r="A98" s="135" t="s">
        <v>401</v>
      </c>
      <c r="B98" s="136" t="s">
        <v>402</v>
      </c>
      <c r="C98" s="136"/>
      <c r="D98" s="137">
        <f>'[3]План для разбивки'!E98</f>
        <v>0</v>
      </c>
      <c r="E98" s="136"/>
      <c r="F98" s="166"/>
      <c r="G98" s="144">
        <f>'[3]План для разбивки'!I98</f>
        <v>0</v>
      </c>
      <c r="H98" s="184">
        <f>'[3]План для разбивки'!J98</f>
        <v>0</v>
      </c>
      <c r="I98" s="169"/>
      <c r="J98" s="170">
        <f>I98/1000</f>
        <v>0</v>
      </c>
    </row>
    <row r="99" spans="1:13" ht="22.5" hidden="1" x14ac:dyDescent="0.2">
      <c r="A99" s="135" t="s">
        <v>403</v>
      </c>
      <c r="B99" s="165" t="s">
        <v>404</v>
      </c>
      <c r="C99" s="165"/>
      <c r="D99" s="143">
        <f>'[3]План для разбивки'!E99</f>
        <v>0</v>
      </c>
      <c r="E99" s="165"/>
      <c r="F99" s="166"/>
      <c r="G99" s="144">
        <f>'[3]План для разбивки'!I99</f>
        <v>0</v>
      </c>
      <c r="H99" s="184">
        <f>'[3]План для разбивки'!J99</f>
        <v>0</v>
      </c>
      <c r="I99" s="169">
        <f>'[3]План для разбивки'!K99</f>
        <v>0</v>
      </c>
      <c r="J99" s="170">
        <f>I99/1000</f>
        <v>0</v>
      </c>
    </row>
    <row r="100" spans="1:13" s="129" customFormat="1" hidden="1" x14ac:dyDescent="0.2">
      <c r="A100" s="157" t="s">
        <v>405</v>
      </c>
      <c r="B100" s="158" t="s">
        <v>406</v>
      </c>
      <c r="C100" s="158"/>
      <c r="D100" s="159">
        <f>'[3]План для разбивки'!E100</f>
        <v>0</v>
      </c>
      <c r="E100" s="158"/>
      <c r="F100" s="166"/>
      <c r="G100" s="178"/>
      <c r="H100" s="179"/>
      <c r="I100" s="183"/>
      <c r="J100" s="180"/>
      <c r="K100" s="141"/>
      <c r="L100" s="128"/>
      <c r="M100" s="128"/>
    </row>
    <row r="101" spans="1:13" s="129" customFormat="1" hidden="1" x14ac:dyDescent="0.2">
      <c r="A101" s="175" t="s">
        <v>407</v>
      </c>
      <c r="B101" s="165" t="s">
        <v>408</v>
      </c>
      <c r="C101" s="165"/>
      <c r="D101" s="143">
        <f>'[3]План для разбивки'!E101</f>
        <v>0</v>
      </c>
      <c r="E101" s="165"/>
      <c r="F101" s="166"/>
      <c r="G101" s="144">
        <f>'[3]План для разбивки'!I101</f>
        <v>0</v>
      </c>
      <c r="H101" s="184">
        <f>'[3]План для разбивки'!J101</f>
        <v>0</v>
      </c>
      <c r="I101" s="169">
        <f>'[3]План для разбивки'!K101</f>
        <v>0</v>
      </c>
      <c r="J101" s="170">
        <f>I101/1000</f>
        <v>0</v>
      </c>
      <c r="K101" s="141"/>
      <c r="L101" s="128"/>
      <c r="M101" s="128"/>
    </row>
    <row r="102" spans="1:13" s="129" customFormat="1" ht="22.5" hidden="1" x14ac:dyDescent="0.2">
      <c r="A102" s="175" t="s">
        <v>409</v>
      </c>
      <c r="B102" s="165" t="s">
        <v>410</v>
      </c>
      <c r="C102" s="165"/>
      <c r="D102" s="143">
        <f>'[3]План для разбивки'!E102</f>
        <v>0</v>
      </c>
      <c r="E102" s="165"/>
      <c r="F102" s="166"/>
      <c r="G102" s="144">
        <f>'[3]План для разбивки'!I102</f>
        <v>0</v>
      </c>
      <c r="H102" s="184">
        <f>'[3]План для разбивки'!J102</f>
        <v>0</v>
      </c>
      <c r="I102" s="169">
        <f>'[3]План для разбивки'!K102</f>
        <v>0</v>
      </c>
      <c r="J102" s="170">
        <f>I102/1000</f>
        <v>0</v>
      </c>
      <c r="K102" s="141"/>
      <c r="L102" s="128"/>
      <c r="M102" s="128"/>
    </row>
    <row r="103" spans="1:13" s="129" customFormat="1" ht="22.5" hidden="1" x14ac:dyDescent="0.2">
      <c r="A103" s="175" t="s">
        <v>411</v>
      </c>
      <c r="B103" s="165" t="s">
        <v>412</v>
      </c>
      <c r="C103" s="142" t="s">
        <v>283</v>
      </c>
      <c r="D103" s="143">
        <f>'[3]План для разбивки'!E103</f>
        <v>1</v>
      </c>
      <c r="E103" s="165" t="s">
        <v>194</v>
      </c>
      <c r="F103" s="166"/>
      <c r="G103" s="181">
        <f>'[3]План для разбивки'!I103</f>
        <v>86.11</v>
      </c>
      <c r="H103" s="168">
        <f>'[3]План для разбивки'!J103</f>
        <v>0.86109999999999998</v>
      </c>
      <c r="I103" s="169">
        <f>'[3]План для разбивки'!K103</f>
        <v>0</v>
      </c>
      <c r="J103" s="170">
        <f>I103/1000</f>
        <v>0</v>
      </c>
      <c r="K103" s="141"/>
      <c r="L103" s="128"/>
      <c r="M103" s="128"/>
    </row>
    <row r="104" spans="1:13" s="129" customFormat="1" ht="33.75" hidden="1" x14ac:dyDescent="0.2">
      <c r="A104" s="175" t="s">
        <v>413</v>
      </c>
      <c r="B104" s="165" t="s">
        <v>414</v>
      </c>
      <c r="C104" s="142" t="s">
        <v>283</v>
      </c>
      <c r="D104" s="226">
        <f>'[3]План для разбивки'!E104</f>
        <v>0</v>
      </c>
      <c r="E104" s="227" t="s">
        <v>415</v>
      </c>
      <c r="F104" s="166"/>
      <c r="G104" s="181">
        <f>'[3]План для разбивки'!I104</f>
        <v>101.49</v>
      </c>
      <c r="H104" s="168">
        <f>'[3]План для разбивки'!J104</f>
        <v>101.49</v>
      </c>
      <c r="I104" s="169">
        <f>'[3]План для разбивки'!K104</f>
        <v>0</v>
      </c>
      <c r="J104" s="170">
        <f>I104/1000</f>
        <v>0</v>
      </c>
      <c r="K104" s="141"/>
      <c r="L104" s="128"/>
      <c r="M104" s="128"/>
    </row>
    <row r="105" spans="1:13" hidden="1" x14ac:dyDescent="0.2">
      <c r="A105" s="175" t="s">
        <v>416</v>
      </c>
      <c r="B105" s="165" t="s">
        <v>417</v>
      </c>
      <c r="C105" s="165"/>
      <c r="D105" s="143">
        <f>'[3]План для разбивки'!E105</f>
        <v>0</v>
      </c>
      <c r="E105" s="165"/>
      <c r="F105" s="166"/>
      <c r="G105" s="144">
        <f>'[3]План для разбивки'!I105</f>
        <v>0</v>
      </c>
      <c r="H105" s="184">
        <f>'[3]План для разбивки'!J105</f>
        <v>0</v>
      </c>
      <c r="I105" s="169">
        <f>'[3]План для разбивки'!K105</f>
        <v>0</v>
      </c>
      <c r="J105" s="170">
        <f>I105/1000</f>
        <v>0</v>
      </c>
    </row>
    <row r="106" spans="1:13" ht="15" hidden="1" x14ac:dyDescent="0.2">
      <c r="A106" s="197"/>
      <c r="B106" s="198" t="s">
        <v>418</v>
      </c>
      <c r="C106" s="198"/>
      <c r="D106" s="199">
        <f>'[3]План для разбивки'!E106</f>
        <v>0</v>
      </c>
      <c r="E106" s="198"/>
      <c r="F106" s="166"/>
      <c r="G106" s="178"/>
      <c r="H106" s="179"/>
      <c r="I106" s="233"/>
      <c r="J106" s="234"/>
    </row>
    <row r="107" spans="1:13" s="129" customFormat="1" ht="45" hidden="1" customHeight="1" x14ac:dyDescent="0.2">
      <c r="A107" s="235" t="s">
        <v>419</v>
      </c>
      <c r="B107" s="202" t="s">
        <v>420</v>
      </c>
      <c r="C107" s="202"/>
      <c r="D107" s="203">
        <f>'[3]План для разбивки'!E107</f>
        <v>0</v>
      </c>
      <c r="E107" s="202"/>
      <c r="F107" s="236"/>
      <c r="G107" s="178"/>
      <c r="H107" s="237"/>
      <c r="I107" s="238"/>
      <c r="J107" s="239"/>
      <c r="K107" s="141"/>
      <c r="L107" s="128"/>
      <c r="M107" s="128"/>
    </row>
    <row r="108" spans="1:13" s="129" customFormat="1" ht="22.5" hidden="1" customHeight="1" x14ac:dyDescent="0.2">
      <c r="A108" s="175" t="s">
        <v>421</v>
      </c>
      <c r="B108" s="165" t="s">
        <v>422</v>
      </c>
      <c r="C108" s="144" t="s">
        <v>283</v>
      </c>
      <c r="D108" s="143">
        <f>'[3]План для разбивки'!E108</f>
        <v>1</v>
      </c>
      <c r="E108" s="165" t="s">
        <v>423</v>
      </c>
      <c r="F108" s="236"/>
      <c r="G108" s="181">
        <f>'[3]План для разбивки'!I108</f>
        <v>2152.7199999999998</v>
      </c>
      <c r="H108" s="240">
        <f>'[3]План для разбивки'!J108</f>
        <v>2.1526999999999998</v>
      </c>
      <c r="I108" s="169">
        <f>'[3]План для разбивки'!K108</f>
        <v>0</v>
      </c>
      <c r="J108" s="170">
        <f t="shared" ref="J108:J136" si="7">I108/1000</f>
        <v>0</v>
      </c>
      <c r="K108" s="141"/>
      <c r="L108" s="128"/>
      <c r="M108" s="128"/>
    </row>
    <row r="109" spans="1:13" s="129" customFormat="1" ht="33.75" hidden="1" customHeight="1" x14ac:dyDescent="0.2">
      <c r="A109" s="175" t="s">
        <v>424</v>
      </c>
      <c r="B109" s="165" t="s">
        <v>425</v>
      </c>
      <c r="C109" s="144" t="s">
        <v>283</v>
      </c>
      <c r="D109" s="143" t="s">
        <v>426</v>
      </c>
      <c r="E109" s="165" t="s">
        <v>427</v>
      </c>
      <c r="F109" s="236"/>
      <c r="G109" s="181">
        <f>'[3]План для разбивки'!I109</f>
        <v>190.12</v>
      </c>
      <c r="H109" s="240">
        <f>'[3]План для разбивки'!J109</f>
        <v>1.9012</v>
      </c>
      <c r="I109" s="169"/>
      <c r="J109" s="170">
        <f t="shared" si="7"/>
        <v>0</v>
      </c>
      <c r="K109" s="141"/>
      <c r="L109" s="128"/>
      <c r="M109" s="128"/>
    </row>
    <row r="110" spans="1:13" s="129" customFormat="1" hidden="1" x14ac:dyDescent="0.2">
      <c r="A110" s="175" t="s">
        <v>428</v>
      </c>
      <c r="B110" s="165" t="s">
        <v>429</v>
      </c>
      <c r="C110" s="144"/>
      <c r="D110" s="172">
        <f>'[3]План для разбивки'!E110</f>
        <v>0</v>
      </c>
      <c r="E110" s="173"/>
      <c r="F110" s="236"/>
      <c r="G110" s="241">
        <f>'[3]План для разбивки'!I110</f>
        <v>0</v>
      </c>
      <c r="H110" s="240">
        <f>'[3]План для разбивки'!J110</f>
        <v>0</v>
      </c>
      <c r="I110" s="169"/>
      <c r="J110" s="170">
        <f t="shared" si="7"/>
        <v>0</v>
      </c>
      <c r="K110" s="141"/>
      <c r="L110" s="128"/>
      <c r="M110" s="128"/>
    </row>
    <row r="111" spans="1:13" ht="33.75" hidden="1" x14ac:dyDescent="0.2">
      <c r="A111" s="242" t="s">
        <v>430</v>
      </c>
      <c r="B111" s="136" t="s">
        <v>431</v>
      </c>
      <c r="C111" s="142" t="s">
        <v>432</v>
      </c>
      <c r="D111" s="172">
        <f>'[3]План для разбивки'!E111</f>
        <v>0</v>
      </c>
      <c r="E111" s="173" t="s">
        <v>433</v>
      </c>
      <c r="F111" s="166"/>
      <c r="G111" s="241">
        <f>'[3]План для разбивки'!I111</f>
        <v>112.65</v>
      </c>
      <c r="H111" s="168">
        <f>'[3]План для разбивки'!J111</f>
        <v>11.265000000000001</v>
      </c>
      <c r="I111" s="169"/>
      <c r="J111" s="170">
        <f t="shared" si="7"/>
        <v>0</v>
      </c>
    </row>
    <row r="112" spans="1:13" ht="22.5" hidden="1" x14ac:dyDescent="0.2">
      <c r="A112" s="242" t="s">
        <v>434</v>
      </c>
      <c r="B112" s="136" t="s">
        <v>435</v>
      </c>
      <c r="C112" s="142" t="s">
        <v>283</v>
      </c>
      <c r="D112" s="172">
        <f>'[3]План для разбивки'!E112</f>
        <v>1</v>
      </c>
      <c r="E112" s="173" t="s">
        <v>28</v>
      </c>
      <c r="F112" s="166"/>
      <c r="G112" s="181">
        <f>'[3]План для разбивки'!I112</f>
        <v>418.77</v>
      </c>
      <c r="H112" s="168">
        <f>'[3]План для разбивки'!J112</f>
        <v>418.77</v>
      </c>
      <c r="I112" s="169"/>
      <c r="J112" s="170">
        <f t="shared" si="7"/>
        <v>0</v>
      </c>
    </row>
    <row r="113" spans="1:13" ht="56.25" hidden="1" x14ac:dyDescent="0.2">
      <c r="A113" s="242" t="s">
        <v>436</v>
      </c>
      <c r="B113" s="136" t="s">
        <v>437</v>
      </c>
      <c r="C113" s="142"/>
      <c r="D113" s="143">
        <f>'[3]План для разбивки'!E113</f>
        <v>2</v>
      </c>
      <c r="E113" s="165" t="s">
        <v>438</v>
      </c>
      <c r="F113" s="166"/>
      <c r="G113" s="181">
        <f>'[3]План для разбивки'!I113</f>
        <v>3134.33</v>
      </c>
      <c r="H113" s="168">
        <f>'[3]План для разбивки'!J113</f>
        <v>3.1343000000000001</v>
      </c>
      <c r="I113" s="169"/>
      <c r="J113" s="170">
        <f t="shared" si="7"/>
        <v>0</v>
      </c>
    </row>
    <row r="114" spans="1:13" ht="56.25" hidden="1" x14ac:dyDescent="0.2">
      <c r="A114" s="242" t="s">
        <v>439</v>
      </c>
      <c r="B114" s="136" t="s">
        <v>440</v>
      </c>
      <c r="C114" s="136"/>
      <c r="D114" s="137">
        <f>'[3]План для разбивки'!E114</f>
        <v>0</v>
      </c>
      <c r="E114" s="136"/>
      <c r="F114" s="166"/>
      <c r="G114" s="144">
        <f>'[3]План для разбивки'!I114</f>
        <v>0</v>
      </c>
      <c r="H114" s="184">
        <f>'[3]План для разбивки'!J114</f>
        <v>0</v>
      </c>
      <c r="I114" s="169"/>
      <c r="J114" s="170">
        <f t="shared" si="7"/>
        <v>0</v>
      </c>
    </row>
    <row r="115" spans="1:13" ht="22.5" hidden="1" x14ac:dyDescent="0.2">
      <c r="A115" s="242" t="s">
        <v>441</v>
      </c>
      <c r="B115" s="136" t="s">
        <v>442</v>
      </c>
      <c r="C115" s="142" t="s">
        <v>283</v>
      </c>
      <c r="D115" s="143">
        <f>'[3]План для разбивки'!E115</f>
        <v>2</v>
      </c>
      <c r="E115" s="165" t="s">
        <v>28</v>
      </c>
      <c r="F115" s="166"/>
      <c r="G115" s="181">
        <f>'[3]План для разбивки'!I115</f>
        <v>86.808800000000005</v>
      </c>
      <c r="H115" s="168">
        <f>'[3]План для разбивки'!J115</f>
        <v>86.808800000000005</v>
      </c>
      <c r="I115" s="169"/>
      <c r="J115" s="170">
        <f t="shared" si="7"/>
        <v>0</v>
      </c>
    </row>
    <row r="116" spans="1:13" ht="22.5" hidden="1" x14ac:dyDescent="0.2">
      <c r="A116" s="242" t="s">
        <v>443</v>
      </c>
      <c r="B116" s="136" t="s">
        <v>444</v>
      </c>
      <c r="C116" s="142" t="s">
        <v>283</v>
      </c>
      <c r="D116" s="143">
        <f>'[3]План для разбивки'!E116</f>
        <v>6</v>
      </c>
      <c r="E116" s="165" t="s">
        <v>445</v>
      </c>
      <c r="F116" s="166"/>
      <c r="G116" s="181">
        <f>'[3]План для разбивки'!I116</f>
        <v>220.30320000000003</v>
      </c>
      <c r="H116" s="168">
        <f>'[3]План для разбивки'!J116</f>
        <v>220.3032</v>
      </c>
      <c r="I116" s="169">
        <f>'[3]План для разбивки'!K116</f>
        <v>0</v>
      </c>
      <c r="J116" s="170">
        <f t="shared" si="7"/>
        <v>0</v>
      </c>
    </row>
    <row r="117" spans="1:13" s="129" customFormat="1" ht="22.5" hidden="1" x14ac:dyDescent="0.2">
      <c r="A117" s="242" t="s">
        <v>446</v>
      </c>
      <c r="B117" s="206" t="s">
        <v>447</v>
      </c>
      <c r="C117" s="144" t="s">
        <v>283</v>
      </c>
      <c r="D117" s="226">
        <f>'[3]План для разбивки'!E117</f>
        <v>12</v>
      </c>
      <c r="E117" s="243"/>
      <c r="F117" s="166"/>
      <c r="G117" s="181">
        <f>'[3]План для разбивки'!I117</f>
        <v>28458.322033898305</v>
      </c>
      <c r="H117" s="244">
        <f>'[3]План для разбивки'!J117</f>
        <v>28458.322</v>
      </c>
      <c r="I117" s="245">
        <f>'[3]План для разбивки'!K117</f>
        <v>0</v>
      </c>
      <c r="J117" s="246">
        <f t="shared" si="7"/>
        <v>0</v>
      </c>
      <c r="K117" s="141"/>
      <c r="L117" s="128"/>
      <c r="M117" s="128"/>
    </row>
    <row r="118" spans="1:13" ht="33.75" hidden="1" x14ac:dyDescent="0.2">
      <c r="A118" s="242" t="s">
        <v>448</v>
      </c>
      <c r="B118" s="206" t="s">
        <v>449</v>
      </c>
      <c r="C118" s="144" t="s">
        <v>450</v>
      </c>
      <c r="D118" s="143" t="s">
        <v>426</v>
      </c>
      <c r="E118" s="165" t="s">
        <v>451</v>
      </c>
      <c r="F118" s="166"/>
      <c r="G118" s="181">
        <f>'[3]План для разбивки'!I118</f>
        <v>94.338399999999993</v>
      </c>
      <c r="H118" s="168">
        <f>'[3]План для разбивки'!J118</f>
        <v>94.338399999999993</v>
      </c>
      <c r="I118" s="245">
        <f>'[3]План для разбивки'!K118</f>
        <v>0</v>
      </c>
      <c r="J118" s="246">
        <f t="shared" si="7"/>
        <v>0</v>
      </c>
    </row>
    <row r="119" spans="1:13" ht="33.75" hidden="1" x14ac:dyDescent="0.2">
      <c r="A119" s="242" t="s">
        <v>452</v>
      </c>
      <c r="B119" s="206" t="s">
        <v>453</v>
      </c>
      <c r="C119" s="144" t="s">
        <v>450</v>
      </c>
      <c r="D119" s="143" t="s">
        <v>426</v>
      </c>
      <c r="E119" s="165" t="s">
        <v>451</v>
      </c>
      <c r="F119" s="166"/>
      <c r="G119" s="181">
        <f>'[3]План для разбивки'!I119</f>
        <v>195.43680000000001</v>
      </c>
      <c r="H119" s="168">
        <f>'[3]План для разбивки'!J119</f>
        <v>195.43680000000001</v>
      </c>
      <c r="I119" s="245"/>
      <c r="J119" s="246">
        <f t="shared" si="7"/>
        <v>0</v>
      </c>
    </row>
    <row r="120" spans="1:13" ht="33.75" hidden="1" x14ac:dyDescent="0.2">
      <c r="A120" s="242" t="s">
        <v>454</v>
      </c>
      <c r="B120" s="136" t="s">
        <v>455</v>
      </c>
      <c r="C120" s="142" t="s">
        <v>283</v>
      </c>
      <c r="D120" s="247">
        <f>'[3]План для разбивки'!E120</f>
        <v>1</v>
      </c>
      <c r="E120" s="248" t="s">
        <v>292</v>
      </c>
      <c r="F120" s="166"/>
      <c r="G120" s="181">
        <f>'[3]План для разбивки'!I120</f>
        <v>22033.440000000002</v>
      </c>
      <c r="H120" s="244">
        <f>'[3]План для разбивки'!J120</f>
        <v>22033.439999999999</v>
      </c>
      <c r="I120" s="169">
        <f>'[3]План для разбивки'!K120</f>
        <v>0</v>
      </c>
      <c r="J120" s="170">
        <f t="shared" si="7"/>
        <v>0</v>
      </c>
    </row>
    <row r="121" spans="1:13" ht="33.75" hidden="1" x14ac:dyDescent="0.2">
      <c r="A121" s="242" t="s">
        <v>456</v>
      </c>
      <c r="B121" s="136" t="s">
        <v>457</v>
      </c>
      <c r="C121" s="136"/>
      <c r="D121" s="137">
        <f>'[3]План для разбивки'!E121</f>
        <v>0</v>
      </c>
      <c r="E121" s="136"/>
      <c r="F121" s="166"/>
      <c r="G121" s="144">
        <f>'[3]План для разбивки'!I121</f>
        <v>0</v>
      </c>
      <c r="H121" s="184">
        <f>'[3]План для разбивки'!J121</f>
        <v>0</v>
      </c>
      <c r="I121" s="169">
        <f>'[3]План для разбивки'!K121</f>
        <v>0</v>
      </c>
      <c r="J121" s="170">
        <f t="shared" si="7"/>
        <v>0</v>
      </c>
    </row>
    <row r="122" spans="1:13" hidden="1" x14ac:dyDescent="0.2">
      <c r="A122" s="242" t="s">
        <v>458</v>
      </c>
      <c r="B122" s="136" t="s">
        <v>459</v>
      </c>
      <c r="C122" s="136"/>
      <c r="D122" s="137">
        <f>'[3]План для разбивки'!E122</f>
        <v>0</v>
      </c>
      <c r="E122" s="136"/>
      <c r="F122" s="166"/>
      <c r="G122" s="144">
        <f>'[3]План для разбивки'!I122</f>
        <v>0</v>
      </c>
      <c r="H122" s="184">
        <f>'[3]План для разбивки'!J122</f>
        <v>0</v>
      </c>
      <c r="I122" s="169">
        <f>'[3]План для разбивки'!K122</f>
        <v>0</v>
      </c>
      <c r="J122" s="170">
        <f t="shared" si="7"/>
        <v>0</v>
      </c>
    </row>
    <row r="123" spans="1:13" ht="67.5" hidden="1" x14ac:dyDescent="0.2">
      <c r="A123" s="242" t="s">
        <v>460</v>
      </c>
      <c r="B123" s="136" t="s">
        <v>461</v>
      </c>
      <c r="C123" s="136"/>
      <c r="D123" s="143" t="s">
        <v>426</v>
      </c>
      <c r="E123" s="136"/>
      <c r="F123" s="166"/>
      <c r="G123" s="144">
        <f>'[3]План для разбивки'!I123</f>
        <v>0</v>
      </c>
      <c r="H123" s="184">
        <f>'[3]План для разбивки'!J123</f>
        <v>0</v>
      </c>
      <c r="I123" s="169"/>
      <c r="J123" s="170">
        <f t="shared" si="7"/>
        <v>0</v>
      </c>
    </row>
    <row r="124" spans="1:13" ht="45" hidden="1" x14ac:dyDescent="0.2">
      <c r="A124" s="242" t="s">
        <v>462</v>
      </c>
      <c r="B124" s="136" t="s">
        <v>463</v>
      </c>
      <c r="C124" s="136"/>
      <c r="D124" s="143" t="s">
        <v>426</v>
      </c>
      <c r="E124" s="136"/>
      <c r="F124" s="166"/>
      <c r="G124" s="144">
        <f>'[3]План для разбивки'!I124</f>
        <v>0</v>
      </c>
      <c r="H124" s="184">
        <f>'[3]План для разбивки'!J124</f>
        <v>0</v>
      </c>
      <c r="I124" s="169"/>
      <c r="J124" s="170">
        <f t="shared" si="7"/>
        <v>0</v>
      </c>
    </row>
    <row r="125" spans="1:13" ht="56.25" hidden="1" x14ac:dyDescent="0.2">
      <c r="A125" s="242" t="s">
        <v>464</v>
      </c>
      <c r="B125" s="136" t="s">
        <v>465</v>
      </c>
      <c r="C125" s="136"/>
      <c r="D125" s="143" t="s">
        <v>426</v>
      </c>
      <c r="E125" s="136"/>
      <c r="F125" s="166"/>
      <c r="G125" s="144">
        <f>'[3]План для разбивки'!I125</f>
        <v>0</v>
      </c>
      <c r="H125" s="184">
        <f>'[3]План для разбивки'!J125</f>
        <v>0</v>
      </c>
      <c r="I125" s="169"/>
      <c r="J125" s="170">
        <f t="shared" si="7"/>
        <v>0</v>
      </c>
    </row>
    <row r="126" spans="1:13" ht="33.75" hidden="1" customHeight="1" x14ac:dyDescent="0.2">
      <c r="A126" s="242" t="s">
        <v>466</v>
      </c>
      <c r="B126" s="136" t="s">
        <v>467</v>
      </c>
      <c r="C126" s="142" t="s">
        <v>203</v>
      </c>
      <c r="D126" s="143" t="s">
        <v>426</v>
      </c>
      <c r="E126" s="165" t="s">
        <v>468</v>
      </c>
      <c r="F126" s="166"/>
      <c r="G126" s="181">
        <f>'[3]План для разбивки'!I126</f>
        <v>3.79</v>
      </c>
      <c r="H126" s="168">
        <f>'[3]План для разбивки'!J126</f>
        <v>3.79</v>
      </c>
      <c r="I126" s="169"/>
      <c r="J126" s="170">
        <f t="shared" si="7"/>
        <v>0</v>
      </c>
    </row>
    <row r="127" spans="1:13" ht="45" hidden="1" x14ac:dyDescent="0.2">
      <c r="A127" s="242" t="s">
        <v>469</v>
      </c>
      <c r="B127" s="136" t="s">
        <v>470</v>
      </c>
      <c r="C127" s="136"/>
      <c r="D127" s="137">
        <f>'[3]План для разбивки'!E127</f>
        <v>0</v>
      </c>
      <c r="E127" s="136"/>
      <c r="F127" s="166"/>
      <c r="G127" s="144">
        <f>'[3]План для разбивки'!I127</f>
        <v>0</v>
      </c>
      <c r="H127" s="184">
        <f>'[3]План для разбивки'!J127</f>
        <v>0</v>
      </c>
      <c r="I127" s="169"/>
      <c r="J127" s="170">
        <f t="shared" si="7"/>
        <v>0</v>
      </c>
    </row>
    <row r="128" spans="1:13" ht="22.5" hidden="1" x14ac:dyDescent="0.2">
      <c r="A128" s="242" t="s">
        <v>471</v>
      </c>
      <c r="B128" s="136" t="s">
        <v>472</v>
      </c>
      <c r="C128" s="136"/>
      <c r="D128" s="137">
        <f>'[3]План для разбивки'!E128</f>
        <v>0</v>
      </c>
      <c r="E128" s="136"/>
      <c r="F128" s="166"/>
      <c r="G128" s="144">
        <f>'[3]План для разбивки'!I128</f>
        <v>0</v>
      </c>
      <c r="H128" s="184">
        <f>'[3]План для разбивки'!J128</f>
        <v>0</v>
      </c>
      <c r="I128" s="169">
        <f>'[3]План для разбивки'!K128</f>
        <v>0</v>
      </c>
      <c r="J128" s="170">
        <f t="shared" si="7"/>
        <v>0</v>
      </c>
    </row>
    <row r="129" spans="1:10" ht="33.75" hidden="1" customHeight="1" x14ac:dyDescent="0.2">
      <c r="A129" s="242" t="s">
        <v>473</v>
      </c>
      <c r="B129" s="136" t="s">
        <v>25</v>
      </c>
      <c r="C129" s="144" t="s">
        <v>208</v>
      </c>
      <c r="D129" s="143">
        <f>'[3]План для разбивки'!E129</f>
        <v>0</v>
      </c>
      <c r="E129" s="165" t="s">
        <v>474</v>
      </c>
      <c r="F129" s="166"/>
      <c r="G129" s="144">
        <f>'[3]План для разбивки'!I129</f>
        <v>20405.59</v>
      </c>
      <c r="H129" s="249">
        <f>'[3]План для разбивки'!J129</f>
        <v>20405.59</v>
      </c>
      <c r="I129" s="169">
        <f>'[3]План для разбивки'!K129</f>
        <v>0</v>
      </c>
      <c r="J129" s="170">
        <f t="shared" si="7"/>
        <v>0</v>
      </c>
    </row>
    <row r="130" spans="1:10" hidden="1" x14ac:dyDescent="0.2">
      <c r="A130" s="242" t="s">
        <v>475</v>
      </c>
      <c r="B130" s="136" t="s">
        <v>27</v>
      </c>
      <c r="C130" s="136"/>
      <c r="D130" s="137">
        <f>'[3]План для разбивки'!E130</f>
        <v>0</v>
      </c>
      <c r="E130" s="136"/>
      <c r="F130" s="166"/>
      <c r="G130" s="144">
        <f>'[3]План для разбивки'!I130</f>
        <v>0</v>
      </c>
      <c r="H130" s="184">
        <f>'[3]План для разбивки'!J130</f>
        <v>0</v>
      </c>
      <c r="I130" s="169">
        <f>'[3]План для разбивки'!K130</f>
        <v>0</v>
      </c>
      <c r="J130" s="170">
        <f t="shared" si="7"/>
        <v>0</v>
      </c>
    </row>
    <row r="131" spans="1:10" hidden="1" x14ac:dyDescent="0.2">
      <c r="A131" s="242" t="s">
        <v>476</v>
      </c>
      <c r="B131" s="136" t="s">
        <v>477</v>
      </c>
      <c r="C131" s="136"/>
      <c r="D131" s="137">
        <f>'[3]План для разбивки'!E131</f>
        <v>0</v>
      </c>
      <c r="E131" s="136"/>
      <c r="F131" s="166"/>
      <c r="G131" s="144">
        <f>'[3]План для разбивки'!I131</f>
        <v>0</v>
      </c>
      <c r="H131" s="184">
        <f>'[3]План для разбивки'!J131</f>
        <v>0</v>
      </c>
      <c r="I131" s="169">
        <f>'[3]План для разбивки'!K131</f>
        <v>0</v>
      </c>
      <c r="J131" s="170">
        <f t="shared" si="7"/>
        <v>0</v>
      </c>
    </row>
    <row r="132" spans="1:10" hidden="1" x14ac:dyDescent="0.2">
      <c r="A132" s="242" t="s">
        <v>478</v>
      </c>
      <c r="B132" s="136" t="s">
        <v>479</v>
      </c>
      <c r="C132" s="136"/>
      <c r="D132" s="137">
        <f>'[3]План для разбивки'!E132</f>
        <v>0</v>
      </c>
      <c r="E132" s="136"/>
      <c r="F132" s="166"/>
      <c r="G132" s="144">
        <f>'[3]План для разбивки'!I132</f>
        <v>0</v>
      </c>
      <c r="H132" s="184">
        <f>'[3]План для разбивки'!J132</f>
        <v>0</v>
      </c>
      <c r="I132" s="169">
        <f>'[3]План для разбивки'!K132</f>
        <v>0</v>
      </c>
      <c r="J132" s="170">
        <f t="shared" si="7"/>
        <v>0</v>
      </c>
    </row>
    <row r="133" spans="1:10" ht="22.5" hidden="1" x14ac:dyDescent="0.2">
      <c r="A133" s="242" t="s">
        <v>480</v>
      </c>
      <c r="B133" s="136" t="s">
        <v>481</v>
      </c>
      <c r="C133" s="136"/>
      <c r="D133" s="137">
        <f>'[3]План для разбивки'!E133</f>
        <v>0</v>
      </c>
      <c r="E133" s="136"/>
      <c r="F133" s="166"/>
      <c r="G133" s="144">
        <f>'[3]План для разбивки'!I133</f>
        <v>0</v>
      </c>
      <c r="H133" s="184">
        <f>'[3]План для разбивки'!J133</f>
        <v>0</v>
      </c>
      <c r="I133" s="169">
        <f>'[3]План для разбивки'!K133</f>
        <v>0</v>
      </c>
      <c r="J133" s="170">
        <f t="shared" si="7"/>
        <v>0</v>
      </c>
    </row>
    <row r="134" spans="1:10" ht="22.5" hidden="1" x14ac:dyDescent="0.2">
      <c r="A134" s="242" t="s">
        <v>482</v>
      </c>
      <c r="B134" s="136" t="s">
        <v>483</v>
      </c>
      <c r="C134" s="136"/>
      <c r="D134" s="137">
        <f>'[3]План для разбивки'!E134</f>
        <v>0</v>
      </c>
      <c r="E134" s="136"/>
      <c r="F134" s="166"/>
      <c r="G134" s="144">
        <f>'[3]План для разбивки'!I134</f>
        <v>0</v>
      </c>
      <c r="H134" s="184">
        <f>'[3]План для разбивки'!J134</f>
        <v>0</v>
      </c>
      <c r="I134" s="169"/>
      <c r="J134" s="170">
        <f t="shared" si="7"/>
        <v>0</v>
      </c>
    </row>
    <row r="135" spans="1:10" ht="22.5" hidden="1" x14ac:dyDescent="0.2">
      <c r="A135" s="242" t="s">
        <v>484</v>
      </c>
      <c r="B135" s="136" t="s">
        <v>485</v>
      </c>
      <c r="C135" s="136"/>
      <c r="D135" s="137">
        <f>'[3]План для разбивки'!E135</f>
        <v>0</v>
      </c>
      <c r="E135" s="136"/>
      <c r="F135" s="166"/>
      <c r="G135" s="144">
        <f>'[3]План для разбивки'!I135</f>
        <v>0</v>
      </c>
      <c r="H135" s="184">
        <f>'[3]План для разбивки'!J135</f>
        <v>0</v>
      </c>
      <c r="I135" s="169">
        <f>'[3]План для разбивки'!K135</f>
        <v>0</v>
      </c>
      <c r="J135" s="170">
        <f t="shared" si="7"/>
        <v>0</v>
      </c>
    </row>
    <row r="136" spans="1:10" ht="33.75" hidden="1" x14ac:dyDescent="0.2">
      <c r="A136" s="242" t="s">
        <v>486</v>
      </c>
      <c r="B136" s="136" t="s">
        <v>487</v>
      </c>
      <c r="C136" s="136"/>
      <c r="D136" s="137">
        <f>'[3]План для разбивки'!E136</f>
        <v>0</v>
      </c>
      <c r="E136" s="136"/>
      <c r="F136" s="166"/>
      <c r="G136" s="144">
        <f>'[3]План для разбивки'!I136</f>
        <v>0</v>
      </c>
      <c r="H136" s="184">
        <f>'[3]План для разбивки'!J136</f>
        <v>0</v>
      </c>
      <c r="I136" s="169">
        <f>'[3]План для разбивки'!K136</f>
        <v>0</v>
      </c>
      <c r="J136" s="170">
        <f t="shared" si="7"/>
        <v>0</v>
      </c>
    </row>
    <row r="137" spans="1:10" ht="15" hidden="1" x14ac:dyDescent="0.2">
      <c r="A137" s="197"/>
      <c r="B137" s="198" t="s">
        <v>488</v>
      </c>
      <c r="C137" s="198"/>
      <c r="D137" s="199">
        <f>'[3]План для разбивки'!E137</f>
        <v>0</v>
      </c>
      <c r="E137" s="198"/>
      <c r="F137" s="166"/>
      <c r="G137" s="178"/>
      <c r="H137" s="179"/>
      <c r="I137" s="233"/>
      <c r="J137" s="234"/>
    </row>
    <row r="138" spans="1:10" ht="22.5" hidden="1" x14ac:dyDescent="0.2">
      <c r="A138" s="157">
        <v>7</v>
      </c>
      <c r="B138" s="158" t="s">
        <v>489</v>
      </c>
      <c r="C138" s="158"/>
      <c r="D138" s="159">
        <f>'[3]План для разбивки'!E138</f>
        <v>0</v>
      </c>
      <c r="E138" s="158"/>
      <c r="F138" s="166"/>
      <c r="G138" s="178"/>
      <c r="H138" s="179"/>
      <c r="I138" s="223"/>
      <c r="J138" s="224"/>
    </row>
    <row r="139" spans="1:10" ht="45" hidden="1" x14ac:dyDescent="0.2">
      <c r="A139" s="135" t="s">
        <v>490</v>
      </c>
      <c r="B139" s="136" t="s">
        <v>491</v>
      </c>
      <c r="C139" s="136"/>
      <c r="D139" s="137">
        <f>'[3]План для разбивки'!E139</f>
        <v>0</v>
      </c>
      <c r="E139" s="136"/>
      <c r="F139" s="166"/>
      <c r="G139" s="144">
        <f>'[3]План для разбивки'!I139</f>
        <v>0</v>
      </c>
      <c r="H139" s="184">
        <f>'[3]План для разбивки'!J139</f>
        <v>0</v>
      </c>
      <c r="I139" s="169">
        <f>'[3]План для разбивки'!K139</f>
        <v>0</v>
      </c>
      <c r="J139" s="170">
        <f t="shared" ref="J139:J151" si="8">I139/1000</f>
        <v>0</v>
      </c>
    </row>
    <row r="140" spans="1:10" ht="22.5" hidden="1" x14ac:dyDescent="0.2">
      <c r="A140" s="135" t="s">
        <v>492</v>
      </c>
      <c r="B140" s="136" t="s">
        <v>493</v>
      </c>
      <c r="C140" s="142" t="s">
        <v>203</v>
      </c>
      <c r="D140" s="143">
        <f>'[3]План для разбивки'!E140</f>
        <v>12</v>
      </c>
      <c r="E140" s="165" t="s">
        <v>468</v>
      </c>
      <c r="F140" s="166"/>
      <c r="G140" s="181">
        <f>'[3]План для разбивки'!I140</f>
        <v>3.79</v>
      </c>
      <c r="H140" s="168">
        <f>'[3]План для разбивки'!J140</f>
        <v>3.79</v>
      </c>
      <c r="I140" s="169">
        <f>D140*F140*H140</f>
        <v>0</v>
      </c>
      <c r="J140" s="170">
        <f t="shared" si="8"/>
        <v>0</v>
      </c>
    </row>
    <row r="141" spans="1:10" ht="33.75" hidden="1" x14ac:dyDescent="0.2">
      <c r="A141" s="135" t="s">
        <v>494</v>
      </c>
      <c r="B141" s="206" t="s">
        <v>495</v>
      </c>
      <c r="C141" s="206"/>
      <c r="D141" s="207">
        <f>'[3]План для разбивки'!E141</f>
        <v>0</v>
      </c>
      <c r="E141" s="206"/>
      <c r="F141" s="166"/>
      <c r="G141" s="144">
        <f>'[3]План для разбивки'!I141</f>
        <v>0</v>
      </c>
      <c r="H141" s="184">
        <f>'[3]План для разбивки'!J141</f>
        <v>0</v>
      </c>
      <c r="I141" s="245">
        <f>'[3]План для разбивки'!K141</f>
        <v>0</v>
      </c>
      <c r="J141" s="246">
        <f t="shared" si="8"/>
        <v>0</v>
      </c>
    </row>
    <row r="142" spans="1:10" ht="22.5" x14ac:dyDescent="0.2">
      <c r="A142" s="135" t="s">
        <v>496</v>
      </c>
      <c r="B142" s="136" t="s">
        <v>497</v>
      </c>
      <c r="C142" s="250" t="s">
        <v>203</v>
      </c>
      <c r="D142" s="143">
        <f>'[3]План для разбивки'!E142</f>
        <v>12</v>
      </c>
      <c r="E142" s="165" t="s">
        <v>498</v>
      </c>
      <c r="F142" s="166">
        <v>200</v>
      </c>
      <c r="G142" s="167">
        <f>'[3]План для разбивки'!I142</f>
        <v>16.37</v>
      </c>
      <c r="H142" s="168">
        <f>'[3]План для разбивки'!J142</f>
        <v>16.37</v>
      </c>
      <c r="I142" s="169">
        <f t="shared" ref="I142:I149" si="9">D142*F142*H142</f>
        <v>39288</v>
      </c>
      <c r="J142" s="170">
        <f t="shared" si="8"/>
        <v>39.287999999999997</v>
      </c>
    </row>
    <row r="143" spans="1:10" ht="33" customHeight="1" x14ac:dyDescent="0.2">
      <c r="A143" s="135" t="s">
        <v>499</v>
      </c>
      <c r="B143" s="136" t="s">
        <v>500</v>
      </c>
      <c r="C143" s="142" t="s">
        <v>193</v>
      </c>
      <c r="D143" s="143">
        <f>'[3]План для разбивки'!E143</f>
        <v>365</v>
      </c>
      <c r="E143" s="165" t="s">
        <v>501</v>
      </c>
      <c r="F143" s="166">
        <v>11</v>
      </c>
      <c r="G143" s="167">
        <f>'[3]План для разбивки'!I143</f>
        <v>125.78</v>
      </c>
      <c r="H143" s="168">
        <f>'[3]План для разбивки'!J143</f>
        <v>12.577999999999999</v>
      </c>
      <c r="I143" s="169">
        <f t="shared" si="9"/>
        <v>50500.67</v>
      </c>
      <c r="J143" s="170">
        <f t="shared" si="8"/>
        <v>50.50067</v>
      </c>
    </row>
    <row r="144" spans="1:10" ht="22.5" x14ac:dyDescent="0.2">
      <c r="A144" s="135" t="s">
        <v>502</v>
      </c>
      <c r="B144" s="136" t="s">
        <v>503</v>
      </c>
      <c r="C144" s="142" t="s">
        <v>203</v>
      </c>
      <c r="D144" s="143">
        <f>'[3]План для разбивки'!E144</f>
        <v>12</v>
      </c>
      <c r="E144" s="165" t="s">
        <v>504</v>
      </c>
      <c r="F144" s="166">
        <v>11</v>
      </c>
      <c r="G144" s="167">
        <f>'[3]План для разбивки'!I144</f>
        <v>63.58</v>
      </c>
      <c r="H144" s="168">
        <f>'[3]План для разбивки'!J144</f>
        <v>63.58</v>
      </c>
      <c r="I144" s="169">
        <f t="shared" si="9"/>
        <v>8392.56</v>
      </c>
      <c r="J144" s="170">
        <f t="shared" si="8"/>
        <v>8.3925599999999996</v>
      </c>
    </row>
    <row r="145" spans="1:13" ht="45" x14ac:dyDescent="0.2">
      <c r="A145" s="135" t="s">
        <v>505</v>
      </c>
      <c r="B145" s="136" t="s">
        <v>506</v>
      </c>
      <c r="C145" s="142" t="s">
        <v>203</v>
      </c>
      <c r="D145" s="143">
        <f>'[3]План для разбивки'!E145</f>
        <v>12</v>
      </c>
      <c r="E145" s="165" t="s">
        <v>507</v>
      </c>
      <c r="F145" s="166">
        <v>11</v>
      </c>
      <c r="G145" s="167">
        <f>'[3]План для разбивки'!I145</f>
        <v>95.48</v>
      </c>
      <c r="H145" s="168">
        <f>'[3]План для разбивки'!J145</f>
        <v>9.548</v>
      </c>
      <c r="I145" s="169">
        <f t="shared" si="9"/>
        <v>1260.336</v>
      </c>
      <c r="J145" s="170">
        <f t="shared" si="8"/>
        <v>1.2603360000000001</v>
      </c>
    </row>
    <row r="146" spans="1:13" ht="45" hidden="1" x14ac:dyDescent="0.2">
      <c r="A146" s="135"/>
      <c r="B146" s="165" t="s">
        <v>508</v>
      </c>
      <c r="C146" s="144" t="s">
        <v>203</v>
      </c>
      <c r="D146" s="143">
        <f>'[3]План для разбивки'!E146</f>
        <v>12</v>
      </c>
      <c r="E146" s="165" t="s">
        <v>509</v>
      </c>
      <c r="F146" s="166"/>
      <c r="G146" s="167">
        <f>'[3]План для разбивки'!I146</f>
        <v>62.81</v>
      </c>
      <c r="H146" s="168">
        <f>'[3]План для разбивки'!J146</f>
        <v>6.2809999999999997</v>
      </c>
      <c r="I146" s="169">
        <f t="shared" si="9"/>
        <v>0</v>
      </c>
      <c r="J146" s="170">
        <f t="shared" si="8"/>
        <v>0</v>
      </c>
    </row>
    <row r="147" spans="1:13" ht="33.75" x14ac:dyDescent="0.2">
      <c r="A147" s="135" t="s">
        <v>510</v>
      </c>
      <c r="B147" s="136" t="s">
        <v>511</v>
      </c>
      <c r="C147" s="142" t="s">
        <v>203</v>
      </c>
      <c r="D147" s="143">
        <f>'[3]План для разбивки'!E147</f>
        <v>12</v>
      </c>
      <c r="E147" s="165" t="s">
        <v>512</v>
      </c>
      <c r="F147" s="166">
        <v>11</v>
      </c>
      <c r="G147" s="167">
        <f>'[3]План для разбивки'!I147</f>
        <v>11.63</v>
      </c>
      <c r="H147" s="168">
        <f>'[3]План для разбивки'!J147</f>
        <v>11.63</v>
      </c>
      <c r="I147" s="169">
        <f t="shared" si="9"/>
        <v>1535.16</v>
      </c>
      <c r="J147" s="170">
        <f t="shared" si="8"/>
        <v>1.5351600000000001</v>
      </c>
    </row>
    <row r="148" spans="1:13" ht="33.75" hidden="1" x14ac:dyDescent="0.2">
      <c r="A148" s="135" t="s">
        <v>513</v>
      </c>
      <c r="B148" s="136" t="s">
        <v>514</v>
      </c>
      <c r="C148" s="142" t="s">
        <v>515</v>
      </c>
      <c r="D148" s="143">
        <f>'[3]План для разбивки'!E148</f>
        <v>1</v>
      </c>
      <c r="E148" s="165" t="s">
        <v>516</v>
      </c>
      <c r="F148" s="166"/>
      <c r="G148" s="167">
        <f>'[3]План для разбивки'!I148</f>
        <v>571.83000000000004</v>
      </c>
      <c r="H148" s="168">
        <f>'[3]План для разбивки'!J148</f>
        <v>571.83000000000004</v>
      </c>
      <c r="I148" s="169">
        <f t="shared" si="9"/>
        <v>0</v>
      </c>
      <c r="J148" s="170">
        <f t="shared" si="8"/>
        <v>0</v>
      </c>
    </row>
    <row r="149" spans="1:13" ht="21" customHeight="1" x14ac:dyDescent="0.2">
      <c r="A149" s="135"/>
      <c r="B149" s="136" t="s">
        <v>508</v>
      </c>
      <c r="C149" s="142" t="s">
        <v>515</v>
      </c>
      <c r="D149" s="143">
        <f>'[3]План для разбивки'!E149</f>
        <v>1</v>
      </c>
      <c r="E149" s="165" t="s">
        <v>516</v>
      </c>
      <c r="F149" s="166">
        <v>12</v>
      </c>
      <c r="G149" s="167">
        <f>'[3]План для разбивки'!I149</f>
        <v>917.16</v>
      </c>
      <c r="H149" s="168">
        <f>'[3]План для разбивки'!J149</f>
        <v>917.16</v>
      </c>
      <c r="I149" s="169">
        <f t="shared" si="9"/>
        <v>11005.92</v>
      </c>
      <c r="J149" s="170">
        <f t="shared" si="8"/>
        <v>11.00592</v>
      </c>
    </row>
    <row r="150" spans="1:13" ht="22.5" hidden="1" x14ac:dyDescent="0.2">
      <c r="A150" s="135" t="s">
        <v>517</v>
      </c>
      <c r="B150" s="136" t="s">
        <v>518</v>
      </c>
      <c r="C150" s="136"/>
      <c r="D150" s="137">
        <f>'[3]План для разбивки'!E150</f>
        <v>0</v>
      </c>
      <c r="E150" s="136"/>
      <c r="F150" s="166"/>
      <c r="G150" s="144">
        <f>'[3]План для разбивки'!I150</f>
        <v>0</v>
      </c>
      <c r="H150" s="184">
        <f>'[3]План для разбивки'!J150</f>
        <v>0</v>
      </c>
      <c r="I150" s="169"/>
      <c r="J150" s="170">
        <f t="shared" si="8"/>
        <v>0</v>
      </c>
    </row>
    <row r="151" spans="1:13" ht="22.5" hidden="1" x14ac:dyDescent="0.2">
      <c r="A151" s="135" t="s">
        <v>519</v>
      </c>
      <c r="B151" s="136" t="s">
        <v>520</v>
      </c>
      <c r="C151" s="136"/>
      <c r="D151" s="137">
        <f>'[3]План для разбивки'!E151</f>
        <v>0</v>
      </c>
      <c r="E151" s="136"/>
      <c r="F151" s="166"/>
      <c r="G151" s="144">
        <f>'[3]План для разбивки'!I151</f>
        <v>0</v>
      </c>
      <c r="H151" s="184">
        <f>'[3]План для разбивки'!J151</f>
        <v>0</v>
      </c>
      <c r="I151" s="169">
        <f>'[3]План для разбивки'!K151</f>
        <v>0</v>
      </c>
      <c r="J151" s="170">
        <f t="shared" si="8"/>
        <v>0</v>
      </c>
    </row>
    <row r="152" spans="1:13" ht="15" hidden="1" x14ac:dyDescent="0.2">
      <c r="A152" s="197"/>
      <c r="B152" s="198" t="s">
        <v>521</v>
      </c>
      <c r="C152" s="198"/>
      <c r="D152" s="199">
        <f>'[3]План для разбивки'!E152</f>
        <v>0</v>
      </c>
      <c r="E152" s="198"/>
      <c r="F152" s="166"/>
      <c r="G152" s="178"/>
      <c r="H152" s="179"/>
      <c r="I152" s="233"/>
      <c r="J152" s="234"/>
    </row>
    <row r="153" spans="1:13" ht="22.5" hidden="1" customHeight="1" x14ac:dyDescent="0.2">
      <c r="A153" s="157">
        <v>8</v>
      </c>
      <c r="B153" s="158" t="s">
        <v>522</v>
      </c>
      <c r="C153" s="158"/>
      <c r="D153" s="159">
        <f>'[3]План для разбивки'!E153</f>
        <v>0</v>
      </c>
      <c r="E153" s="158"/>
      <c r="F153" s="166"/>
      <c r="G153" s="178"/>
      <c r="H153" s="179"/>
      <c r="I153" s="163"/>
      <c r="J153" s="164"/>
    </row>
    <row r="154" spans="1:13" ht="22.5" hidden="1" x14ac:dyDescent="0.2">
      <c r="A154" s="135">
        <v>8.1</v>
      </c>
      <c r="B154" s="206" t="s">
        <v>523</v>
      </c>
      <c r="C154" s="206"/>
      <c r="D154" s="143" t="s">
        <v>426</v>
      </c>
      <c r="E154" s="206"/>
      <c r="F154" s="166"/>
      <c r="G154" s="144">
        <f>'[3]План для разбивки'!I154</f>
        <v>0</v>
      </c>
      <c r="H154" s="249"/>
      <c r="I154" s="251"/>
      <c r="J154" s="252">
        <f>I154/1000</f>
        <v>0</v>
      </c>
    </row>
    <row r="155" spans="1:13" ht="22.5" hidden="1" x14ac:dyDescent="0.2">
      <c r="A155" s="135">
        <v>8.1999999999999993</v>
      </c>
      <c r="B155" s="136" t="s">
        <v>524</v>
      </c>
      <c r="C155" s="136"/>
      <c r="D155" s="137">
        <f>'[3]План для разбивки'!E155</f>
        <v>0</v>
      </c>
      <c r="E155" s="136"/>
      <c r="F155" s="166"/>
      <c r="G155" s="144">
        <f>'[3]План для разбивки'!I155</f>
        <v>0</v>
      </c>
      <c r="H155" s="184">
        <f>'[3]План для разбивки'!J155</f>
        <v>0</v>
      </c>
      <c r="I155" s="169">
        <f>'[3]План для разбивки'!K155</f>
        <v>0</v>
      </c>
      <c r="J155" s="170">
        <f>I155/1000</f>
        <v>0</v>
      </c>
    </row>
    <row r="156" spans="1:13" ht="22.5" hidden="1" x14ac:dyDescent="0.2">
      <c r="A156" s="135">
        <v>8.3000000000000007</v>
      </c>
      <c r="B156" s="136" t="s">
        <v>525</v>
      </c>
      <c r="C156" s="136"/>
      <c r="D156" s="143" t="s">
        <v>426</v>
      </c>
      <c r="E156" s="136"/>
      <c r="F156" s="166"/>
      <c r="G156" s="144">
        <f>'[3]План для разбивки'!I156</f>
        <v>0</v>
      </c>
      <c r="H156" s="184">
        <f>'[3]План для разбивки'!J156</f>
        <v>0</v>
      </c>
      <c r="I156" s="169"/>
      <c r="J156" s="170">
        <f>I156/1000</f>
        <v>0</v>
      </c>
    </row>
    <row r="157" spans="1:13" ht="15" hidden="1" x14ac:dyDescent="0.2">
      <c r="A157" s="197"/>
      <c r="B157" s="198" t="s">
        <v>526</v>
      </c>
      <c r="C157" s="198"/>
      <c r="D157" s="199">
        <f>'[3]План для разбивки'!E157</f>
        <v>0</v>
      </c>
      <c r="E157" s="198"/>
      <c r="F157" s="166"/>
      <c r="G157" s="178"/>
      <c r="H157" s="179"/>
      <c r="I157" s="233"/>
      <c r="J157" s="234"/>
    </row>
    <row r="158" spans="1:13" ht="22.5" hidden="1" x14ac:dyDescent="0.2">
      <c r="A158" s="157">
        <v>9</v>
      </c>
      <c r="B158" s="158" t="s">
        <v>527</v>
      </c>
      <c r="C158" s="158"/>
      <c r="D158" s="159">
        <f>'[3]План для разбивки'!E158</f>
        <v>0</v>
      </c>
      <c r="E158" s="158"/>
      <c r="F158" s="166"/>
      <c r="G158" s="178"/>
      <c r="H158" s="179"/>
      <c r="I158" s="163"/>
      <c r="J158" s="164"/>
    </row>
    <row r="159" spans="1:13" ht="22.5" hidden="1" x14ac:dyDescent="0.2">
      <c r="A159" s="135">
        <v>9.1</v>
      </c>
      <c r="B159" s="136" t="s">
        <v>528</v>
      </c>
      <c r="C159" s="253" t="s">
        <v>203</v>
      </c>
      <c r="D159" s="143">
        <f>'[3]План для разбивки'!E159</f>
        <v>2</v>
      </c>
      <c r="E159" s="165" t="s">
        <v>529</v>
      </c>
      <c r="F159" s="166"/>
      <c r="G159" s="181">
        <f>'[3]План для разбивки'!I159</f>
        <v>94.6</v>
      </c>
      <c r="H159" s="168">
        <f>'[3]План для разбивки'!J159</f>
        <v>94.6</v>
      </c>
      <c r="I159" s="169">
        <f>'[3]План для разбивки'!K159</f>
        <v>0</v>
      </c>
      <c r="J159" s="170">
        <f>I159/1000</f>
        <v>0</v>
      </c>
      <c r="M159" s="254"/>
    </row>
    <row r="160" spans="1:13" ht="22.5" hidden="1" x14ac:dyDescent="0.2">
      <c r="A160" s="135">
        <v>9.1999999999999993</v>
      </c>
      <c r="B160" s="206" t="s">
        <v>530</v>
      </c>
      <c r="C160" s="206"/>
      <c r="D160" s="143" t="s">
        <v>426</v>
      </c>
      <c r="E160" s="206"/>
      <c r="F160" s="166"/>
      <c r="G160" s="144">
        <f>'[3]План для разбивки'!I160</f>
        <v>0</v>
      </c>
      <c r="H160" s="184">
        <f>'[3]План для разбивки'!J160</f>
        <v>0</v>
      </c>
      <c r="I160" s="245"/>
      <c r="J160" s="246">
        <f>I160/1000</f>
        <v>0</v>
      </c>
    </row>
    <row r="161" spans="1:10" ht="45" hidden="1" x14ac:dyDescent="0.2">
      <c r="A161" s="135">
        <v>9.3000000000000007</v>
      </c>
      <c r="B161" s="136" t="s">
        <v>531</v>
      </c>
      <c r="C161" s="136"/>
      <c r="D161" s="137">
        <f>'[3]План для разбивки'!E161</f>
        <v>0</v>
      </c>
      <c r="E161" s="136"/>
      <c r="F161" s="166"/>
      <c r="G161" s="144">
        <f>'[3]План для разбивки'!I161</f>
        <v>0</v>
      </c>
      <c r="H161" s="184">
        <f>'[3]План для разбивки'!J161</f>
        <v>0</v>
      </c>
      <c r="I161" s="169">
        <f>'[3]План для разбивки'!K161</f>
        <v>0</v>
      </c>
      <c r="J161" s="170">
        <f>I161/1000</f>
        <v>0</v>
      </c>
    </row>
    <row r="162" spans="1:10" ht="22.5" hidden="1" x14ac:dyDescent="0.2">
      <c r="A162" s="135">
        <v>9.4</v>
      </c>
      <c r="B162" s="136" t="s">
        <v>532</v>
      </c>
      <c r="C162" s="136"/>
      <c r="D162" s="137">
        <f>'[3]План для разбивки'!E162</f>
        <v>0</v>
      </c>
      <c r="E162" s="136"/>
      <c r="F162" s="166"/>
      <c r="G162" s="144">
        <f>'[3]План для разбивки'!I162</f>
        <v>0</v>
      </c>
      <c r="H162" s="184">
        <f>'[3]План для разбивки'!J162</f>
        <v>0</v>
      </c>
      <c r="I162" s="169">
        <f>'[3]План для разбивки'!K162</f>
        <v>0</v>
      </c>
      <c r="J162" s="170">
        <f>I162/1000</f>
        <v>0</v>
      </c>
    </row>
    <row r="163" spans="1:10" ht="15" hidden="1" x14ac:dyDescent="0.2">
      <c r="A163" s="197"/>
      <c r="B163" s="198" t="s">
        <v>533</v>
      </c>
      <c r="C163" s="198"/>
      <c r="D163" s="199">
        <f>'[3]План для разбивки'!E163</f>
        <v>0</v>
      </c>
      <c r="E163" s="198"/>
      <c r="F163" s="166"/>
      <c r="G163" s="178"/>
      <c r="H163" s="179"/>
      <c r="I163" s="233"/>
      <c r="J163" s="234"/>
    </row>
    <row r="164" spans="1:10" ht="22.5" hidden="1" x14ac:dyDescent="0.2">
      <c r="A164" s="157">
        <v>10</v>
      </c>
      <c r="B164" s="158" t="s">
        <v>534</v>
      </c>
      <c r="C164" s="158"/>
      <c r="D164" s="159">
        <f>'[3]План для разбивки'!E164</f>
        <v>0</v>
      </c>
      <c r="E164" s="158"/>
      <c r="F164" s="166"/>
      <c r="G164" s="178"/>
      <c r="H164" s="179"/>
      <c r="I164" s="223"/>
      <c r="J164" s="224"/>
    </row>
    <row r="165" spans="1:10" hidden="1" x14ac:dyDescent="0.2">
      <c r="A165" s="135">
        <v>10.1</v>
      </c>
      <c r="B165" s="136" t="s">
        <v>535</v>
      </c>
      <c r="C165" s="136"/>
      <c r="D165" s="137">
        <f>'[3]План для разбивки'!E165</f>
        <v>0</v>
      </c>
      <c r="E165" s="136"/>
      <c r="F165" s="166"/>
      <c r="G165" s="144">
        <f>'[3]План для разбивки'!I165</f>
        <v>0</v>
      </c>
      <c r="H165" s="184">
        <f>'[3]План для разбивки'!J165</f>
        <v>0</v>
      </c>
      <c r="I165" s="169">
        <f>'[3]План для разбивки'!K165</f>
        <v>0</v>
      </c>
      <c r="J165" s="170">
        <f>I165/1000</f>
        <v>0</v>
      </c>
    </row>
    <row r="166" spans="1:10" hidden="1" x14ac:dyDescent="0.2">
      <c r="A166" s="135">
        <v>10.199999999999999</v>
      </c>
      <c r="B166" s="206" t="s">
        <v>536</v>
      </c>
      <c r="C166" s="206"/>
      <c r="D166" s="207">
        <f>'[3]План для разбивки'!E166</f>
        <v>0</v>
      </c>
      <c r="E166" s="206"/>
      <c r="F166" s="166"/>
      <c r="G166" s="144">
        <f>'[3]План для разбивки'!I166</f>
        <v>0</v>
      </c>
      <c r="H166" s="184">
        <f>'[3]План для разбивки'!J166</f>
        <v>0</v>
      </c>
      <c r="I166" s="251">
        <f>'[3]План для разбивки'!K166</f>
        <v>0</v>
      </c>
      <c r="J166" s="252">
        <f>I166/1000</f>
        <v>0</v>
      </c>
    </row>
    <row r="167" spans="1:10" ht="33.75" hidden="1" x14ac:dyDescent="0.2">
      <c r="A167" s="135">
        <v>10.3</v>
      </c>
      <c r="B167" s="136" t="s">
        <v>537</v>
      </c>
      <c r="C167" s="136"/>
      <c r="D167" s="137">
        <f>'[3]План для разбивки'!E167</f>
        <v>0</v>
      </c>
      <c r="E167" s="136"/>
      <c r="F167" s="166"/>
      <c r="G167" s="144">
        <f>'[3]План для разбивки'!I167</f>
        <v>0</v>
      </c>
      <c r="H167" s="184">
        <f>'[3]План для разбивки'!J167</f>
        <v>0</v>
      </c>
      <c r="I167" s="169">
        <f>'[3]План для разбивки'!K167</f>
        <v>0</v>
      </c>
      <c r="J167" s="170">
        <f>I167/1000</f>
        <v>0</v>
      </c>
    </row>
    <row r="168" spans="1:10" ht="22.5" hidden="1" x14ac:dyDescent="0.2">
      <c r="A168" s="135">
        <v>10.4</v>
      </c>
      <c r="B168" s="206" t="s">
        <v>538</v>
      </c>
      <c r="C168" s="206"/>
      <c r="D168" s="207">
        <f>'[3]План для разбивки'!E168</f>
        <v>0</v>
      </c>
      <c r="E168" s="206"/>
      <c r="F168" s="166"/>
      <c r="G168" s="144">
        <f>'[3]План для разбивки'!I168</f>
        <v>0</v>
      </c>
      <c r="H168" s="184">
        <f>'[3]План для разбивки'!J168</f>
        <v>0</v>
      </c>
      <c r="I168" s="245"/>
      <c r="J168" s="246">
        <f>I168/1000</f>
        <v>0</v>
      </c>
    </row>
    <row r="169" spans="1:10" ht="15" hidden="1" x14ac:dyDescent="0.2">
      <c r="A169" s="197"/>
      <c r="B169" s="198" t="s">
        <v>539</v>
      </c>
      <c r="C169" s="198"/>
      <c r="D169" s="199">
        <f>'[3]План для разбивки'!E169</f>
        <v>0</v>
      </c>
      <c r="E169" s="198"/>
      <c r="F169" s="166"/>
      <c r="G169" s="178"/>
      <c r="H169" s="179"/>
      <c r="I169" s="233"/>
      <c r="J169" s="234"/>
    </row>
    <row r="170" spans="1:10" ht="33.75" hidden="1" x14ac:dyDescent="0.2">
      <c r="A170" s="157">
        <v>11</v>
      </c>
      <c r="B170" s="158" t="s">
        <v>540</v>
      </c>
      <c r="C170" s="158"/>
      <c r="D170" s="159">
        <f>'[3]План для разбивки'!E170</f>
        <v>0</v>
      </c>
      <c r="E170" s="158"/>
      <c r="F170" s="166"/>
      <c r="G170" s="178"/>
      <c r="H170" s="179"/>
      <c r="I170" s="223"/>
      <c r="J170" s="224"/>
    </row>
    <row r="171" spans="1:10" ht="33.75" hidden="1" x14ac:dyDescent="0.2">
      <c r="A171" s="135">
        <v>11.1</v>
      </c>
      <c r="B171" s="136" t="s">
        <v>541</v>
      </c>
      <c r="C171" s="136"/>
      <c r="D171" s="137">
        <f>'[3]План для разбивки'!E171</f>
        <v>0</v>
      </c>
      <c r="E171" s="136"/>
      <c r="F171" s="166"/>
      <c r="G171" s="144">
        <f>'[3]План для разбивки'!I171</f>
        <v>0</v>
      </c>
      <c r="H171" s="184">
        <f>'[3]План для разбивки'!J171</f>
        <v>0</v>
      </c>
      <c r="I171" s="169">
        <f>'[3]План для разбивки'!K171</f>
        <v>0</v>
      </c>
      <c r="J171" s="170">
        <f>I171/1000</f>
        <v>0</v>
      </c>
    </row>
    <row r="172" spans="1:10" ht="45" hidden="1" x14ac:dyDescent="0.2">
      <c r="A172" s="135">
        <v>11.2</v>
      </c>
      <c r="B172" s="136" t="s">
        <v>542</v>
      </c>
      <c r="C172" s="136"/>
      <c r="D172" s="137">
        <f>'[3]План для разбивки'!E172</f>
        <v>0</v>
      </c>
      <c r="E172" s="136"/>
      <c r="F172" s="166"/>
      <c r="G172" s="144">
        <f>'[3]План для разбивки'!I172</f>
        <v>0</v>
      </c>
      <c r="H172" s="184">
        <f>'[3]План для разбивки'!J172</f>
        <v>0</v>
      </c>
      <c r="I172" s="169">
        <f>'[3]План для разбивки'!K172</f>
        <v>0</v>
      </c>
      <c r="J172" s="170">
        <f>I172/1000</f>
        <v>0</v>
      </c>
    </row>
    <row r="173" spans="1:10" ht="22.5" hidden="1" x14ac:dyDescent="0.2">
      <c r="A173" s="135"/>
      <c r="B173" s="136" t="s">
        <v>543</v>
      </c>
      <c r="C173" s="136"/>
      <c r="D173" s="137">
        <f>'[3]План для разбивки'!E173</f>
        <v>0</v>
      </c>
      <c r="E173" s="136"/>
      <c r="F173" s="166"/>
      <c r="G173" s="144">
        <f>'[3]План для разбивки'!I173</f>
        <v>0</v>
      </c>
      <c r="H173" s="184">
        <f>'[3]План для разбивки'!J173</f>
        <v>0</v>
      </c>
      <c r="I173" s="169">
        <f>'[3]План для разбивки'!K173</f>
        <v>0</v>
      </c>
      <c r="J173" s="170">
        <f>I173/1000</f>
        <v>0</v>
      </c>
    </row>
    <row r="174" spans="1:10" ht="15" hidden="1" x14ac:dyDescent="0.2">
      <c r="A174" s="197"/>
      <c r="B174" s="198" t="s">
        <v>544</v>
      </c>
      <c r="C174" s="198"/>
      <c r="D174" s="199">
        <f>'[3]План для разбивки'!E174</f>
        <v>0</v>
      </c>
      <c r="E174" s="198"/>
      <c r="F174" s="166"/>
      <c r="G174" s="178"/>
      <c r="H174" s="179"/>
      <c r="I174" s="233"/>
      <c r="J174" s="234"/>
    </row>
    <row r="175" spans="1:10" ht="33.75" hidden="1" x14ac:dyDescent="0.2">
      <c r="A175" s="157">
        <v>12</v>
      </c>
      <c r="B175" s="158" t="s">
        <v>545</v>
      </c>
      <c r="C175" s="158"/>
      <c r="D175" s="159">
        <f>'[3]План для разбивки'!E175</f>
        <v>0</v>
      </c>
      <c r="E175" s="158"/>
      <c r="F175" s="166"/>
      <c r="G175" s="178"/>
      <c r="H175" s="179"/>
      <c r="I175" s="163"/>
      <c r="J175" s="164"/>
    </row>
    <row r="176" spans="1:10" ht="22.5" hidden="1" customHeight="1" x14ac:dyDescent="0.2">
      <c r="A176" s="135">
        <v>12.1</v>
      </c>
      <c r="B176" s="206" t="s">
        <v>546</v>
      </c>
      <c r="C176" s="255" t="s">
        <v>203</v>
      </c>
      <c r="D176" s="207">
        <f>'[3]План для разбивки'!E176</f>
        <v>1</v>
      </c>
      <c r="E176" s="206" t="s">
        <v>529</v>
      </c>
      <c r="F176" s="166"/>
      <c r="G176" s="181">
        <f>'[3]План для разбивки'!I176</f>
        <v>0</v>
      </c>
      <c r="H176" s="168">
        <f>'[3]План для разбивки'!J176</f>
        <v>0</v>
      </c>
      <c r="I176" s="245"/>
      <c r="J176" s="246">
        <f>I176/1000</f>
        <v>0</v>
      </c>
    </row>
    <row r="177" spans="1:10" hidden="1" x14ac:dyDescent="0.2">
      <c r="A177" s="135">
        <v>12.2</v>
      </c>
      <c r="B177" s="136" t="s">
        <v>547</v>
      </c>
      <c r="C177" s="136"/>
      <c r="D177" s="137">
        <f>'[3]План для разбивки'!E177</f>
        <v>0</v>
      </c>
      <c r="E177" s="136"/>
      <c r="F177" s="166"/>
      <c r="G177" s="144">
        <f>'[3]План для разбивки'!I177</f>
        <v>0</v>
      </c>
      <c r="H177" s="184">
        <f>'[3]План для разбивки'!J177</f>
        <v>0</v>
      </c>
      <c r="I177" s="169"/>
      <c r="J177" s="170">
        <f>I177/1000</f>
        <v>0</v>
      </c>
    </row>
    <row r="178" spans="1:10" ht="22.5" hidden="1" x14ac:dyDescent="0.2">
      <c r="A178" s="135">
        <v>12.3</v>
      </c>
      <c r="B178" s="136" t="s">
        <v>548</v>
      </c>
      <c r="C178" s="136"/>
      <c r="D178" s="137">
        <f>'[3]План для разбивки'!E178</f>
        <v>0</v>
      </c>
      <c r="E178" s="136"/>
      <c r="F178" s="166"/>
      <c r="G178" s="144">
        <f>'[3]План для разбивки'!I178</f>
        <v>0</v>
      </c>
      <c r="H178" s="184">
        <f>'[3]План для разбивки'!J178</f>
        <v>0</v>
      </c>
      <c r="I178" s="169">
        <f>'[3]План для разбивки'!K178</f>
        <v>0</v>
      </c>
      <c r="J178" s="170">
        <f>I178/1000</f>
        <v>0</v>
      </c>
    </row>
    <row r="179" spans="1:10" ht="15" hidden="1" x14ac:dyDescent="0.2">
      <c r="A179" s="197"/>
      <c r="B179" s="198" t="s">
        <v>549</v>
      </c>
      <c r="C179" s="198"/>
      <c r="D179" s="199">
        <f>'[3]План для разбивки'!E179</f>
        <v>0</v>
      </c>
      <c r="E179" s="198"/>
      <c r="F179" s="166"/>
      <c r="G179" s="178"/>
      <c r="H179" s="179"/>
      <c r="I179" s="233"/>
      <c r="J179" s="234"/>
    </row>
    <row r="180" spans="1:10" ht="45" hidden="1" customHeight="1" x14ac:dyDescent="0.2">
      <c r="A180" s="216" t="s">
        <v>550</v>
      </c>
      <c r="B180" s="150" t="s">
        <v>551</v>
      </c>
      <c r="C180" s="150"/>
      <c r="D180" s="256">
        <f>'[3]План для разбивки'!E180</f>
        <v>0</v>
      </c>
      <c r="E180" s="150"/>
      <c r="F180" s="166"/>
      <c r="G180" s="178">
        <f>'[3]План для разбивки'!I180</f>
        <v>0</v>
      </c>
      <c r="H180" s="179">
        <f>'[3]План для разбивки'!J180</f>
        <v>0</v>
      </c>
      <c r="I180" s="245"/>
      <c r="J180" s="246">
        <f>I180/1000</f>
        <v>0</v>
      </c>
    </row>
    <row r="181" spans="1:10" ht="15" hidden="1" customHeight="1" x14ac:dyDescent="0.2">
      <c r="A181" s="216" t="s">
        <v>552</v>
      </c>
      <c r="B181" s="198" t="s">
        <v>553</v>
      </c>
      <c r="C181" s="198"/>
      <c r="D181" s="199">
        <f>'[3]План для разбивки'!E181</f>
        <v>0</v>
      </c>
      <c r="E181" s="198"/>
      <c r="F181" s="166"/>
      <c r="G181" s="178"/>
      <c r="H181" s="179"/>
      <c r="I181" s="257"/>
      <c r="J181" s="257">
        <f>I181/1000</f>
        <v>0</v>
      </c>
    </row>
    <row r="182" spans="1:10" ht="22.5" hidden="1" x14ac:dyDescent="0.2">
      <c r="A182" s="157" t="s">
        <v>554</v>
      </c>
      <c r="B182" s="158" t="s">
        <v>555</v>
      </c>
      <c r="C182" s="158"/>
      <c r="D182" s="159">
        <f>'[3]План для разбивки'!E182</f>
        <v>0</v>
      </c>
      <c r="E182" s="158"/>
      <c r="F182" s="166"/>
      <c r="G182" s="178"/>
      <c r="H182" s="179"/>
      <c r="I182" s="223"/>
      <c r="J182" s="224"/>
    </row>
    <row r="183" spans="1:10" hidden="1" x14ac:dyDescent="0.2">
      <c r="A183" s="175">
        <v>15.1</v>
      </c>
      <c r="B183" s="206" t="s">
        <v>556</v>
      </c>
      <c r="C183" s="206"/>
      <c r="D183" s="207">
        <f>'[3]План для разбивки'!E183</f>
        <v>0</v>
      </c>
      <c r="E183" s="206"/>
      <c r="F183" s="166"/>
      <c r="G183" s="144">
        <f>'[3]План для разбивки'!I183</f>
        <v>0</v>
      </c>
      <c r="H183" s="184">
        <f>'[3]План для разбивки'!J183</f>
        <v>2.57</v>
      </c>
      <c r="I183" s="245">
        <f>'[3]План для разбивки'!K183</f>
        <v>0</v>
      </c>
      <c r="J183" s="246">
        <f>I183/1000</f>
        <v>0</v>
      </c>
    </row>
    <row r="184" spans="1:10" hidden="1" x14ac:dyDescent="0.2">
      <c r="A184" s="175"/>
      <c r="B184" s="206" t="s">
        <v>557</v>
      </c>
      <c r="C184" s="206"/>
      <c r="D184" s="207" t="s">
        <v>426</v>
      </c>
      <c r="E184" s="206"/>
      <c r="F184" s="166"/>
      <c r="G184" s="144">
        <f>'[3]План для разбивки'!I184</f>
        <v>0</v>
      </c>
      <c r="H184" s="184">
        <f>'[3]План для разбивки'!J184</f>
        <v>0</v>
      </c>
      <c r="I184" s="245"/>
      <c r="J184" s="246">
        <f>I184/1000</f>
        <v>0</v>
      </c>
    </row>
    <row r="185" spans="1:10" hidden="1" x14ac:dyDescent="0.2">
      <c r="A185" s="175">
        <v>15.2</v>
      </c>
      <c r="B185" s="206" t="s">
        <v>558</v>
      </c>
      <c r="C185" s="206"/>
      <c r="D185" s="207">
        <f>'[3]План для разбивки'!E185</f>
        <v>0</v>
      </c>
      <c r="E185" s="206"/>
      <c r="F185" s="166"/>
      <c r="G185" s="144">
        <f>'[3]План для разбивки'!I185</f>
        <v>0</v>
      </c>
      <c r="H185" s="184">
        <f>'[3]План для разбивки'!J185</f>
        <v>0</v>
      </c>
      <c r="I185" s="245"/>
      <c r="J185" s="246">
        <f>I185/1000</f>
        <v>0</v>
      </c>
    </row>
    <row r="186" spans="1:10" ht="15" hidden="1" x14ac:dyDescent="0.2">
      <c r="A186" s="197"/>
      <c r="B186" s="198" t="s">
        <v>559</v>
      </c>
      <c r="C186" s="198"/>
      <c r="D186" s="199">
        <f>'[3]План для разбивки'!E186</f>
        <v>0</v>
      </c>
      <c r="E186" s="198"/>
      <c r="F186" s="166"/>
      <c r="G186" s="178"/>
      <c r="H186" s="179"/>
      <c r="I186" s="233"/>
      <c r="J186" s="234"/>
    </row>
    <row r="187" spans="1:10" hidden="1" x14ac:dyDescent="0.2">
      <c r="A187" s="219">
        <v>16</v>
      </c>
      <c r="B187" s="158" t="s">
        <v>560</v>
      </c>
      <c r="C187" s="158"/>
      <c r="D187" s="159">
        <f>'[3]План для разбивки'!E187</f>
        <v>0</v>
      </c>
      <c r="E187" s="158"/>
      <c r="F187" s="166"/>
      <c r="G187" s="178"/>
      <c r="H187" s="179"/>
      <c r="I187" s="223"/>
      <c r="J187" s="224"/>
    </row>
    <row r="188" spans="1:10" hidden="1" x14ac:dyDescent="0.2">
      <c r="A188" s="135">
        <v>16.100000000000001</v>
      </c>
      <c r="B188" s="136" t="s">
        <v>561</v>
      </c>
      <c r="C188" s="136"/>
      <c r="D188" s="137">
        <f>'[3]План для разбивки'!E188</f>
        <v>0</v>
      </c>
      <c r="E188" s="136"/>
      <c r="F188" s="166"/>
      <c r="G188" s="144">
        <f>'[3]План для разбивки'!I188</f>
        <v>0</v>
      </c>
      <c r="H188" s="184">
        <f>'[3]План для разбивки'!J188</f>
        <v>0</v>
      </c>
      <c r="I188" s="169">
        <f>'[3]План для разбивки'!K188</f>
        <v>0</v>
      </c>
      <c r="J188" s="170">
        <f>I188/1000</f>
        <v>0</v>
      </c>
    </row>
    <row r="189" spans="1:10" ht="33.75" hidden="1" x14ac:dyDescent="0.2">
      <c r="A189" s="135">
        <v>16.2</v>
      </c>
      <c r="B189" s="136" t="s">
        <v>562</v>
      </c>
      <c r="C189" s="142" t="s">
        <v>203</v>
      </c>
      <c r="D189" s="143">
        <f>'[3]План для разбивки'!E189</f>
        <v>12</v>
      </c>
      <c r="E189" s="165" t="s">
        <v>292</v>
      </c>
      <c r="F189" s="166"/>
      <c r="G189" s="181">
        <f>'[3]План для разбивки'!I189</f>
        <v>367.23180000000002</v>
      </c>
      <c r="H189" s="168">
        <f>'[3]План для разбивки'!J189</f>
        <v>367.23180000000002</v>
      </c>
      <c r="I189" s="169"/>
      <c r="J189" s="170">
        <f>I189/1000</f>
        <v>0</v>
      </c>
    </row>
    <row r="190" spans="1:10" ht="22.5" hidden="1" x14ac:dyDescent="0.2">
      <c r="A190" s="135">
        <v>16.3</v>
      </c>
      <c r="B190" s="136" t="s">
        <v>563</v>
      </c>
      <c r="C190" s="136"/>
      <c r="D190" s="137">
        <f>'[3]План для разбивки'!E190</f>
        <v>0</v>
      </c>
      <c r="E190" s="136"/>
      <c r="F190" s="166"/>
      <c r="G190" s="144">
        <f>'[3]План для разбивки'!I190</f>
        <v>0</v>
      </c>
      <c r="H190" s="184">
        <f>'[3]План для разбивки'!J190</f>
        <v>0</v>
      </c>
      <c r="I190" s="169"/>
      <c r="J190" s="170">
        <f>I190/1000</f>
        <v>0</v>
      </c>
    </row>
    <row r="191" spans="1:10" ht="15.75" hidden="1" thickBot="1" x14ac:dyDescent="0.25">
      <c r="A191" s="197"/>
      <c r="B191" s="198" t="s">
        <v>564</v>
      </c>
      <c r="C191" s="198"/>
      <c r="D191" s="199">
        <f>'[3]План для разбивки'!E191</f>
        <v>0</v>
      </c>
      <c r="E191" s="198"/>
      <c r="F191" s="166"/>
      <c r="G191" s="178"/>
      <c r="H191" s="179"/>
      <c r="I191" s="258"/>
      <c r="J191" s="259"/>
    </row>
    <row r="192" spans="1:10" ht="15" customHeight="1" x14ac:dyDescent="0.2">
      <c r="A192" s="260"/>
      <c r="B192" s="261"/>
      <c r="C192" s="261"/>
      <c r="D192" s="262"/>
      <c r="E192" s="261"/>
      <c r="F192" s="263"/>
      <c r="G192" s="264"/>
      <c r="H192" s="261"/>
      <c r="I192" s="265">
        <f>SUM(I6:I191)</f>
        <v>7159839.490056999</v>
      </c>
    </row>
    <row r="193" spans="1:10" ht="15" customHeight="1" x14ac:dyDescent="0.2">
      <c r="A193" s="260"/>
      <c r="B193" s="261"/>
      <c r="C193" s="261"/>
      <c r="D193" s="262"/>
      <c r="E193" s="261"/>
      <c r="F193" s="263"/>
      <c r="G193" s="264"/>
      <c r="H193" s="261"/>
      <c r="I193" s="266">
        <f>SUM(I5:I191)</f>
        <v>7875823.4390626987</v>
      </c>
    </row>
    <row r="194" spans="1:10" ht="15" customHeight="1" x14ac:dyDescent="0.2">
      <c r="A194" s="260"/>
      <c r="B194" s="261"/>
      <c r="C194" s="261"/>
      <c r="D194" s="262"/>
      <c r="E194" s="261"/>
      <c r="F194" s="263"/>
      <c r="G194" s="264"/>
      <c r="H194" s="261"/>
      <c r="I194" s="266"/>
    </row>
    <row r="195" spans="1:10" ht="12.75" x14ac:dyDescent="0.2">
      <c r="A195" s="451"/>
      <c r="B195" s="451"/>
      <c r="C195" s="267"/>
      <c r="D195" s="268"/>
      <c r="E195" s="267"/>
      <c r="F195" s="269"/>
      <c r="G195" s="451" t="s">
        <v>565</v>
      </c>
      <c r="H195" s="451"/>
      <c r="I195" s="270"/>
      <c r="J195" s="128">
        <f>I195-I192</f>
        <v>-7159839.490056999</v>
      </c>
    </row>
    <row r="196" spans="1:10" x14ac:dyDescent="0.2">
      <c r="A196" s="271"/>
      <c r="B196" s="260"/>
      <c r="C196" s="272"/>
      <c r="D196" s="273"/>
      <c r="E196" s="272"/>
      <c r="F196" s="274"/>
      <c r="G196" s="260"/>
      <c r="H196" s="260"/>
      <c r="I196" s="275"/>
      <c r="J196" s="128" t="s">
        <v>566</v>
      </c>
    </row>
    <row r="197" spans="1:10" ht="15" x14ac:dyDescent="0.2">
      <c r="A197" s="271"/>
      <c r="B197" s="271"/>
      <c r="C197" s="267"/>
      <c r="D197" s="268"/>
      <c r="E197" s="267"/>
      <c r="F197" s="263"/>
      <c r="G197" s="451" t="s">
        <v>567</v>
      </c>
      <c r="H197" s="451"/>
      <c r="I197" s="276">
        <f>I7+I8+I9+I10+I11+I12+I13+I14+I15+I16+I17+I18+I19+I20+I21+I22+I23+I24+I32+I33+I35+I40+I142+I143+I144+I145+I146+I147+I148+I149</f>
        <v>5642492.4443329992</v>
      </c>
      <c r="J197" s="128">
        <f>I197/1000</f>
        <v>5642.4924443329992</v>
      </c>
    </row>
    <row r="198" spans="1:10" x14ac:dyDescent="0.2">
      <c r="A198" s="271"/>
      <c r="B198" s="277"/>
      <c r="C198" s="278"/>
      <c r="D198" s="279"/>
      <c r="E198" s="278"/>
      <c r="F198" s="280"/>
      <c r="H198" s="125"/>
      <c r="I198" s="275"/>
    </row>
    <row r="199" spans="1:10" ht="15" x14ac:dyDescent="0.2">
      <c r="A199" s="271"/>
      <c r="B199" s="271"/>
      <c r="C199" s="267"/>
      <c r="D199" s="268"/>
      <c r="E199" s="267"/>
      <c r="F199" s="269"/>
      <c r="G199" s="271"/>
      <c r="H199" s="271"/>
      <c r="I199" s="276"/>
    </row>
    <row r="200" spans="1:10" x14ac:dyDescent="0.2">
      <c r="A200" s="271"/>
      <c r="B200" s="260"/>
      <c r="C200" s="272"/>
      <c r="D200" s="273"/>
      <c r="E200" s="272"/>
      <c r="F200" s="281"/>
      <c r="G200" s="260"/>
      <c r="H200" s="260"/>
      <c r="I200" s="275"/>
    </row>
    <row r="201" spans="1:10" ht="15" x14ac:dyDescent="0.2">
      <c r="A201" s="260"/>
      <c r="B201" s="282"/>
      <c r="C201" s="282"/>
      <c r="D201" s="283"/>
      <c r="E201" s="282"/>
      <c r="F201" s="281"/>
      <c r="G201" s="282"/>
      <c r="H201" s="282"/>
      <c r="I201" s="276"/>
    </row>
    <row r="203" spans="1:10" x14ac:dyDescent="0.2">
      <c r="B203" s="285"/>
      <c r="C203" s="248"/>
      <c r="D203" s="279"/>
      <c r="E203" s="248"/>
      <c r="H203" s="286"/>
    </row>
    <row r="204" spans="1:10" x14ac:dyDescent="0.2">
      <c r="B204" s="285"/>
      <c r="C204" s="248"/>
      <c r="D204" s="279"/>
      <c r="E204" s="248"/>
      <c r="H204" s="286"/>
    </row>
    <row r="205" spans="1:10" x14ac:dyDescent="0.2">
      <c r="B205" s="285"/>
      <c r="C205" s="248"/>
      <c r="D205" s="279"/>
      <c r="E205" s="248"/>
      <c r="H205" s="286"/>
    </row>
  </sheetData>
  <autoFilter ref="A4:J193">
    <filterColumn colId="8">
      <filters>
        <filter val="1 032.01"/>
        <filter val="1 094.18"/>
        <filter val="1 260.34"/>
        <filter val="1 423 376.16"/>
        <filter val="1 535.16"/>
        <filter val="105 652.48"/>
        <filter val="11 005.92"/>
        <filter val="153.14"/>
        <filter val="16 987.96"/>
        <filter val="199 684.56"/>
        <filter val="2 089.56"/>
        <filter val="2 190 163.52"/>
        <filter val="209 191.00"/>
        <filter val="24 169.95"/>
        <filter val="32 134.13"/>
        <filter val="33 496.38"/>
        <filter val="34 215.00"/>
        <filter val="39 288.00"/>
        <filter val="41 873.89"/>
        <filter val="5 616.82"/>
        <filter val="5 808.86"/>
        <filter val="50 500.67"/>
        <filter val="500 144.02"/>
        <filter val="561 682.92"/>
        <filter val="687 137.05"/>
        <filter val="69 230.50"/>
        <filter val="7 159 839.49"/>
        <filter val="7 875 823.44"/>
        <filter val="715 983.95"/>
        <filter val="793 901.28"/>
        <filter val="8 392.56"/>
        <filter val="9 763.14"/>
        <filter val="99 258.33"/>
      </filters>
    </filterColumn>
  </autoFilter>
  <mergeCells count="6">
    <mergeCell ref="G197:H197"/>
    <mergeCell ref="J1:K1"/>
    <mergeCell ref="A2:B2"/>
    <mergeCell ref="J2:K2"/>
    <mergeCell ref="A195:B195"/>
    <mergeCell ref="G195:H195"/>
  </mergeCells>
  <printOptions horizontalCentered="1"/>
  <pageMargins left="0.11811023622047245" right="0.11811023622047245" top="0.35433070866141736" bottom="0.15748031496062992" header="0.31496062992125984" footer="0.31496062992125984"/>
  <pageSetup paperSize="9" scale="82" orientation="portrait" r:id="rId1"/>
  <rowBreaks count="1" manualBreakCount="1">
    <brk id="197" max="11" man="1"/>
  </rowBreaks>
  <colBreaks count="1" manualBreakCount="1">
    <brk id="11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2:K41"/>
  <sheetViews>
    <sheetView topLeftCell="A13" workbookViewId="0">
      <selection activeCell="B27" sqref="B27"/>
    </sheetView>
  </sheetViews>
  <sheetFormatPr defaultRowHeight="12.75" x14ac:dyDescent="0.2"/>
  <cols>
    <col min="1" max="1" width="6.7109375" customWidth="1"/>
    <col min="2" max="2" width="41.28515625" customWidth="1"/>
    <col min="3" max="3" width="12.85546875" customWidth="1"/>
    <col min="4" max="4" width="17.85546875" customWidth="1"/>
    <col min="5" max="5" width="8.85546875" customWidth="1"/>
    <col min="6" max="6" width="13.140625" customWidth="1"/>
    <col min="7" max="7" width="13.85546875" customWidth="1"/>
    <col min="8" max="8" width="12.7109375" bestFit="1" customWidth="1"/>
    <col min="9" max="9" width="10.42578125" customWidth="1"/>
    <col min="10" max="10" width="12" customWidth="1"/>
    <col min="11" max="11" width="14.140625" customWidth="1"/>
  </cols>
  <sheetData>
    <row r="2" spans="1:11" ht="16.5" customHeight="1" x14ac:dyDescent="0.2">
      <c r="A2" s="1"/>
      <c r="B2" s="1"/>
      <c r="C2" s="290"/>
      <c r="D2" s="452"/>
      <c r="E2" s="452"/>
      <c r="F2" s="452"/>
      <c r="G2" s="291"/>
    </row>
    <row r="4" spans="1:11" ht="18" x14ac:dyDescent="0.25">
      <c r="A4" s="453" t="s">
        <v>568</v>
      </c>
      <c r="B4" s="453"/>
      <c r="C4" s="453"/>
      <c r="D4" s="453"/>
      <c r="E4" s="453"/>
      <c r="F4" s="453"/>
      <c r="G4" s="453"/>
    </row>
    <row r="5" spans="1:11" ht="36" customHeight="1" x14ac:dyDescent="0.2">
      <c r="B5" s="292"/>
      <c r="F5" s="454" t="s">
        <v>569</v>
      </c>
      <c r="G5" s="454"/>
    </row>
    <row r="6" spans="1:11" ht="20.25" customHeight="1" x14ac:dyDescent="0.2">
      <c r="B6" s="455"/>
      <c r="C6" s="455"/>
      <c r="G6" s="20"/>
    </row>
    <row r="7" spans="1:11" ht="15.75" x14ac:dyDescent="0.25">
      <c r="A7" s="456" t="s">
        <v>570</v>
      </c>
      <c r="B7" s="457"/>
      <c r="C7" s="457"/>
      <c r="D7" s="457"/>
      <c r="E7" s="457"/>
      <c r="F7" s="457"/>
      <c r="G7" s="20"/>
    </row>
    <row r="8" spans="1:11" ht="26.25" customHeight="1" x14ac:dyDescent="0.2">
      <c r="C8" s="60"/>
      <c r="D8" s="293" t="s">
        <v>173</v>
      </c>
      <c r="E8" s="293"/>
      <c r="F8" s="294" t="e">
        <f>(#REF!+#REF!)*(25.51+26.53)*6</f>
        <v>#REF!</v>
      </c>
      <c r="G8" s="295" t="s">
        <v>98</v>
      </c>
    </row>
    <row r="9" spans="1:11" ht="27" customHeight="1" x14ac:dyDescent="0.25">
      <c r="A9" s="296" t="s">
        <v>571</v>
      </c>
      <c r="B9" s="297"/>
      <c r="C9" s="298"/>
      <c r="D9" s="299"/>
      <c r="E9" s="299"/>
      <c r="F9" s="300"/>
      <c r="G9" s="301"/>
    </row>
    <row r="10" spans="1:11" ht="53.25" customHeight="1" x14ac:dyDescent="0.2">
      <c r="A10" s="302" t="s">
        <v>572</v>
      </c>
      <c r="B10" s="302" t="s">
        <v>573</v>
      </c>
      <c r="C10" s="303" t="s">
        <v>574</v>
      </c>
      <c r="D10" s="304" t="s">
        <v>575</v>
      </c>
      <c r="E10" s="304" t="s">
        <v>576</v>
      </c>
      <c r="F10" s="303" t="s">
        <v>577</v>
      </c>
      <c r="G10" s="303" t="s">
        <v>578</v>
      </c>
    </row>
    <row r="11" spans="1:11" x14ac:dyDescent="0.2">
      <c r="A11" s="305" t="s">
        <v>579</v>
      </c>
      <c r="B11" s="306" t="s">
        <v>580</v>
      </c>
      <c r="C11" s="307" t="s">
        <v>581</v>
      </c>
      <c r="D11" s="307"/>
      <c r="E11" s="307"/>
      <c r="F11" s="308">
        <f>F12+F15+F27+F28+F29+F30+F31</f>
        <v>808024.30964999995</v>
      </c>
      <c r="G11" s="309">
        <f t="shared" ref="G11:G34" si="0">F11*12</f>
        <v>9696291.7157999985</v>
      </c>
      <c r="J11" s="308">
        <v>890755.49573999969</v>
      </c>
      <c r="K11" s="309">
        <v>10689065.948879996</v>
      </c>
    </row>
    <row r="12" spans="1:11" x14ac:dyDescent="0.2">
      <c r="A12" s="305" t="s">
        <v>582</v>
      </c>
      <c r="B12" s="306" t="s">
        <v>583</v>
      </c>
      <c r="C12" s="307"/>
      <c r="D12" s="307"/>
      <c r="E12" s="307"/>
      <c r="F12" s="308">
        <f>F13+F14</f>
        <v>255413.34</v>
      </c>
      <c r="G12" s="308">
        <f>G13+G14</f>
        <v>3064960.08</v>
      </c>
    </row>
    <row r="13" spans="1:11" x14ac:dyDescent="0.2">
      <c r="A13" s="305"/>
      <c r="B13" s="310" t="s">
        <v>583</v>
      </c>
      <c r="C13" s="307">
        <f>'ФОТ МОП'!Y11</f>
        <v>5.03</v>
      </c>
      <c r="D13" s="311">
        <f>D16*1.3</f>
        <v>39000</v>
      </c>
      <c r="E13" s="311"/>
      <c r="F13" s="308">
        <f t="shared" ref="F13" si="1">C13*D13</f>
        <v>196170</v>
      </c>
      <c r="G13" s="309">
        <f t="shared" ref="G13:G14" si="2">F13*12</f>
        <v>2354040</v>
      </c>
    </row>
    <row r="14" spans="1:11" x14ac:dyDescent="0.2">
      <c r="A14" s="305"/>
      <c r="B14" s="312" t="s">
        <v>584</v>
      </c>
      <c r="C14" s="307" t="s">
        <v>581</v>
      </c>
      <c r="D14" s="311"/>
      <c r="E14" s="311"/>
      <c r="F14" s="308">
        <f>F13*0.302</f>
        <v>59243.34</v>
      </c>
      <c r="G14" s="309">
        <f t="shared" si="2"/>
        <v>710920.08</v>
      </c>
    </row>
    <row r="15" spans="1:11" x14ac:dyDescent="0.2">
      <c r="A15" s="305" t="s">
        <v>585</v>
      </c>
      <c r="B15" s="306" t="s">
        <v>586</v>
      </c>
      <c r="C15" s="307" t="s">
        <v>587</v>
      </c>
      <c r="D15" s="311"/>
      <c r="E15" s="311"/>
      <c r="F15" s="308">
        <f>SUM(F16:F26)</f>
        <v>321472.34999999998</v>
      </c>
      <c r="G15" s="309">
        <f t="shared" si="0"/>
        <v>3857668.1999999997</v>
      </c>
    </row>
    <row r="16" spans="1:11" ht="15" customHeight="1" x14ac:dyDescent="0.2">
      <c r="A16" s="305"/>
      <c r="B16" s="310" t="s">
        <v>588</v>
      </c>
      <c r="C16" s="307">
        <f>'ФОТ рабоч'!P10</f>
        <v>0.74</v>
      </c>
      <c r="D16" s="311">
        <v>30000</v>
      </c>
      <c r="E16" s="311">
        <v>1</v>
      </c>
      <c r="F16" s="313">
        <f>C16*D16*E16</f>
        <v>22200</v>
      </c>
      <c r="G16" s="309">
        <f t="shared" si="0"/>
        <v>266400</v>
      </c>
    </row>
    <row r="17" spans="1:11" ht="12" customHeight="1" x14ac:dyDescent="0.2">
      <c r="A17" s="305"/>
      <c r="B17" s="310" t="s">
        <v>589</v>
      </c>
      <c r="C17" s="314">
        <f>'ФОТ рабоч'!R10</f>
        <v>1.1200000000000001</v>
      </c>
      <c r="D17" s="311">
        <v>20589</v>
      </c>
      <c r="E17" s="311">
        <v>1</v>
      </c>
      <c r="F17" s="313">
        <f t="shared" ref="F17:F21" si="3">C17*D17*E17</f>
        <v>23059.680000000004</v>
      </c>
      <c r="G17" s="309">
        <f t="shared" si="0"/>
        <v>276716.16000000003</v>
      </c>
      <c r="K17" s="60"/>
    </row>
    <row r="18" spans="1:11" x14ac:dyDescent="0.2">
      <c r="A18" s="305"/>
      <c r="B18" s="310" t="s">
        <v>590</v>
      </c>
      <c r="C18" s="314">
        <f>'ФОТ рабоч'!T10</f>
        <v>0.91</v>
      </c>
      <c r="D18" s="311">
        <v>20589</v>
      </c>
      <c r="E18" s="311">
        <v>1</v>
      </c>
      <c r="F18" s="313">
        <f t="shared" si="3"/>
        <v>18735.990000000002</v>
      </c>
      <c r="G18" s="309">
        <f t="shared" si="0"/>
        <v>224831.88</v>
      </c>
      <c r="K18" s="60"/>
    </row>
    <row r="19" spans="1:11" x14ac:dyDescent="0.2">
      <c r="A19" s="305"/>
      <c r="B19" s="310" t="s">
        <v>591</v>
      </c>
      <c r="C19" s="314">
        <f>'ФОТ рабоч'!V10</f>
        <v>0.69</v>
      </c>
      <c r="D19" s="311">
        <v>20589</v>
      </c>
      <c r="E19" s="311">
        <v>1</v>
      </c>
      <c r="F19" s="313">
        <f t="shared" si="3"/>
        <v>14206.409999999998</v>
      </c>
      <c r="G19" s="309">
        <f t="shared" si="0"/>
        <v>170476.91999999998</v>
      </c>
      <c r="K19" s="60"/>
    </row>
    <row r="20" spans="1:11" ht="12" customHeight="1" x14ac:dyDescent="0.2">
      <c r="A20" s="305"/>
      <c r="B20" s="310" t="s">
        <v>592</v>
      </c>
      <c r="C20" s="314">
        <f>'ФОТ рабоч'!X10</f>
        <v>1.02</v>
      </c>
      <c r="D20" s="311">
        <v>20589</v>
      </c>
      <c r="E20" s="311">
        <v>1</v>
      </c>
      <c r="F20" s="313">
        <f t="shared" si="3"/>
        <v>21000.78</v>
      </c>
      <c r="G20" s="309">
        <f t="shared" si="0"/>
        <v>252009.36</v>
      </c>
      <c r="K20" s="60"/>
    </row>
    <row r="21" spans="1:11" x14ac:dyDescent="0.2">
      <c r="A21" s="305"/>
      <c r="B21" s="310" t="s">
        <v>593</v>
      </c>
      <c r="C21" s="314">
        <f>'ФОТ рабоч'!Z10</f>
        <v>1.28</v>
      </c>
      <c r="D21" s="311">
        <v>20589</v>
      </c>
      <c r="E21" s="311">
        <v>1</v>
      </c>
      <c r="F21" s="313">
        <f t="shared" si="3"/>
        <v>26353.920000000002</v>
      </c>
      <c r="G21" s="309">
        <f t="shared" si="0"/>
        <v>316247.04000000004</v>
      </c>
      <c r="K21" s="60"/>
    </row>
    <row r="22" spans="1:11" x14ac:dyDescent="0.2">
      <c r="A22" s="305"/>
      <c r="B22" s="310" t="s">
        <v>594</v>
      </c>
      <c r="C22" s="314">
        <f>'ФОТ рабоч'!AB10+'ФОТ рабоч'!AD10+'ФОТ рабоч'!AF10</f>
        <v>3.7600000000000002</v>
      </c>
      <c r="D22" s="311">
        <f>D16</f>
        <v>30000</v>
      </c>
      <c r="E22" s="311">
        <v>1.3</v>
      </c>
      <c r="F22" s="313">
        <f>C22*D22*E22</f>
        <v>146640</v>
      </c>
      <c r="G22" s="309">
        <f t="shared" si="0"/>
        <v>1759680</v>
      </c>
      <c r="K22" s="60"/>
    </row>
    <row r="23" spans="1:11" x14ac:dyDescent="0.2">
      <c r="A23" s="305"/>
      <c r="B23" s="310" t="s">
        <v>595</v>
      </c>
      <c r="C23" s="314">
        <f>'ФОТ рабоч'!AM10</f>
        <v>0.49</v>
      </c>
      <c r="D23" s="311">
        <f>D16</f>
        <v>30000</v>
      </c>
      <c r="E23" s="311">
        <v>1.3</v>
      </c>
      <c r="F23" s="313">
        <f>C23*D23*E23</f>
        <v>19110</v>
      </c>
      <c r="G23" s="309">
        <f t="shared" si="0"/>
        <v>229320</v>
      </c>
    </row>
    <row r="24" spans="1:11" x14ac:dyDescent="0.2">
      <c r="A24" s="305"/>
      <c r="B24" s="310" t="s">
        <v>596</v>
      </c>
      <c r="C24" s="314">
        <f>'ФОТ рабоч'!AN10</f>
        <v>0.23</v>
      </c>
      <c r="D24" s="311">
        <f>D16</f>
        <v>30000</v>
      </c>
      <c r="E24" s="311">
        <v>1</v>
      </c>
      <c r="F24" s="313">
        <f>C24*D24*E24</f>
        <v>6900</v>
      </c>
      <c r="G24" s="309">
        <f t="shared" si="0"/>
        <v>82800</v>
      </c>
    </row>
    <row r="25" spans="1:11" x14ac:dyDescent="0.2">
      <c r="A25" s="305"/>
      <c r="B25" s="310" t="s">
        <v>597</v>
      </c>
      <c r="C25" s="314">
        <f>'ФОТ рабоч'!AO10</f>
        <v>0.15</v>
      </c>
      <c r="D25" s="311">
        <v>20589</v>
      </c>
      <c r="E25" s="311">
        <v>1</v>
      </c>
      <c r="F25" s="313">
        <f t="shared" ref="F25:F26" si="4">C25*D25*E25</f>
        <v>3088.35</v>
      </c>
      <c r="G25" s="309">
        <f t="shared" si="0"/>
        <v>37060.199999999997</v>
      </c>
    </row>
    <row r="26" spans="1:11" x14ac:dyDescent="0.2">
      <c r="A26" s="305"/>
      <c r="B26" s="310" t="s">
        <v>598</v>
      </c>
      <c r="C26" s="314">
        <f>'ФОТ рабоч'!AR10</f>
        <v>0.98</v>
      </c>
      <c r="D26" s="311">
        <v>20589</v>
      </c>
      <c r="E26" s="311">
        <v>1</v>
      </c>
      <c r="F26" s="313">
        <f t="shared" si="4"/>
        <v>20177.22</v>
      </c>
      <c r="G26" s="309">
        <f t="shared" si="0"/>
        <v>242126.64</v>
      </c>
    </row>
    <row r="27" spans="1:11" x14ac:dyDescent="0.2">
      <c r="A27" s="305"/>
      <c r="B27" s="312" t="s">
        <v>599</v>
      </c>
      <c r="C27" s="307" t="s">
        <v>581</v>
      </c>
      <c r="D27" s="307"/>
      <c r="E27" s="307"/>
      <c r="F27" s="309">
        <f>F15*0.302</f>
        <v>97084.649699999994</v>
      </c>
      <c r="G27" s="309">
        <f t="shared" si="0"/>
        <v>1165015.7963999999</v>
      </c>
    </row>
    <row r="28" spans="1:11" x14ac:dyDescent="0.2">
      <c r="A28" s="305" t="s">
        <v>600</v>
      </c>
      <c r="B28" s="315" t="s">
        <v>601</v>
      </c>
      <c r="C28" s="307"/>
      <c r="D28" s="307"/>
      <c r="E28" s="307"/>
      <c r="F28" s="309">
        <f>F15*1.5%</f>
        <v>4822.0852499999992</v>
      </c>
      <c r="G28" s="309">
        <f t="shared" si="0"/>
        <v>57865.022999999986</v>
      </c>
    </row>
    <row r="29" spans="1:11" ht="24" x14ac:dyDescent="0.2">
      <c r="A29" s="305" t="s">
        <v>602</v>
      </c>
      <c r="B29" s="315" t="s">
        <v>603</v>
      </c>
      <c r="C29" s="307"/>
      <c r="D29" s="307"/>
      <c r="E29" s="307"/>
      <c r="F29" s="309">
        <f>F15*35%</f>
        <v>112515.32249999998</v>
      </c>
      <c r="G29" s="309">
        <f t="shared" si="0"/>
        <v>1350183.8699999996</v>
      </c>
    </row>
    <row r="30" spans="1:11" x14ac:dyDescent="0.2">
      <c r="A30" s="305" t="s">
        <v>604</v>
      </c>
      <c r="B30" s="315" t="s">
        <v>102</v>
      </c>
      <c r="C30" s="307"/>
      <c r="D30" s="307"/>
      <c r="E30" s="307"/>
      <c r="F30" s="309">
        <f>F15*5%</f>
        <v>16073.6175</v>
      </c>
      <c r="G30" s="309">
        <f t="shared" si="0"/>
        <v>192883.41</v>
      </c>
    </row>
    <row r="31" spans="1:11" ht="15" customHeight="1" x14ac:dyDescent="0.2">
      <c r="A31" s="305" t="s">
        <v>605</v>
      </c>
      <c r="B31" s="315" t="s">
        <v>103</v>
      </c>
      <c r="C31" s="307"/>
      <c r="D31" s="307"/>
      <c r="E31" s="307"/>
      <c r="F31" s="309">
        <f>F15*0.2%</f>
        <v>642.94470000000001</v>
      </c>
      <c r="G31" s="309">
        <f t="shared" si="0"/>
        <v>7715.3364000000001</v>
      </c>
    </row>
    <row r="32" spans="1:11" x14ac:dyDescent="0.2">
      <c r="A32" s="305" t="s">
        <v>206</v>
      </c>
      <c r="B32" s="315" t="s">
        <v>606</v>
      </c>
      <c r="C32" s="307"/>
      <c r="D32" s="307"/>
      <c r="E32" s="307"/>
      <c r="F32" s="309">
        <f>F11*0.1</f>
        <v>80802.430965000007</v>
      </c>
      <c r="G32" s="309">
        <f t="shared" si="0"/>
        <v>969629.17158000008</v>
      </c>
    </row>
    <row r="33" spans="1:9" x14ac:dyDescent="0.2">
      <c r="A33" s="305"/>
      <c r="B33" s="316" t="s">
        <v>607</v>
      </c>
      <c r="C33" s="317"/>
      <c r="D33" s="317"/>
      <c r="E33" s="317"/>
      <c r="F33" s="318">
        <f>F11+F32</f>
        <v>888826.74061500002</v>
      </c>
      <c r="G33" s="318">
        <f t="shared" si="0"/>
        <v>10665920.88738</v>
      </c>
    </row>
    <row r="34" spans="1:9" x14ac:dyDescent="0.2">
      <c r="A34" s="305"/>
      <c r="B34" s="316" t="s">
        <v>608</v>
      </c>
      <c r="C34" s="317"/>
      <c r="D34" s="317"/>
      <c r="E34" s="317"/>
      <c r="F34" s="318">
        <f>F33*20%</f>
        <v>177765.348123</v>
      </c>
      <c r="G34" s="318">
        <f t="shared" si="0"/>
        <v>2133184.177476</v>
      </c>
    </row>
    <row r="35" spans="1:9" ht="15" x14ac:dyDescent="0.2">
      <c r="A35" s="319"/>
      <c r="B35" s="320" t="s">
        <v>609</v>
      </c>
      <c r="C35" s="321"/>
      <c r="D35" s="321"/>
      <c r="E35" s="321"/>
      <c r="F35" s="322">
        <f>F33+F34</f>
        <v>1066592.088738</v>
      </c>
      <c r="G35" s="322">
        <f>G33+G34</f>
        <v>12799105.064856</v>
      </c>
      <c r="H35" s="61"/>
      <c r="I35" s="60"/>
    </row>
    <row r="36" spans="1:9" hidden="1" x14ac:dyDescent="0.2">
      <c r="A36" s="323"/>
      <c r="B36" s="324" t="s">
        <v>610</v>
      </c>
      <c r="C36" s="323"/>
      <c r="D36" s="323"/>
      <c r="E36" s="323"/>
      <c r="F36" s="325" t="e">
        <f>ROUND(F35/(#REF!+#REF!),2)</f>
        <v>#REF!</v>
      </c>
      <c r="G36" s="20"/>
    </row>
    <row r="37" spans="1:9" x14ac:dyDescent="0.2">
      <c r="A37" s="20"/>
      <c r="B37" s="20"/>
      <c r="C37" s="20"/>
      <c r="D37" s="20"/>
      <c r="E37" s="20"/>
      <c r="F37" s="20"/>
      <c r="G37" s="326"/>
      <c r="H37" s="61"/>
    </row>
    <row r="38" spans="1:9" x14ac:dyDescent="0.2">
      <c r="G38" s="61"/>
    </row>
    <row r="39" spans="1:9" ht="15.75" x14ac:dyDescent="0.25">
      <c r="A39" s="327"/>
      <c r="B39" s="327"/>
      <c r="C39" s="328"/>
      <c r="D39" s="327"/>
      <c r="E39" s="327"/>
      <c r="F39" s="327"/>
      <c r="G39" s="327"/>
    </row>
    <row r="40" spans="1:9" ht="15.75" x14ac:dyDescent="0.25">
      <c r="A40" s="327"/>
      <c r="B40" s="327"/>
      <c r="C40" s="328"/>
      <c r="D40" s="327"/>
      <c r="E40" s="327"/>
      <c r="F40" s="327"/>
      <c r="G40" s="327"/>
    </row>
    <row r="41" spans="1:9" ht="15.75" x14ac:dyDescent="0.25">
      <c r="A41" s="327"/>
      <c r="B41" s="327"/>
      <c r="C41" s="328"/>
      <c r="D41" s="327"/>
      <c r="E41" s="327"/>
      <c r="F41" s="327"/>
      <c r="G41" s="327"/>
    </row>
  </sheetData>
  <mergeCells count="5">
    <mergeCell ref="D2:F2"/>
    <mergeCell ref="A4:G4"/>
    <mergeCell ref="F5:G5"/>
    <mergeCell ref="B6:C6"/>
    <mergeCell ref="A7:F7"/>
  </mergeCells>
  <pageMargins left="0.9055118110236221" right="0.11811023622047245" top="0.74803149606299213" bottom="0.74803149606299213" header="0.31496062992125984" footer="0.31496062992125984"/>
  <pageSetup paperSize="9" scale="8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T15"/>
  <sheetViews>
    <sheetView workbookViewId="0">
      <selection activeCell="J8" sqref="J8"/>
    </sheetView>
  </sheetViews>
  <sheetFormatPr defaultRowHeight="12.75" x14ac:dyDescent="0.2"/>
  <cols>
    <col min="1" max="1" width="2.7109375" style="330" customWidth="1"/>
    <col min="2" max="2" width="28.5703125" style="330" customWidth="1"/>
    <col min="3" max="3" width="9.28515625" style="330" customWidth="1"/>
    <col min="4" max="4" width="5.42578125" style="330" customWidth="1"/>
    <col min="5" max="5" width="10.7109375" style="330" customWidth="1"/>
    <col min="6" max="6" width="9.85546875" style="330" customWidth="1"/>
    <col min="7" max="7" width="10" style="330" customWidth="1"/>
    <col min="8" max="8" width="12" style="330" customWidth="1"/>
    <col min="9" max="9" width="11.42578125" style="330" customWidth="1"/>
    <col min="10" max="10" width="13" style="330" customWidth="1"/>
    <col min="11" max="11" width="21.5703125" style="330" customWidth="1"/>
    <col min="12" max="12" width="7" style="330" customWidth="1"/>
    <col min="13" max="15" width="9.140625" style="330"/>
    <col min="16" max="16" width="12.5703125" style="330" customWidth="1"/>
    <col min="17" max="18" width="9.140625" style="330"/>
    <col min="19" max="19" width="14.28515625" style="330" customWidth="1"/>
    <col min="20" max="16384" width="9.140625" style="330"/>
  </cols>
  <sheetData>
    <row r="1" spans="1:20" ht="12.75" customHeight="1" x14ac:dyDescent="0.2">
      <c r="A1" s="329"/>
      <c r="B1" s="329"/>
      <c r="C1" s="329"/>
      <c r="D1" s="329"/>
      <c r="E1" s="329"/>
      <c r="F1" s="329"/>
      <c r="G1" s="329"/>
      <c r="H1" s="329"/>
      <c r="I1" s="329"/>
      <c r="J1" s="329"/>
    </row>
    <row r="2" spans="1:20" ht="28.5" customHeight="1" x14ac:dyDescent="0.2">
      <c r="A2" s="329"/>
      <c r="B2" s="329" t="s">
        <v>611</v>
      </c>
      <c r="C2" s="329">
        <v>31.89</v>
      </c>
      <c r="D2" s="458"/>
      <c r="E2" s="458"/>
      <c r="F2" s="329"/>
      <c r="G2" s="329"/>
      <c r="H2" s="329"/>
      <c r="I2" s="329"/>
      <c r="J2" s="329"/>
    </row>
    <row r="3" spans="1:20" ht="13.5" customHeight="1" x14ac:dyDescent="0.2">
      <c r="A3" s="329"/>
      <c r="B3" s="329">
        <v>2021</v>
      </c>
      <c r="C3" s="329"/>
      <c r="D3" s="66"/>
      <c r="E3" s="329"/>
      <c r="F3" s="329"/>
      <c r="G3" s="329"/>
      <c r="H3" s="329"/>
      <c r="I3" s="329"/>
      <c r="J3" s="329"/>
    </row>
    <row r="5" spans="1:20" ht="60.75" customHeight="1" x14ac:dyDescent="0.2">
      <c r="F5" s="331"/>
      <c r="G5" s="332" t="s">
        <v>612</v>
      </c>
      <c r="H5" s="333"/>
      <c r="I5" s="333"/>
      <c r="J5" s="333"/>
    </row>
    <row r="6" spans="1:20" ht="96.75" customHeight="1" x14ac:dyDescent="0.2">
      <c r="A6" s="80" t="s">
        <v>59</v>
      </c>
      <c r="B6" s="80" t="s">
        <v>0</v>
      </c>
      <c r="C6" s="80" t="s">
        <v>613</v>
      </c>
      <c r="D6" s="33" t="s">
        <v>60</v>
      </c>
      <c r="E6" s="82" t="s">
        <v>2</v>
      </c>
      <c r="F6" s="82" t="s">
        <v>4</v>
      </c>
      <c r="G6" s="82" t="s">
        <v>614</v>
      </c>
      <c r="H6" s="34" t="s">
        <v>615</v>
      </c>
      <c r="I6" s="334" t="s">
        <v>616</v>
      </c>
      <c r="J6" s="335" t="s">
        <v>617</v>
      </c>
      <c r="K6" s="336"/>
    </row>
    <row r="7" spans="1:20" x14ac:dyDescent="0.2">
      <c r="A7" s="32"/>
      <c r="B7" s="32"/>
      <c r="C7" s="32"/>
      <c r="D7" s="32"/>
      <c r="E7" s="32"/>
      <c r="F7" s="32"/>
      <c r="G7" s="32"/>
      <c r="H7" s="337"/>
      <c r="I7" s="337"/>
      <c r="J7" s="337"/>
      <c r="K7" s="95"/>
    </row>
    <row r="8" spans="1:20" ht="21.75" customHeight="1" x14ac:dyDescent="0.2">
      <c r="A8" s="95"/>
      <c r="B8" s="338" t="str">
        <f>'[2]свод- исходные'!B7</f>
        <v>пр-д Серебрякова, 11/1</v>
      </c>
      <c r="C8" s="339" t="s">
        <v>618</v>
      </c>
      <c r="D8" s="96">
        <v>2019</v>
      </c>
      <c r="E8" s="96">
        <f>'[2]свод- исходные'!K7</f>
        <v>74726.399999999994</v>
      </c>
      <c r="F8" s="340">
        <f>'[2]свод- исходные'!L7</f>
        <v>64464.5</v>
      </c>
      <c r="G8" s="341">
        <v>7018.1</v>
      </c>
      <c r="H8" s="341">
        <f>(F8+G8)*C3</f>
        <v>0</v>
      </c>
      <c r="I8" s="342">
        <f>ROUND(F8*C2,2)</f>
        <v>2055772.91</v>
      </c>
      <c r="J8" s="343">
        <f>ROUND((F8+G8)*C2*12,2)</f>
        <v>27354961.370000001</v>
      </c>
      <c r="K8" s="66" t="s">
        <v>619</v>
      </c>
      <c r="S8" s="71">
        <f>958827.89+2287353.1+250440.12+648759.17+3415526.21+1855642.03+892043.86+314839.01+197966.95+212277.82</f>
        <v>11033676.159999998</v>
      </c>
      <c r="T8" s="66" t="s">
        <v>620</v>
      </c>
    </row>
    <row r="9" spans="1:20" x14ac:dyDescent="0.2">
      <c r="F9" s="344"/>
    </row>
    <row r="15" spans="1:20" x14ac:dyDescent="0.2">
      <c r="D15" s="66"/>
    </row>
  </sheetData>
  <mergeCells count="1">
    <mergeCell ref="D2:E2"/>
  </mergeCells>
  <pageMargins left="0.19685039370078741" right="0.19685039370078741" top="0.59055118110236227" bottom="0.19685039370078741" header="0.51181102362204722" footer="0.51181102362204722"/>
  <pageSetup paperSize="9" scale="70" fitToHeight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4:J11"/>
  <sheetViews>
    <sheetView workbookViewId="0">
      <selection activeCell="M14" sqref="M14:P14"/>
    </sheetView>
  </sheetViews>
  <sheetFormatPr defaultRowHeight="15" x14ac:dyDescent="0.2"/>
  <cols>
    <col min="1" max="1" width="31.7109375" style="347" customWidth="1"/>
    <col min="2" max="2" width="11.140625" style="347" customWidth="1"/>
    <col min="3" max="3" width="7.85546875" style="347" customWidth="1"/>
    <col min="4" max="4" width="8.140625" style="347" customWidth="1"/>
    <col min="5" max="6" width="9.140625" style="347"/>
    <col min="7" max="7" width="7.85546875" style="347" customWidth="1"/>
    <col min="8" max="9" width="10.85546875" style="347" customWidth="1"/>
    <col min="10" max="10" width="14" style="347" customWidth="1"/>
    <col min="11" max="16384" width="9.140625" style="347"/>
  </cols>
  <sheetData>
    <row r="4" spans="1:10" ht="30" x14ac:dyDescent="0.2">
      <c r="A4" s="345" t="s">
        <v>621</v>
      </c>
      <c r="B4" s="346" t="s">
        <v>622</v>
      </c>
      <c r="C4" s="346" t="s">
        <v>61</v>
      </c>
      <c r="D4" s="346" t="s">
        <v>623</v>
      </c>
      <c r="E4" s="346" t="s">
        <v>624</v>
      </c>
      <c r="F4" s="346" t="s">
        <v>625</v>
      </c>
      <c r="G4" s="346" t="s">
        <v>626</v>
      </c>
      <c r="H4" s="459" t="s">
        <v>627</v>
      </c>
      <c r="I4" s="460"/>
      <c r="J4" s="461"/>
    </row>
    <row r="5" spans="1:10" x14ac:dyDescent="0.2">
      <c r="A5" s="345"/>
      <c r="B5" s="345"/>
      <c r="C5" s="345"/>
      <c r="D5" s="345"/>
      <c r="E5" s="345"/>
      <c r="F5" s="345"/>
      <c r="G5" s="345"/>
      <c r="H5" s="345" t="s">
        <v>628</v>
      </c>
      <c r="I5" s="345"/>
      <c r="J5" s="345" t="s">
        <v>629</v>
      </c>
    </row>
    <row r="6" spans="1:10" x14ac:dyDescent="0.2">
      <c r="A6" s="345"/>
      <c r="B6" s="345"/>
      <c r="C6" s="345"/>
      <c r="D6" s="345"/>
      <c r="E6" s="345"/>
      <c r="F6" s="345"/>
      <c r="G6" s="345"/>
      <c r="H6" s="345"/>
      <c r="I6" s="345"/>
      <c r="J6" s="345"/>
    </row>
    <row r="7" spans="1:10" x14ac:dyDescent="0.2">
      <c r="A7" s="345" t="s">
        <v>630</v>
      </c>
      <c r="B7" s="345">
        <v>2</v>
      </c>
      <c r="C7" s="348">
        <v>7</v>
      </c>
      <c r="D7" s="348">
        <v>4</v>
      </c>
      <c r="E7" s="345">
        <v>7365.28</v>
      </c>
      <c r="F7" s="345">
        <v>726.96</v>
      </c>
      <c r="G7" s="345"/>
      <c r="H7" s="349">
        <f>(F7*5+E7)*D7</f>
        <v>44000.32</v>
      </c>
      <c r="I7" s="349">
        <f>H7/D7</f>
        <v>11000.08</v>
      </c>
      <c r="J7" s="349">
        <f>H7*12</f>
        <v>528003.83999999997</v>
      </c>
    </row>
    <row r="8" spans="1:10" x14ac:dyDescent="0.2">
      <c r="A8" s="345" t="s">
        <v>630</v>
      </c>
      <c r="B8" s="345">
        <v>5</v>
      </c>
      <c r="C8" s="348">
        <v>16</v>
      </c>
      <c r="D8" s="348">
        <v>10</v>
      </c>
      <c r="E8" s="345">
        <v>7365.28</v>
      </c>
      <c r="F8" s="345">
        <v>726.96</v>
      </c>
      <c r="G8" s="345"/>
      <c r="H8" s="349">
        <f>(F8*14+E8)*D8</f>
        <v>175427.20000000001</v>
      </c>
      <c r="I8" s="349">
        <f>H8/D8</f>
        <v>17542.72</v>
      </c>
      <c r="J8" s="349">
        <f>H8*12</f>
        <v>2105126.4000000004</v>
      </c>
    </row>
    <row r="9" spans="1:10" x14ac:dyDescent="0.2">
      <c r="A9" s="345" t="s">
        <v>630</v>
      </c>
      <c r="B9" s="345">
        <v>6</v>
      </c>
      <c r="C9" s="348">
        <v>20</v>
      </c>
      <c r="D9" s="348">
        <v>12</v>
      </c>
      <c r="E9" s="345">
        <v>7365.28</v>
      </c>
      <c r="F9" s="345">
        <v>726.96</v>
      </c>
      <c r="G9" s="345">
        <v>1.2</v>
      </c>
      <c r="H9" s="349">
        <f>((F9*18+E9)*D9)*G9</f>
        <v>294488.06400000001</v>
      </c>
      <c r="I9" s="349">
        <f>H9/D9</f>
        <v>24540.672000000002</v>
      </c>
      <c r="J9" s="349">
        <f>H9*12</f>
        <v>3533856.7680000002</v>
      </c>
    </row>
    <row r="10" spans="1:10" x14ac:dyDescent="0.2">
      <c r="A10" s="350" t="s">
        <v>631</v>
      </c>
      <c r="B10" s="345"/>
      <c r="C10" s="348"/>
      <c r="D10" s="348">
        <v>8</v>
      </c>
      <c r="E10" s="345">
        <v>7365.28</v>
      </c>
      <c r="F10" s="345"/>
      <c r="G10" s="345"/>
      <c r="H10" s="349">
        <f>D10*E10</f>
        <v>58922.239999999998</v>
      </c>
      <c r="I10" s="349">
        <f>H10/D10</f>
        <v>7365.28</v>
      </c>
      <c r="J10" s="349">
        <f>H10*12</f>
        <v>707066.88</v>
      </c>
    </row>
    <row r="11" spans="1:10" x14ac:dyDescent="0.2">
      <c r="A11" s="345"/>
      <c r="B11" s="345"/>
      <c r="C11" s="345"/>
      <c r="D11" s="345"/>
      <c r="E11" s="345"/>
      <c r="F11" s="345"/>
      <c r="G11" s="345"/>
      <c r="H11" s="349"/>
      <c r="I11" s="349"/>
      <c r="J11" s="351">
        <f>SUM(J7:J10)</f>
        <v>6874053.8880000003</v>
      </c>
    </row>
  </sheetData>
  <mergeCells count="1">
    <mergeCell ref="H4:J4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W11"/>
  <sheetViews>
    <sheetView workbookViewId="0">
      <selection activeCell="M14" sqref="M14:P14"/>
    </sheetView>
  </sheetViews>
  <sheetFormatPr defaultRowHeight="12.75" x14ac:dyDescent="0.2"/>
  <cols>
    <col min="1" max="1" width="4" customWidth="1"/>
    <col min="2" max="2" width="29.5703125" customWidth="1"/>
    <col min="3" max="3" width="12" customWidth="1"/>
    <col min="4" max="4" width="7.140625" customWidth="1"/>
    <col min="5" max="5" width="6.7109375" customWidth="1"/>
    <col min="6" max="6" width="9.140625" bestFit="1" customWidth="1"/>
    <col min="7" max="7" width="10.140625" customWidth="1"/>
    <col min="8" max="9" width="15" customWidth="1"/>
    <col min="10" max="10" width="16.140625" customWidth="1"/>
    <col min="11" max="11" width="11.28515625" customWidth="1"/>
    <col min="12" max="18" width="11.28515625" style="4" customWidth="1"/>
    <col min="19" max="19" width="12" customWidth="1"/>
    <col min="22" max="22" width="31.140625" customWidth="1"/>
  </cols>
  <sheetData>
    <row r="2" spans="1:23" ht="32.25" customHeight="1" x14ac:dyDescent="0.3">
      <c r="B2" s="462" t="s">
        <v>632</v>
      </c>
      <c r="C2" s="462"/>
      <c r="D2" s="462"/>
      <c r="E2" s="462"/>
      <c r="F2" s="462"/>
      <c r="G2" s="462"/>
      <c r="H2" s="352"/>
      <c r="I2" s="352"/>
      <c r="J2" s="353"/>
      <c r="K2" s="353"/>
      <c r="L2" s="354"/>
      <c r="M2" s="354"/>
      <c r="N2" s="354"/>
      <c r="O2" s="354"/>
      <c r="P2" s="354"/>
      <c r="Q2" s="354"/>
      <c r="R2" s="354"/>
    </row>
    <row r="3" spans="1:23" x14ac:dyDescent="0.2">
      <c r="S3" s="4"/>
      <c r="T3" s="4"/>
      <c r="U3" s="4"/>
      <c r="V3" s="355"/>
      <c r="W3" s="4"/>
    </row>
    <row r="4" spans="1:23" s="363" customFormat="1" ht="122.25" customHeight="1" x14ac:dyDescent="0.2">
      <c r="A4" s="356" t="s">
        <v>59</v>
      </c>
      <c r="B4" s="356" t="s">
        <v>0</v>
      </c>
      <c r="C4" s="356" t="s">
        <v>2</v>
      </c>
      <c r="D4" s="357" t="s">
        <v>61</v>
      </c>
      <c r="E4" s="358" t="s">
        <v>633</v>
      </c>
      <c r="F4" s="359" t="s">
        <v>634</v>
      </c>
      <c r="G4" s="359" t="s">
        <v>635</v>
      </c>
      <c r="H4" s="359" t="s">
        <v>636</v>
      </c>
      <c r="I4" s="359" t="s">
        <v>637</v>
      </c>
      <c r="J4" s="359" t="s">
        <v>638</v>
      </c>
      <c r="K4" s="360"/>
      <c r="L4" s="360"/>
      <c r="M4" s="360"/>
      <c r="N4" s="361"/>
      <c r="O4" s="19"/>
      <c r="P4" s="362"/>
      <c r="Q4" s="362"/>
      <c r="R4" s="362"/>
      <c r="S4" s="362"/>
      <c r="T4" s="362"/>
      <c r="U4" s="362"/>
      <c r="V4" s="362"/>
      <c r="W4" s="362"/>
    </row>
    <row r="5" spans="1:23" x14ac:dyDescent="0.2">
      <c r="A5" s="45"/>
      <c r="B5" s="364" t="str">
        <f>'[2]свод- исходные'!B7</f>
        <v>пр-д Серебрякова, 11/1</v>
      </c>
      <c r="C5" s="365">
        <f>'[2]свод- исходные'!K7</f>
        <v>74726.399999999994</v>
      </c>
      <c r="D5" s="366">
        <v>20</v>
      </c>
      <c r="E5" s="366">
        <v>5</v>
      </c>
      <c r="F5" s="367">
        <v>11917.04</v>
      </c>
      <c r="G5" s="368">
        <f>E5*F5</f>
        <v>59585.200000000004</v>
      </c>
      <c r="H5" s="369">
        <v>3</v>
      </c>
      <c r="I5" s="368">
        <f>H5*C5*12</f>
        <v>2690150.3999999999</v>
      </c>
      <c r="J5" s="106">
        <f>G5*1.2*12+I5</f>
        <v>3548177.2800000003</v>
      </c>
      <c r="K5" s="370"/>
      <c r="L5" s="370"/>
      <c r="M5" s="370"/>
      <c r="N5" s="370"/>
      <c r="O5" s="14"/>
      <c r="P5" s="14"/>
      <c r="Q5" s="14"/>
      <c r="R5" s="14"/>
    </row>
    <row r="6" spans="1:23" x14ac:dyDescent="0.2">
      <c r="A6" s="45"/>
      <c r="B6" s="45"/>
      <c r="C6" s="45"/>
      <c r="D6" s="371">
        <v>16</v>
      </c>
      <c r="E6" s="371">
        <v>4</v>
      </c>
      <c r="F6" s="367">
        <v>7133.64</v>
      </c>
      <c r="G6" s="368">
        <f t="shared" ref="G6:G7" si="0">E6*F6</f>
        <v>28534.560000000001</v>
      </c>
      <c r="H6" s="45"/>
      <c r="I6" s="45"/>
      <c r="J6" s="106">
        <f t="shared" ref="J6:J7" si="1">G6*1.2*12+I6</f>
        <v>410897.66399999999</v>
      </c>
      <c r="K6" s="45"/>
      <c r="L6" s="45"/>
      <c r="M6" s="45"/>
      <c r="N6" s="45"/>
    </row>
    <row r="7" spans="1:23" x14ac:dyDescent="0.2">
      <c r="A7" s="45"/>
      <c r="B7" s="45"/>
      <c r="C7" s="45"/>
      <c r="D7" s="371">
        <v>7</v>
      </c>
      <c r="E7" s="371">
        <v>2</v>
      </c>
      <c r="F7" s="367">
        <v>0</v>
      </c>
      <c r="G7" s="368">
        <f t="shared" si="0"/>
        <v>0</v>
      </c>
      <c r="H7" s="45"/>
      <c r="I7" s="45"/>
      <c r="J7" s="106">
        <f t="shared" si="1"/>
        <v>0</v>
      </c>
      <c r="K7" s="45"/>
      <c r="L7" s="45"/>
      <c r="M7" s="45"/>
      <c r="N7" s="45"/>
    </row>
    <row r="8" spans="1:23" x14ac:dyDescent="0.2">
      <c r="A8" s="45"/>
      <c r="B8" s="45"/>
      <c r="C8" s="45"/>
      <c r="D8" s="45"/>
      <c r="E8" s="45"/>
      <c r="F8" s="45"/>
      <c r="G8" s="45"/>
      <c r="H8" s="45"/>
      <c r="I8" s="45"/>
      <c r="J8" s="361">
        <f>SUM(J5:J7)</f>
        <v>3959074.9440000001</v>
      </c>
      <c r="K8" s="45"/>
      <c r="L8" s="45"/>
      <c r="M8" s="45"/>
      <c r="N8" s="45"/>
    </row>
    <row r="9" spans="1:23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23" x14ac:dyDescent="0.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1:23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</sheetData>
  <mergeCells count="1">
    <mergeCell ref="B2:G2"/>
  </mergeCell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2:P34"/>
  <sheetViews>
    <sheetView topLeftCell="A13" workbookViewId="0">
      <selection activeCell="B9" sqref="B9"/>
    </sheetView>
  </sheetViews>
  <sheetFormatPr defaultRowHeight="12.75" x14ac:dyDescent="0.2"/>
  <cols>
    <col min="1" max="1" width="3.85546875" customWidth="1"/>
    <col min="2" max="2" width="32.28515625" customWidth="1"/>
    <col min="3" max="3" width="9.7109375" customWidth="1"/>
    <col min="4" max="4" width="10" customWidth="1"/>
    <col min="5" max="5" width="9.42578125" customWidth="1"/>
    <col min="6" max="6" width="9.7109375" customWidth="1"/>
    <col min="7" max="7" width="9.140625" customWidth="1"/>
    <col min="8" max="8" width="13" customWidth="1"/>
    <col min="9" max="9" width="14.85546875" customWidth="1"/>
    <col min="10" max="10" width="15.42578125" customWidth="1"/>
    <col min="11" max="11" width="12.7109375" customWidth="1"/>
    <col min="12" max="12" width="14.7109375" customWidth="1"/>
    <col min="13" max="13" width="11.5703125" style="66" customWidth="1"/>
    <col min="14" max="14" width="10.28515625" customWidth="1"/>
    <col min="15" max="15" width="12.5703125" customWidth="1"/>
    <col min="16" max="16" width="14" customWidth="1"/>
    <col min="17" max="17" width="10.28515625" customWidth="1"/>
  </cols>
  <sheetData>
    <row r="2" spans="1:16" ht="28.5" customHeight="1" x14ac:dyDescent="0.2">
      <c r="B2" s="372" t="s">
        <v>639</v>
      </c>
      <c r="C2" s="372"/>
      <c r="D2" s="372" t="s">
        <v>640</v>
      </c>
      <c r="E2" s="373">
        <v>1.45</v>
      </c>
      <c r="F2" s="372" t="s">
        <v>641</v>
      </c>
      <c r="G2" s="463" t="s">
        <v>642</v>
      </c>
      <c r="H2" s="463"/>
      <c r="I2" s="463"/>
      <c r="J2" s="374"/>
      <c r="K2" s="374"/>
      <c r="M2" s="66" t="s">
        <v>643</v>
      </c>
    </row>
    <row r="3" spans="1:16" ht="28.5" customHeight="1" x14ac:dyDescent="0.2">
      <c r="B3" s="1"/>
      <c r="C3" s="1"/>
      <c r="D3" s="372" t="s">
        <v>644</v>
      </c>
      <c r="E3" s="373">
        <v>0.46</v>
      </c>
      <c r="F3" s="372" t="s">
        <v>641</v>
      </c>
      <c r="G3" s="443" t="s">
        <v>645</v>
      </c>
      <c r="H3" s="443"/>
      <c r="I3" s="26"/>
      <c r="J3" s="26"/>
      <c r="K3" s="26"/>
      <c r="M3" s="66">
        <v>400</v>
      </c>
      <c r="N3" t="s">
        <v>646</v>
      </c>
      <c r="P3" s="375" t="s">
        <v>647</v>
      </c>
    </row>
    <row r="4" spans="1:16" x14ac:dyDescent="0.2">
      <c r="B4" s="1"/>
      <c r="C4" s="1"/>
      <c r="D4" s="372"/>
      <c r="E4" s="373"/>
      <c r="F4" s="372"/>
      <c r="G4" s="26"/>
      <c r="H4" s="26"/>
      <c r="I4" s="26"/>
      <c r="J4" s="26"/>
      <c r="K4" s="26"/>
    </row>
    <row r="5" spans="1:16" ht="15.75" customHeight="1" x14ac:dyDescent="0.2">
      <c r="B5" s="1"/>
      <c r="C5" s="1"/>
      <c r="D5" s="376"/>
      <c r="E5" s="377"/>
      <c r="F5" s="376"/>
      <c r="G5" s="26"/>
      <c r="H5" s="26"/>
      <c r="I5" s="26"/>
      <c r="J5" s="26"/>
      <c r="K5" s="26"/>
      <c r="L5" s="26"/>
    </row>
    <row r="6" spans="1:16" x14ac:dyDescent="0.2">
      <c r="D6" s="431" t="s">
        <v>648</v>
      </c>
      <c r="E6" s="432"/>
      <c r="F6" s="432"/>
      <c r="G6" s="432"/>
      <c r="H6" s="432"/>
      <c r="I6" s="433"/>
      <c r="J6" s="378"/>
      <c r="K6" s="378"/>
      <c r="L6" s="379"/>
    </row>
    <row r="7" spans="1:16" ht="112.5" customHeight="1" x14ac:dyDescent="0.2">
      <c r="A7" s="80" t="s">
        <v>59</v>
      </c>
      <c r="B7" s="80" t="s">
        <v>0</v>
      </c>
      <c r="C7" s="80" t="s">
        <v>649</v>
      </c>
      <c r="D7" s="380" t="s">
        <v>650</v>
      </c>
      <c r="E7" s="380" t="s">
        <v>651</v>
      </c>
      <c r="F7" s="381" t="s">
        <v>652</v>
      </c>
      <c r="G7" s="381" t="s">
        <v>653</v>
      </c>
      <c r="H7" s="381" t="s">
        <v>654</v>
      </c>
      <c r="I7" s="381" t="s">
        <v>655</v>
      </c>
      <c r="J7" s="381" t="s">
        <v>656</v>
      </c>
      <c r="K7" s="381" t="s">
        <v>657</v>
      </c>
      <c r="L7" s="382" t="s">
        <v>658</v>
      </c>
      <c r="M7" s="383"/>
      <c r="N7" s="4"/>
      <c r="O7" t="s">
        <v>659</v>
      </c>
    </row>
    <row r="8" spans="1:16" x14ac:dyDescent="0.2">
      <c r="A8" s="32"/>
      <c r="B8" s="32"/>
      <c r="C8" s="32"/>
      <c r="D8" s="384"/>
      <c r="E8" s="384"/>
      <c r="F8" s="385"/>
      <c r="G8" s="385"/>
      <c r="H8" s="385"/>
      <c r="I8" s="385"/>
      <c r="J8" s="385"/>
      <c r="K8" s="385"/>
      <c r="L8" s="386"/>
      <c r="M8" s="387"/>
    </row>
    <row r="9" spans="1:16" x14ac:dyDescent="0.2">
      <c r="A9" s="95">
        <v>1</v>
      </c>
      <c r="B9" s="339" t="e">
        <f>'[2]свод- исходные'!#REF!</f>
        <v>#REF!</v>
      </c>
      <c r="C9" s="339" t="e">
        <f>'[2]свод- исходные'!#REF!</f>
        <v>#REF!</v>
      </c>
      <c r="D9" s="388" t="e">
        <f>'[2]свод- исходные'!#REF!</f>
        <v>#REF!</v>
      </c>
      <c r="E9" s="389" t="s">
        <v>660</v>
      </c>
      <c r="F9" s="390" t="e">
        <f>D9*$E$2/12</f>
        <v>#REF!</v>
      </c>
      <c r="G9" s="390" t="e">
        <f>D9*$E$3/12</f>
        <v>#REF!</v>
      </c>
      <c r="H9" s="390" t="e">
        <f>D9*$E$2</f>
        <v>#REF!</v>
      </c>
      <c r="I9" s="390" t="e">
        <f>D9*$E$3</f>
        <v>#REF!</v>
      </c>
      <c r="J9" s="390" t="e">
        <f>H9/365</f>
        <v>#REF!</v>
      </c>
      <c r="K9" s="390" t="e">
        <f>I9/365</f>
        <v>#REF!</v>
      </c>
      <c r="L9" s="391" t="e">
        <f>H9+I9</f>
        <v>#REF!</v>
      </c>
      <c r="M9" s="361" t="e">
        <f>L9*M3*1.18</f>
        <v>#REF!</v>
      </c>
      <c r="O9" s="61"/>
    </row>
    <row r="10" spans="1:16" x14ac:dyDescent="0.2">
      <c r="A10" s="95">
        <v>2</v>
      </c>
      <c r="B10" s="339" t="str">
        <f>'[2]свод- исходные'!B7</f>
        <v>пр-д Серебрякова, 11/1</v>
      </c>
      <c r="C10" s="339">
        <f>'[2]свод- исходные'!G7</f>
        <v>805</v>
      </c>
      <c r="D10" s="388">
        <f>C10*1.7</f>
        <v>1368.5</v>
      </c>
      <c r="E10" s="389" t="s">
        <v>660</v>
      </c>
      <c r="F10" s="390">
        <f>D10*$E$2/12</f>
        <v>165.36041666666668</v>
      </c>
      <c r="G10" s="390">
        <f>D10*$E$3/12</f>
        <v>52.459166666666668</v>
      </c>
      <c r="H10" s="390">
        <f>D10*$E$2</f>
        <v>1984.325</v>
      </c>
      <c r="I10" s="390">
        <f>D10*$E$3</f>
        <v>629.51</v>
      </c>
      <c r="J10" s="390">
        <f>H10/365</f>
        <v>5.4365068493150686</v>
      </c>
      <c r="K10" s="390">
        <f>I10/365</f>
        <v>1.7246849315068493</v>
      </c>
      <c r="L10" s="391">
        <f>H10+I10</f>
        <v>2613.835</v>
      </c>
      <c r="M10" s="361">
        <f>L10*M3*1.18</f>
        <v>1233730.1199999999</v>
      </c>
    </row>
    <row r="11" spans="1:16" x14ac:dyDescent="0.2">
      <c r="L11" s="61"/>
    </row>
    <row r="12" spans="1:16" x14ac:dyDescent="0.2">
      <c r="L12" s="61"/>
    </row>
    <row r="14" spans="1:16" x14ac:dyDescent="0.2">
      <c r="L14" s="61"/>
    </row>
    <row r="15" spans="1:16" x14ac:dyDescent="0.2">
      <c r="B15" t="s">
        <v>661</v>
      </c>
      <c r="F15" s="79" t="s">
        <v>662</v>
      </c>
    </row>
    <row r="16" spans="1:16" x14ac:dyDescent="0.2">
      <c r="B16" t="s">
        <v>663</v>
      </c>
      <c r="D16" s="416">
        <v>847.63</v>
      </c>
      <c r="E16" s="416"/>
      <c r="F16" s="464">
        <f>D16+D17</f>
        <v>1133.26</v>
      </c>
    </row>
    <row r="17" spans="1:15" x14ac:dyDescent="0.2">
      <c r="B17" t="s">
        <v>664</v>
      </c>
      <c r="D17" s="416">
        <v>285.63</v>
      </c>
      <c r="E17" s="416"/>
      <c r="F17" s="464"/>
    </row>
    <row r="18" spans="1:15" x14ac:dyDescent="0.2">
      <c r="F18" s="79" t="s">
        <v>665</v>
      </c>
    </row>
    <row r="19" spans="1:15" x14ac:dyDescent="0.2">
      <c r="B19" t="s">
        <v>666</v>
      </c>
      <c r="F19" s="60">
        <f>F16/5.33</f>
        <v>212.61913696060037</v>
      </c>
      <c r="G19" t="s">
        <v>667</v>
      </c>
      <c r="H19" t="s">
        <v>668</v>
      </c>
    </row>
    <row r="20" spans="1:15" x14ac:dyDescent="0.2">
      <c r="F20" s="60">
        <f>F19*1.18</f>
        <v>250.89058161350843</v>
      </c>
      <c r="G20" t="s">
        <v>667</v>
      </c>
      <c r="H20" t="s">
        <v>669</v>
      </c>
    </row>
    <row r="21" spans="1:15" x14ac:dyDescent="0.2">
      <c r="B21" t="s">
        <v>670</v>
      </c>
    </row>
    <row r="22" spans="1:15" x14ac:dyDescent="0.2">
      <c r="B22" t="s">
        <v>671</v>
      </c>
    </row>
    <row r="25" spans="1:15" ht="126" x14ac:dyDescent="0.2">
      <c r="A25" s="375" t="s">
        <v>59</v>
      </c>
      <c r="B25" s="375" t="s">
        <v>672</v>
      </c>
      <c r="C25" s="375" t="s">
        <v>673</v>
      </c>
      <c r="D25" s="392" t="s">
        <v>674</v>
      </c>
      <c r="E25" s="393" t="s">
        <v>675</v>
      </c>
      <c r="F25" s="375" t="s">
        <v>676</v>
      </c>
      <c r="G25" s="392" t="s">
        <v>677</v>
      </c>
      <c r="H25" s="394" t="s">
        <v>678</v>
      </c>
      <c r="I25" s="375" t="s">
        <v>679</v>
      </c>
      <c r="J25" s="394" t="s">
        <v>680</v>
      </c>
    </row>
    <row r="26" spans="1:15" ht="15.75" x14ac:dyDescent="0.25">
      <c r="A26" s="375"/>
      <c r="B26" s="375"/>
      <c r="C26" s="375"/>
      <c r="D26" s="375">
        <v>1.45</v>
      </c>
      <c r="E26" s="375">
        <v>0.46</v>
      </c>
      <c r="F26" s="2"/>
      <c r="G26" s="375">
        <v>0.25</v>
      </c>
      <c r="H26" s="375">
        <v>650</v>
      </c>
      <c r="I26" s="375">
        <f>2826.6*1.18</f>
        <v>3335.3879999999999</v>
      </c>
      <c r="J26" s="395"/>
      <c r="L26" s="396">
        <f>H26+I26</f>
        <v>3985.3879999999999</v>
      </c>
    </row>
    <row r="27" spans="1:15" ht="18.75" x14ac:dyDescent="0.2">
      <c r="A27" s="397">
        <v>2</v>
      </c>
      <c r="B27" s="397" t="str">
        <f>B10</f>
        <v>пр-д Серебрякова, 11/1</v>
      </c>
      <c r="C27" s="398">
        <f>C10*3</f>
        <v>2415</v>
      </c>
      <c r="D27" s="398">
        <f>C27*D26</f>
        <v>3501.75</v>
      </c>
      <c r="E27" s="398">
        <f>C27*E26</f>
        <v>1110.9000000000001</v>
      </c>
      <c r="F27" s="398">
        <f>D27+E27</f>
        <v>4612.6499999999996</v>
      </c>
      <c r="G27" s="398">
        <f>F27*G26</f>
        <v>1153.1624999999999</v>
      </c>
      <c r="H27" s="398">
        <f>F27/1.1*H26</f>
        <v>2725656.8181818179</v>
      </c>
      <c r="I27" s="398">
        <f>G27*$I$26</f>
        <v>3846244.3645499996</v>
      </c>
      <c r="J27" s="399">
        <f>H27+I27</f>
        <v>6571901.1827318175</v>
      </c>
    </row>
    <row r="29" spans="1:15" x14ac:dyDescent="0.2">
      <c r="B29" t="s">
        <v>681</v>
      </c>
      <c r="D29">
        <f>ROUND(D27/365,1)</f>
        <v>9.6</v>
      </c>
    </row>
    <row r="30" spans="1:15" x14ac:dyDescent="0.2">
      <c r="B30" t="s">
        <v>682</v>
      </c>
      <c r="D30">
        <f>ROUND(D29/1.1,0)</f>
        <v>9</v>
      </c>
      <c r="N30">
        <v>8</v>
      </c>
      <c r="O30">
        <v>1.7</v>
      </c>
    </row>
    <row r="31" spans="1:15" x14ac:dyDescent="0.2">
      <c r="B31" t="s">
        <v>683</v>
      </c>
      <c r="E31">
        <f>ROUND(E27/365/8,1)</f>
        <v>0.4</v>
      </c>
      <c r="N31">
        <v>947</v>
      </c>
    </row>
    <row r="33" spans="2:10" x14ac:dyDescent="0.2">
      <c r="B33" t="s">
        <v>684</v>
      </c>
      <c r="C33" t="s">
        <v>685</v>
      </c>
      <c r="D33">
        <v>1.84</v>
      </c>
    </row>
    <row r="34" spans="2:10" ht="15.75" x14ac:dyDescent="0.2">
      <c r="C34" t="s">
        <v>686</v>
      </c>
      <c r="D34">
        <f>'[2]свод- исходные'!L7</f>
        <v>64464.5</v>
      </c>
      <c r="J34" s="399">
        <f>D33*D34*12</f>
        <v>1423376.1600000001</v>
      </c>
    </row>
  </sheetData>
  <mergeCells count="6">
    <mergeCell ref="G2:I2"/>
    <mergeCell ref="G3:H3"/>
    <mergeCell ref="D6:I6"/>
    <mergeCell ref="D16:E16"/>
    <mergeCell ref="F16:F17"/>
    <mergeCell ref="D17:E17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Общая</vt:lpstr>
      <vt:lpstr>ФОТ рабоч</vt:lpstr>
      <vt:lpstr>ФОТ МОП</vt:lpstr>
      <vt:lpstr>Санитарка</vt:lpstr>
      <vt:lpstr> Смета ремонт</vt:lpstr>
      <vt:lpstr>эксплуат</vt:lpstr>
      <vt:lpstr>лифты</vt:lpstr>
      <vt:lpstr>ДУ ППА</vt:lpstr>
      <vt:lpstr>мусор</vt:lpstr>
      <vt:lpstr>дератизация</vt:lpstr>
      <vt:lpstr>Охрана</vt:lpstr>
      <vt:lpstr>электроэнергия</vt:lpstr>
      <vt:lpstr>Санитарка!Область_печати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Yoala</dc:creator>
  <cp:lastModifiedBy>Виталий</cp:lastModifiedBy>
  <dcterms:created xsi:type="dcterms:W3CDTF">2021-10-26T10:24:18Z</dcterms:created>
  <dcterms:modified xsi:type="dcterms:W3CDTF">2021-10-29T08:13:04Z</dcterms:modified>
</cp:coreProperties>
</file>