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BFIS/Lipomyces/GEM-Lipomyces/data/biomass/"/>
    </mc:Choice>
  </mc:AlternateContent>
  <xr:revisionPtr revIDLastSave="1" documentId="13_ncr:1_{D0A07DB7-3D43-4B22-8DE1-85F6CF5D70CC}" xr6:coauthVersionLast="47" xr6:coauthVersionMax="47" xr10:uidLastSave="{4CBBEDAD-6D88-4C1E-BC8B-ADDDAFBA71EC}"/>
  <bookViews>
    <workbookView xWindow="22932" yWindow="3876" windowWidth="23256" windowHeight="13176" xr2:uid="{00000000-000D-0000-FFFF-FFFF00000000}"/>
  </bookViews>
  <sheets>
    <sheet name="Calculations" sheetId="1" r:id="rId1"/>
    <sheet name="biomassCuration" sheetId="2" r:id="rId2"/>
  </sheets>
  <definedNames>
    <definedName name="solver_adj" localSheetId="0" hidden="1">Calculations!$F$65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0" hidden="1">1</definedName>
    <definedName name="solver_opt" localSheetId="1" hidden="1">biomassCuration!$G$60</definedName>
    <definedName name="solver_opt" localSheetId="0" hidden="1">Calculations!$F$72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100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B52" i="1"/>
  <c r="C45" i="1"/>
  <c r="C46" i="1"/>
  <c r="C47" i="1"/>
  <c r="C48" i="1"/>
  <c r="B61" i="1"/>
  <c r="C61" i="1" s="1"/>
  <c r="D59" i="2" s="1"/>
  <c r="B60" i="1"/>
  <c r="C60" i="1" s="1"/>
  <c r="B45" i="1"/>
  <c r="B46" i="1"/>
  <c r="B47" i="1"/>
  <c r="B48" i="1"/>
  <c r="B44" i="1"/>
  <c r="C44" i="1" s="1"/>
  <c r="B59" i="1"/>
  <c r="B58" i="1"/>
  <c r="C58" i="1" s="1"/>
  <c r="D57" i="2" s="1"/>
  <c r="B57" i="1"/>
  <c r="B56" i="1"/>
  <c r="B55" i="1"/>
  <c r="B54" i="1"/>
  <c r="B53" i="1"/>
  <c r="B67" i="1"/>
  <c r="B66" i="1"/>
  <c r="B68" i="1"/>
  <c r="B65" i="1"/>
  <c r="B64" i="1"/>
  <c r="B70" i="1"/>
  <c r="B71" i="1"/>
  <c r="B69" i="1"/>
  <c r="G22" i="1"/>
  <c r="G14" i="1"/>
  <c r="G5" i="1"/>
  <c r="C5" i="1"/>
  <c r="C4" i="1"/>
  <c r="C3" i="1" s="1"/>
  <c r="C6" i="1" s="1"/>
  <c r="E47" i="1" l="1"/>
  <c r="C69" i="1"/>
  <c r="D69" i="1" s="1"/>
  <c r="C71" i="1"/>
  <c r="D71" i="1" s="1"/>
  <c r="D68" i="2" s="1"/>
  <c r="C67" i="1"/>
  <c r="D67" i="1" s="1"/>
  <c r="D64" i="2" s="1"/>
  <c r="C70" i="1"/>
  <c r="C68" i="1"/>
  <c r="D68" i="1" s="1"/>
  <c r="D65" i="2" s="1"/>
  <c r="C66" i="1"/>
  <c r="D66" i="1" s="1"/>
  <c r="C72" i="1" l="1"/>
  <c r="C52" i="1"/>
  <c r="C57" i="1"/>
  <c r="C59" i="1"/>
  <c r="A70" i="2" l="1"/>
  <c r="A71" i="2"/>
  <c r="A72" i="2"/>
  <c r="A73" i="2"/>
  <c r="A74" i="2"/>
  <c r="E48" i="1"/>
  <c r="D74" i="2" s="1"/>
  <c r="E44" i="1"/>
  <c r="D70" i="2" s="1"/>
  <c r="D73" i="2"/>
  <c r="E46" i="1"/>
  <c r="D72" i="2" s="1"/>
  <c r="E45" i="1"/>
  <c r="D71" i="2" s="1"/>
  <c r="C56" i="1" l="1"/>
  <c r="C55" i="1"/>
  <c r="C54" i="1"/>
  <c r="C53" i="1"/>
  <c r="B40" i="1"/>
  <c r="D20" i="1" s="1"/>
  <c r="D3" i="1"/>
  <c r="D55" i="2" l="1"/>
  <c r="D54" i="2"/>
  <c r="D56" i="2"/>
  <c r="D61" i="2"/>
  <c r="D58" i="2"/>
  <c r="D60" i="2"/>
  <c r="E20" i="1"/>
  <c r="D53" i="2"/>
  <c r="D23" i="1"/>
  <c r="B16" i="1"/>
  <c r="D4" i="1"/>
  <c r="D5" i="1"/>
  <c r="D6" i="1"/>
  <c r="D13" i="1" l="1"/>
  <c r="D12" i="1"/>
  <c r="D16" i="1"/>
  <c r="D14" i="1"/>
  <c r="D15" i="1"/>
  <c r="D70" i="1"/>
  <c r="D72" i="1" s="1"/>
  <c r="D63" i="2"/>
  <c r="D66" i="2"/>
  <c r="G3" i="1"/>
  <c r="E23" i="1"/>
  <c r="D30" i="1"/>
  <c r="D24" i="1"/>
  <c r="D36" i="1"/>
  <c r="D33" i="1"/>
  <c r="D38" i="1"/>
  <c r="D35" i="1"/>
  <c r="D22" i="1"/>
  <c r="D29" i="1"/>
  <c r="D26" i="1"/>
  <c r="D39" i="1"/>
  <c r="D25" i="1"/>
  <c r="D27" i="1"/>
  <c r="D34" i="1"/>
  <c r="D31" i="1"/>
  <c r="D37" i="1"/>
  <c r="D21" i="1"/>
  <c r="D32" i="1"/>
  <c r="D28" i="1"/>
  <c r="E12" i="1" l="1"/>
  <c r="G7" i="1"/>
  <c r="E3" i="1" s="1"/>
  <c r="D67" i="2"/>
  <c r="E6" i="1"/>
  <c r="E13" i="1"/>
  <c r="E15" i="1"/>
  <c r="E14" i="1"/>
  <c r="E31" i="1"/>
  <c r="E22" i="1"/>
  <c r="E32" i="1"/>
  <c r="E39" i="1"/>
  <c r="E35" i="1"/>
  <c r="E36" i="1"/>
  <c r="E37" i="1"/>
  <c r="E27" i="1"/>
  <c r="E29" i="1"/>
  <c r="E30" i="1"/>
  <c r="E28" i="1"/>
  <c r="E25" i="1"/>
  <c r="E33" i="1"/>
  <c r="E34" i="1"/>
  <c r="E21" i="1"/>
  <c r="E26" i="1"/>
  <c r="E38" i="1"/>
  <c r="E24" i="1"/>
  <c r="E5" i="1" l="1"/>
  <c r="E4" i="1"/>
  <c r="D3" i="2" s="1"/>
  <c r="D4" i="2"/>
  <c r="D5" i="2"/>
  <c r="G12" i="1"/>
  <c r="G16" i="1" s="1"/>
  <c r="F12" i="1" s="1"/>
  <c r="G20" i="1"/>
  <c r="G24" i="1" s="1"/>
  <c r="F20" i="1" s="1"/>
  <c r="D12" i="2" l="1"/>
  <c r="F13" i="1"/>
  <c r="F14" i="1"/>
  <c r="F15" i="1"/>
  <c r="F23" i="1"/>
  <c r="F32" i="1"/>
  <c r="F36" i="1"/>
  <c r="F26" i="1"/>
  <c r="F22" i="1"/>
  <c r="F27" i="1"/>
  <c r="F34" i="1"/>
  <c r="F28" i="1"/>
  <c r="F38" i="1"/>
  <c r="F33" i="1"/>
  <c r="F29" i="1"/>
  <c r="F21" i="1"/>
  <c r="F31" i="1"/>
  <c r="F39" i="1"/>
  <c r="F25" i="1"/>
  <c r="F24" i="1"/>
  <c r="F30" i="1"/>
  <c r="F35" i="1"/>
  <c r="F37" i="1"/>
  <c r="D38" i="2" l="1"/>
  <c r="D25" i="2"/>
  <c r="D7" i="2"/>
  <c r="D31" i="2"/>
  <c r="D34" i="2"/>
  <c r="D24" i="2"/>
  <c r="D23" i="2"/>
  <c r="D15" i="2"/>
  <c r="D33" i="2"/>
  <c r="D16" i="2"/>
  <c r="D13" i="2"/>
  <c r="D35" i="2"/>
  <c r="D20" i="2"/>
  <c r="D18" i="2"/>
  <c r="D10" i="2"/>
  <c r="D50" i="2"/>
  <c r="D27" i="2"/>
  <c r="D42" i="2"/>
  <c r="D19" i="2"/>
  <c r="D8" i="2"/>
  <c r="D22" i="2"/>
  <c r="D36" i="2"/>
  <c r="D30" i="2"/>
  <c r="D40" i="2"/>
  <c r="D14" i="2"/>
  <c r="D32" i="2"/>
  <c r="D29" i="2"/>
  <c r="D37" i="2"/>
  <c r="D17" i="2"/>
  <c r="D44" i="2"/>
  <c r="D21" i="2"/>
  <c r="D39" i="2"/>
  <c r="D26" i="2"/>
  <c r="D43" i="2"/>
  <c r="D28" i="2"/>
  <c r="D9" i="2"/>
  <c r="D51" i="2"/>
  <c r="D45" i="2"/>
  <c r="D46" i="2"/>
  <c r="D48" i="2"/>
  <c r="D41" i="2"/>
  <c r="D49" i="2"/>
  <c r="D47" i="2"/>
</calcChain>
</file>

<file path=xl/sharedStrings.xml><?xml version="1.0" encoding="utf-8"?>
<sst xmlns="http://schemas.openxmlformats.org/spreadsheetml/2006/main" count="329" uniqueCount="241">
  <si>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</si>
  <si>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</si>
  <si>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</si>
  <si>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</si>
  <si>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</si>
  <si>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</si>
  <si>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</si>
  <si>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</si>
  <si>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</si>
  <si>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</si>
  <si>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</si>
  <si>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</si>
  <si>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</si>
  <si>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</si>
  <si>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</si>
  <si>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</si>
  <si>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</si>
  <si>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</si>
  <si>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</si>
  <si>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</si>
  <si>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</si>
  <si>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</si>
  <si>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</si>
  <si>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</si>
  <si>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</si>
  <si>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</si>
  <si>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</si>
  <si>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</si>
  <si>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</si>
  <si>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</si>
  <si>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</si>
  <si>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</si>
  <si>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</si>
  <si>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</si>
  <si>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</si>
  <si>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</si>
  <si>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</si>
  <si>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</si>
  <si>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</si>
  <si>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</si>
  <si>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</si>
  <si>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</si>
  <si>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</si>
  <si>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</si>
  <si>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</si>
  <si>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</si>
  <si>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</si>
  <si>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</si>
  <si>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</si>
  <si>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</si>
  <si>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Sterol</t>
  </si>
  <si>
    <t>FFA</t>
  </si>
  <si>
    <t>TAG</t>
  </si>
  <si>
    <t>mg/100 mg</t>
  </si>
  <si>
    <t>g/gDCW</t>
  </si>
  <si>
    <t>14_0</t>
  </si>
  <si>
    <t>16_0</t>
  </si>
  <si>
    <t>18_0</t>
  </si>
  <si>
    <t>18_1</t>
  </si>
  <si>
    <t>18_2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</si>
  <si>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</si>
  <si>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</si>
  <si>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</si>
  <si>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</si>
  <si>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</si>
  <si>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</si>
  <si>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</si>
  <si>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</si>
  <si>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</si>
  <si>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</si>
  <si>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</si>
  <si>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</si>
  <si>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</si>
  <si>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</si>
  <si>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</si>
  <si>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</si>
  <si>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</si>
  <si>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</si>
  <si>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</si>
  <si>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</si>
  <si>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s_3740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</si>
  <si>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</si>
  <si>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</si>
  <si>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</si>
  <si>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</si>
  <si>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</si>
  <si>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</si>
  <si>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</si>
  <si>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</si>
  <si>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</si>
  <si>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</si>
  <si>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</si>
  <si>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</si>
  <si>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</si>
  <si>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</si>
  <si>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</si>
  <si>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</si>
  <si>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</si>
  <si>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</si>
  <si>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</si>
  <si>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</si>
  <si>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</si>
  <si>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</si>
  <si>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</si>
  <si>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</si>
  <si>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</si>
  <si>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</si>
  <si>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</si>
  <si>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</si>
  <si>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</si>
  <si>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</si>
  <si>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</si>
  <si>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</si>
  <si>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</si>
  <si>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</si>
  <si>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</si>
  <si>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</si>
  <si>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</si>
  <si>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</si>
  <si>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</si>
  <si>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</si>
  <si>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</si>
  <si>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</si>
  <si>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</si>
  <si>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</si>
  <si>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</si>
  <si>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</si>
  <si>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</si>
  <si>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</si>
  <si>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</si>
  <si>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</si>
  <si>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</si>
  <si>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</si>
  <si>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</si>
  <si>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</si>
  <si>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</si>
  <si>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</si>
  <si>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</si>
  <si>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</si>
  <si>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</si>
  <si>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</si>
  <si>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</si>
  <si>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</si>
  <si>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</si>
  <si>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</si>
  <si>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</si>
  <si>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</si>
  <si>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</si>
  <si>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</si>
  <si>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</si>
  <si>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</si>
  <si>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</si>
  <si>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</si>
  <si>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</si>
  <si>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</si>
  <si>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</si>
  <si>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</si>
  <si>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</si>
  <si>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</si>
  <si>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</si>
  <si>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</si>
  <si>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</si>
  <si>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</si>
  <si>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</si>
  <si>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</si>
  <si>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</si>
  <si>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</si>
  <si>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</si>
  <si>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</si>
  <si>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</si>
  <si>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</si>
  <si>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</si>
  <si>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</si>
  <si>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</si>
  <si>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</si>
  <si>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</si>
  <si>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</si>
  <si>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</si>
  <si>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</si>
  <si>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</si>
  <si>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</si>
  <si>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</si>
  <si>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</si>
  <si>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</si>
  <si>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</si>
  <si>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</si>
  <si>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</si>
  <si>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</si>
  <si>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</si>
  <si>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</si>
  <si>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</si>
  <si>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</si>
  <si>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</si>
  <si>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</si>
  <si>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</si>
  <si>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</si>
  <si>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</si>
  <si>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</si>
  <si>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</si>
  <si>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</si>
  <si>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</si>
  <si>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</si>
  <si>
    <t>Cardiolipin</t>
  </si>
  <si>
    <t>12_0</t>
  </si>
  <si>
    <t>lipids (g/gDCW)</t>
  </si>
  <si>
    <t>m_0102</t>
  </si>
  <si>
    <t>C18:0 chain</t>
  </si>
  <si>
    <t>s_3742</t>
  </si>
  <si>
    <t xml:space="preserve">Based um GC content https://www.ncbi.nlm.nih.gov/genome/?term=txid29829[orgn] </t>
  </si>
  <si>
    <t>carbohydrates (g/gDCW)</t>
  </si>
  <si>
    <t>GC content = 47%</t>
  </si>
  <si>
    <t>Macro components distribution retrivied from: Anschau.02014</t>
  </si>
  <si>
    <t>D = 0.06 h-1</t>
  </si>
  <si>
    <t>Glucose continuos cultures</t>
  </si>
  <si>
    <t>10.1007/s00253-020-10695-9</t>
  </si>
  <si>
    <t>FA profile  at 30 °C</t>
  </si>
  <si>
    <t>Retrieved from: (10.1016/j.biortech.2015.10.104), Matsuzawa et al. (2018),</t>
  </si>
  <si>
    <t>16_1</t>
  </si>
  <si>
    <t>18_3</t>
  </si>
  <si>
    <t>&lt;2% removed</t>
  </si>
  <si>
    <t xml:space="preserve">18:2 and 18:3 were not removed due to biotechnological importance </t>
  </si>
  <si>
    <t>Retrieved from Probst, 2014 and 10.2323/jgam.21.157</t>
  </si>
  <si>
    <t>Polar lipids (g/gDCW)</t>
  </si>
  <si>
    <t>Phosphatidylcholine (PC)</t>
  </si>
  <si>
    <t>Phosphatidylethanolamine (PE)</t>
  </si>
  <si>
    <t>Phosphatidylinositol (PI)</t>
  </si>
  <si>
    <t>Phosphatidylserine (PS)</t>
  </si>
  <si>
    <t>phosphatidylglicerol (PG)</t>
  </si>
  <si>
    <t>C18:3 chain</t>
  </si>
  <si>
    <t>phosphatidylglycerol backbone</t>
  </si>
  <si>
    <t>Ajusted from template model and ajusted for total biomass composition</t>
  </si>
  <si>
    <t>s_3736</t>
  </si>
  <si>
    <t>m_0103</t>
  </si>
  <si>
    <t>Calculated based on annotation</t>
  </si>
  <si>
    <t>DAG</t>
  </si>
  <si>
    <t>diglyceride backbone</t>
  </si>
  <si>
    <t>s_3733</t>
  </si>
  <si>
    <t>Calculated based on assembly</t>
  </si>
  <si>
    <t>Sum of mRNA and  ncRNA</t>
  </si>
  <si>
    <t>C16:1 chain</t>
  </si>
  <si>
    <t>s_3741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</si>
</sst>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0" xfId="0" applyAlignment="1">
      <alignment horizontal="right"/>
    </xf>
    <xf numFmtId="164" fontId="4" fillId="0" borderId="4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2" fontId="0" fillId="0" borderId="6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1" fontId="6" fillId="0" borderId="0" xfId="2" applyNumberFormat="1"/>
    <xf numFmtId="0" fontId="7" fillId="0" borderId="0" xfId="0" applyFont="1"/>
    <xf numFmtId="1" fontId="7" fillId="0" borderId="0" xfId="0" applyNumberFormat="1" applyFont="1"/>
    <xf numFmtId="164" fontId="7" fillId="0" borderId="0" xfId="0" applyNumberFormat="1" applyFont="1"/>
    <xf numFmtId="0" fontId="0" fillId="3" borderId="0" xfId="0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</cellXfs>
  <cellStyles count="3">
    <cellStyle name="Normal" xfId="0" builtinId="0"/>
    <cellStyle name="Normal 2" xfId="2" xr:uid="{E0828B3E-AD27-4566-B29D-06DAADAA13D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4</xdr:row>
      <xdr:rowOff>190500</xdr:rowOff>
    </xdr:from>
    <xdr:to>
      <xdr:col>9</xdr:col>
      <xdr:colOff>1295233</xdr:colOff>
      <xdr:row>17</xdr:row>
      <xdr:rowOff>9226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0ECB10-DDA5-4607-87A8-585FD9BC6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0400" y="990600"/>
          <a:ext cx="1333333" cy="23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1285875</xdr:colOff>
      <xdr:row>5</xdr:row>
      <xdr:rowOff>180975</xdr:rowOff>
    </xdr:from>
    <xdr:to>
      <xdr:col>9</xdr:col>
      <xdr:colOff>2619208</xdr:colOff>
      <xdr:row>16</xdr:row>
      <xdr:rowOff>142607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F6E294-29E1-405B-B358-5FF2B0033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54375" y="1181100"/>
          <a:ext cx="1333333" cy="2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A29" zoomScale="85" zoomScaleNormal="85" workbookViewId="0">
      <selection activeCell="A73" sqref="A73"/>
    </sheetView>
  </sheetViews>
  <sheetFormatPr defaultRowHeight="15" x14ac:dyDescent="0.25"/>
  <cols>
    <col min="1" max="1" width="30.42578125" customWidth="1"/>
    <col min="2" max="2" width="12.28515625" bestFit="1" customWidth="1"/>
    <col min="3" max="3" width="18.85546875" bestFit="1" customWidth="1"/>
    <col min="4" max="4" width="40.42578125" customWidth="1"/>
    <col min="5" max="5" width="31.28515625" bestFit="1" customWidth="1"/>
    <col min="6" max="6" width="45.28515625" bestFit="1" customWidth="1"/>
    <col min="7" max="7" width="31.28515625" bestFit="1" customWidth="1"/>
    <col min="10" max="10" width="57.28515625" bestFit="1" customWidth="1"/>
  </cols>
  <sheetData>
    <row r="1" spans="1:10" ht="15.75" thickBot="1" x14ac:dyDescent="0.3"/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5"/>
      <c r="G2" s="2" t="s">
        <v>43</v>
      </c>
      <c r="J2" s="41" t="s">
        <v>211</v>
      </c>
    </row>
    <row r="3" spans="1:10" ht="15.75" thickBot="1" x14ac:dyDescent="0.3">
      <c r="A3" s="23" t="s">
        <v>5</v>
      </c>
      <c r="B3" s="7">
        <v>331.2</v>
      </c>
      <c r="C3" s="34">
        <f>0.5-C4</f>
        <v>0.26500000000000001</v>
      </c>
      <c r="D3" s="7">
        <f>B3*C3</f>
        <v>87.768000000000001</v>
      </c>
      <c r="E3" s="20">
        <f>$G$7*C3</f>
        <v>3.2422346949699489E-3</v>
      </c>
      <c r="F3" s="5"/>
      <c r="G3" s="6">
        <f>SUM(D3:D6)</f>
        <v>326.93499999999995</v>
      </c>
      <c r="J3" s="42" t="s">
        <v>213</v>
      </c>
    </row>
    <row r="4" spans="1:10" ht="15.75" thickBot="1" x14ac:dyDescent="0.3">
      <c r="A4" s="23" t="s">
        <v>6</v>
      </c>
      <c r="B4" s="7">
        <v>307.2</v>
      </c>
      <c r="C4" s="7">
        <f>47/100/2</f>
        <v>0.23499999999999999</v>
      </c>
      <c r="D4" s="7">
        <f>B4*C4</f>
        <v>72.191999999999993</v>
      </c>
      <c r="E4" s="20">
        <f>$G$7*C4</f>
        <v>2.8751892578035392E-3</v>
      </c>
      <c r="F4" s="5"/>
      <c r="G4" s="8" t="s">
        <v>45</v>
      </c>
      <c r="J4" s="42" t="s">
        <v>212</v>
      </c>
    </row>
    <row r="5" spans="1:10" ht="15.75" thickBot="1" x14ac:dyDescent="0.3">
      <c r="A5" s="23" t="s">
        <v>7</v>
      </c>
      <c r="B5" s="7">
        <v>347.2</v>
      </c>
      <c r="C5" s="7">
        <f>47/100/2</f>
        <v>0.23499999999999999</v>
      </c>
      <c r="D5" s="7">
        <f>B5*C5</f>
        <v>81.591999999999999</v>
      </c>
      <c r="E5" s="20">
        <f>$G$7*C5</f>
        <v>2.8751892578035392E-3</v>
      </c>
      <c r="F5" s="5"/>
      <c r="G5" s="6">
        <f>0.4/100</f>
        <v>4.0000000000000001E-3</v>
      </c>
      <c r="J5" s="33"/>
    </row>
    <row r="6" spans="1:10" ht="15.75" thickBot="1" x14ac:dyDescent="0.3">
      <c r="A6" s="23" t="s">
        <v>8</v>
      </c>
      <c r="B6" s="7">
        <v>322.2</v>
      </c>
      <c r="C6" s="40">
        <f>C3</f>
        <v>0.26500000000000001</v>
      </c>
      <c r="D6" s="7">
        <f>B6*C6</f>
        <v>85.382999999999996</v>
      </c>
      <c r="E6" s="20">
        <f>$G$7*C6</f>
        <v>3.2422346949699489E-3</v>
      </c>
      <c r="F6" s="5"/>
      <c r="G6" s="8" t="s">
        <v>42</v>
      </c>
      <c r="J6" s="33"/>
    </row>
    <row r="7" spans="1:10" ht="15.75" thickBot="1" x14ac:dyDescent="0.3">
      <c r="A7" s="10"/>
      <c r="B7" s="11"/>
      <c r="C7" s="11"/>
      <c r="D7" s="12"/>
      <c r="E7" s="7"/>
      <c r="F7" s="5"/>
      <c r="G7" s="6">
        <f>G5/G3*1000</f>
        <v>1.2234847905546976E-2</v>
      </c>
      <c r="J7" s="33"/>
    </row>
    <row r="8" spans="1:10" x14ac:dyDescent="0.25">
      <c r="A8" s="39" t="s">
        <v>208</v>
      </c>
      <c r="D8" t="s">
        <v>210</v>
      </c>
      <c r="J8" s="33"/>
    </row>
    <row r="9" spans="1:10" x14ac:dyDescent="0.25">
      <c r="A9" s="54"/>
      <c r="J9" s="33"/>
    </row>
    <row r="10" spans="1:10" ht="15.75" thickBot="1" x14ac:dyDescent="0.3">
      <c r="A10" s="53" t="s">
        <v>237</v>
      </c>
      <c r="B10" t="s">
        <v>238</v>
      </c>
      <c r="J10" s="5"/>
    </row>
    <row r="11" spans="1:10" ht="15.75" thickBot="1" x14ac:dyDescent="0.3">
      <c r="A11" s="2" t="s">
        <v>13</v>
      </c>
      <c r="B11" s="1" t="s">
        <v>15</v>
      </c>
      <c r="C11" s="2" t="s">
        <v>1</v>
      </c>
      <c r="D11" s="2" t="s">
        <v>36</v>
      </c>
      <c r="E11" s="2" t="s">
        <v>14</v>
      </c>
      <c r="F11" s="13" t="s">
        <v>4</v>
      </c>
      <c r="G11" s="2" t="s">
        <v>44</v>
      </c>
      <c r="J11" s="5"/>
    </row>
    <row r="12" spans="1:10" ht="15.75" thickBot="1" x14ac:dyDescent="0.3">
      <c r="A12" s="24" t="s">
        <v>9</v>
      </c>
      <c r="B12" s="15">
        <v>171154</v>
      </c>
      <c r="C12" s="14">
        <v>347.2</v>
      </c>
      <c r="D12" s="16">
        <f>B12/$B$16</f>
        <v>0.2504136886691003</v>
      </c>
      <c r="E12" s="9">
        <f>C12*D12</f>
        <v>86.943632705911625</v>
      </c>
      <c r="F12" s="21">
        <f>D12*$G$16</f>
        <v>1.0401196841843208E-2</v>
      </c>
      <c r="G12" s="16">
        <f>SUM(E12:E15)</f>
        <v>339.46410821012898</v>
      </c>
    </row>
    <row r="13" spans="1:10" ht="15.75" thickBot="1" x14ac:dyDescent="0.3">
      <c r="A13" s="24" t="s">
        <v>10</v>
      </c>
      <c r="B13" s="9">
        <v>170296</v>
      </c>
      <c r="C13" s="14">
        <v>323.2</v>
      </c>
      <c r="D13" s="16">
        <f>B13/$B$16</f>
        <v>0.24915835753527876</v>
      </c>
      <c r="E13" s="9">
        <f t="shared" ref="E13:E15" si="0">C13*D13</f>
        <v>80.527981155402088</v>
      </c>
      <c r="F13" s="21">
        <f>D13*$G$16</f>
        <v>1.0349055338341673E-2</v>
      </c>
      <c r="G13" s="2" t="s">
        <v>46</v>
      </c>
    </row>
    <row r="14" spans="1:10" ht="15.75" thickBot="1" x14ac:dyDescent="0.3">
      <c r="A14" s="24" t="s">
        <v>11</v>
      </c>
      <c r="B14" s="9">
        <v>170937</v>
      </c>
      <c r="C14" s="14">
        <v>363.2</v>
      </c>
      <c r="D14" s="16">
        <f>B14/$B$16</f>
        <v>0.25009619816089601</v>
      </c>
      <c r="E14" s="9">
        <f t="shared" si="0"/>
        <v>90.834939172037423</v>
      </c>
      <c r="F14" s="21">
        <f>D14*$G$16</f>
        <v>1.0388009538510068E-2</v>
      </c>
      <c r="G14" s="16">
        <f>1.41/100</f>
        <v>1.41E-2</v>
      </c>
    </row>
    <row r="15" spans="1:10" ht="15.75" thickBot="1" x14ac:dyDescent="0.3">
      <c r="A15" s="24" t="s">
        <v>12</v>
      </c>
      <c r="B15" s="9">
        <v>171098</v>
      </c>
      <c r="C15" s="14">
        <v>324.2</v>
      </c>
      <c r="D15" s="16">
        <f>B15/$B$16</f>
        <v>0.25033175563472498</v>
      </c>
      <c r="E15" s="9">
        <f t="shared" si="0"/>
        <v>81.157555176777834</v>
      </c>
      <c r="F15" s="21">
        <f>D15*$G$16</f>
        <v>1.0397793666789492E-2</v>
      </c>
      <c r="G15" s="8" t="s">
        <v>41</v>
      </c>
    </row>
    <row r="16" spans="1:10" ht="15.75" thickBot="1" x14ac:dyDescent="0.3">
      <c r="A16" s="9" t="s">
        <v>40</v>
      </c>
      <c r="B16" s="15">
        <f>SUM(B12:B15)</f>
        <v>683485</v>
      </c>
      <c r="C16" s="9"/>
      <c r="D16" s="16">
        <f>B16/$B$16</f>
        <v>1</v>
      </c>
      <c r="E16" s="9"/>
      <c r="F16" s="16"/>
      <c r="G16" s="6">
        <f>G14/G12*1000</f>
        <v>4.1536055385484438E-2</v>
      </c>
    </row>
    <row r="18" spans="1:7" ht="15.75" thickBot="1" x14ac:dyDescent="0.3">
      <c r="A18" s="53" t="s">
        <v>233</v>
      </c>
    </row>
    <row r="19" spans="1:7" ht="15.75" thickBot="1" x14ac:dyDescent="0.3">
      <c r="A19" s="2" t="s">
        <v>39</v>
      </c>
      <c r="B19" s="1" t="s">
        <v>15</v>
      </c>
      <c r="C19" s="2" t="s">
        <v>1</v>
      </c>
      <c r="D19" s="2" t="s">
        <v>37</v>
      </c>
      <c r="E19" s="2" t="s">
        <v>38</v>
      </c>
      <c r="F19" s="13" t="s">
        <v>4</v>
      </c>
      <c r="G19" s="2" t="s">
        <v>47</v>
      </c>
    </row>
    <row r="20" spans="1:7" ht="15.75" thickBot="1" x14ac:dyDescent="0.3">
      <c r="A20" s="25" t="s">
        <v>16</v>
      </c>
      <c r="B20" s="9">
        <v>44057</v>
      </c>
      <c r="C20" s="14">
        <v>89.1</v>
      </c>
      <c r="D20" s="9">
        <f t="shared" ref="D20:D39" si="1">B20/$B$40</f>
        <v>5.5534266950701475E-2</v>
      </c>
      <c r="E20" s="14">
        <f t="shared" ref="E20:E39" si="2">C20*D20</f>
        <v>4.9481031853075015</v>
      </c>
      <c r="F20" s="21">
        <f>D20*$G$24</f>
        <v>0.10414377843358331</v>
      </c>
      <c r="G20" s="16">
        <f>SUM(E20:E39)</f>
        <v>134.91127122382863</v>
      </c>
    </row>
    <row r="21" spans="1:7" ht="15.75" thickBot="1" x14ac:dyDescent="0.3">
      <c r="A21" s="25" t="s">
        <v>17</v>
      </c>
      <c r="B21" s="9">
        <v>43043</v>
      </c>
      <c r="C21" s="14">
        <v>174.2</v>
      </c>
      <c r="D21" s="9">
        <f t="shared" si="1"/>
        <v>5.4256110319791259E-2</v>
      </c>
      <c r="E21" s="14">
        <f t="shared" si="2"/>
        <v>9.4514144177076371</v>
      </c>
      <c r="F21" s="21">
        <f t="shared" ref="F21:F39" si="3">D21*$G$24</f>
        <v>0.10174684284260677</v>
      </c>
      <c r="G21" s="2" t="s">
        <v>48</v>
      </c>
    </row>
    <row r="22" spans="1:7" ht="15.75" thickBot="1" x14ac:dyDescent="0.3">
      <c r="A22" s="25" t="s">
        <v>18</v>
      </c>
      <c r="B22" s="9">
        <v>40959</v>
      </c>
      <c r="C22" s="14">
        <v>132.1</v>
      </c>
      <c r="D22" s="9">
        <f t="shared" si="1"/>
        <v>5.1629208526086247E-2</v>
      </c>
      <c r="E22" s="14">
        <f t="shared" si="2"/>
        <v>6.8202184462959927</v>
      </c>
      <c r="F22" s="21">
        <f t="shared" si="3"/>
        <v>9.6820596519534674E-2</v>
      </c>
      <c r="G22" s="16">
        <f>25.3/100</f>
        <v>0.253</v>
      </c>
    </row>
    <row r="23" spans="1:7" ht="15.75" thickBot="1" x14ac:dyDescent="0.3">
      <c r="A23" s="25" t="s">
        <v>19</v>
      </c>
      <c r="B23" s="9">
        <v>42504</v>
      </c>
      <c r="C23" s="14">
        <v>133.1</v>
      </c>
      <c r="D23" s="9">
        <f t="shared" si="1"/>
        <v>5.3576695700402105E-2</v>
      </c>
      <c r="E23" s="14">
        <f t="shared" si="2"/>
        <v>7.1310581977235197</v>
      </c>
      <c r="F23" s="21">
        <f t="shared" si="3"/>
        <v>0.1004727321093362</v>
      </c>
      <c r="G23" s="2" t="s">
        <v>49</v>
      </c>
    </row>
    <row r="24" spans="1:7" ht="15.75" thickBot="1" x14ac:dyDescent="0.3">
      <c r="A24" s="25" t="s">
        <v>20</v>
      </c>
      <c r="B24" s="9">
        <v>23255</v>
      </c>
      <c r="C24" s="14">
        <v>121.2</v>
      </c>
      <c r="D24" s="9">
        <f t="shared" si="1"/>
        <v>2.9313148374573002E-2</v>
      </c>
      <c r="E24" s="14">
        <f t="shared" si="2"/>
        <v>3.5527535829982479</v>
      </c>
      <c r="F24" s="21">
        <f t="shared" si="3"/>
        <v>5.4971141191478765E-2</v>
      </c>
      <c r="G24" s="6">
        <f>G22/G20*1000</f>
        <v>1.8753066197134314</v>
      </c>
    </row>
    <row r="25" spans="1:7" ht="15.75" thickBot="1" x14ac:dyDescent="0.3">
      <c r="A25" s="25" t="s">
        <v>22</v>
      </c>
      <c r="B25" s="9">
        <v>40101</v>
      </c>
      <c r="C25" s="14">
        <v>146.19999999999999</v>
      </c>
      <c r="D25" s="9">
        <f t="shared" si="1"/>
        <v>5.0547691376854526E-2</v>
      </c>
      <c r="E25" s="14">
        <f t="shared" si="2"/>
        <v>7.3900724792961308</v>
      </c>
      <c r="F25" s="21">
        <f t="shared" si="3"/>
        <v>9.4792420250246825E-2</v>
      </c>
      <c r="G25" s="14"/>
    </row>
    <row r="26" spans="1:7" ht="15.75" thickBot="1" x14ac:dyDescent="0.3">
      <c r="A26" s="25" t="s">
        <v>21</v>
      </c>
      <c r="B26" s="9">
        <v>42679</v>
      </c>
      <c r="C26" s="14">
        <v>147.1</v>
      </c>
      <c r="D26" s="9">
        <f t="shared" si="1"/>
        <v>5.3797284862541442E-2</v>
      </c>
      <c r="E26" s="14">
        <f t="shared" si="2"/>
        <v>7.9135806032798461</v>
      </c>
      <c r="F26" s="21">
        <f t="shared" si="3"/>
        <v>0.10088640442533314</v>
      </c>
      <c r="G26" s="14"/>
    </row>
    <row r="27" spans="1:7" ht="15.75" thickBot="1" x14ac:dyDescent="0.3">
      <c r="A27" s="25" t="s">
        <v>23</v>
      </c>
      <c r="B27" s="9">
        <v>43206</v>
      </c>
      <c r="C27" s="14">
        <v>75.099999999999994</v>
      </c>
      <c r="D27" s="9">
        <f t="shared" si="1"/>
        <v>5.4461573367955325E-2</v>
      </c>
      <c r="E27" s="14">
        <f t="shared" si="2"/>
        <v>4.0900641599334442</v>
      </c>
      <c r="F27" s="21">
        <f t="shared" si="3"/>
        <v>0.10213214905693534</v>
      </c>
      <c r="G27" s="14"/>
    </row>
    <row r="28" spans="1:7" ht="15.75" thickBot="1" x14ac:dyDescent="0.3">
      <c r="A28" s="25" t="s">
        <v>24</v>
      </c>
      <c r="B28" s="9">
        <v>33739</v>
      </c>
      <c r="C28" s="14">
        <v>155.19999999999999</v>
      </c>
      <c r="D28" s="9">
        <f t="shared" si="1"/>
        <v>4.2528329950966177E-2</v>
      </c>
      <c r="E28" s="14">
        <f t="shared" si="2"/>
        <v>6.6003968083899505</v>
      </c>
      <c r="F28" s="21">
        <f t="shared" si="3"/>
        <v>7.9753658682403861E-2</v>
      </c>
      <c r="G28" s="14"/>
    </row>
    <row r="29" spans="1:7" ht="15.75" thickBot="1" x14ac:dyDescent="0.3">
      <c r="A29" s="25" t="s">
        <v>25</v>
      </c>
      <c r="B29" s="9">
        <v>42903</v>
      </c>
      <c r="C29" s="14">
        <v>131.19999999999999</v>
      </c>
      <c r="D29" s="9">
        <f t="shared" si="1"/>
        <v>5.4079638990079788E-2</v>
      </c>
      <c r="E29" s="14">
        <f t="shared" si="2"/>
        <v>7.0952486354984678</v>
      </c>
      <c r="F29" s="21">
        <f t="shared" si="3"/>
        <v>0.10141590498980921</v>
      </c>
      <c r="G29" s="14"/>
    </row>
    <row r="30" spans="1:7" ht="15.75" thickBot="1" x14ac:dyDescent="0.3">
      <c r="A30" s="25" t="s">
        <v>26</v>
      </c>
      <c r="B30" s="9">
        <v>44180</v>
      </c>
      <c r="C30" s="14">
        <v>131.19999999999999</v>
      </c>
      <c r="D30" s="9">
        <f t="shared" si="1"/>
        <v>5.5689309618947976E-2</v>
      </c>
      <c r="E30" s="14">
        <f t="shared" si="2"/>
        <v>7.306437422005974</v>
      </c>
      <c r="F30" s="21">
        <f t="shared" si="3"/>
        <v>0.104434530975684</v>
      </c>
      <c r="G30" s="14"/>
    </row>
    <row r="31" spans="1:7" ht="15.75" thickBot="1" x14ac:dyDescent="0.3">
      <c r="A31" s="25" t="s">
        <v>27</v>
      </c>
      <c r="B31" s="9">
        <v>41551</v>
      </c>
      <c r="C31" s="14">
        <v>146.19999999999999</v>
      </c>
      <c r="D31" s="9">
        <f t="shared" si="1"/>
        <v>5.237543014886617E-2</v>
      </c>
      <c r="E31" s="14">
        <f t="shared" si="2"/>
        <v>7.6572878877642339</v>
      </c>
      <c r="F31" s="21">
        <f t="shared" si="3"/>
        <v>9.8219990868507162E-2</v>
      </c>
      <c r="G31" s="14"/>
    </row>
    <row r="32" spans="1:7" ht="15.75" thickBot="1" x14ac:dyDescent="0.3">
      <c r="A32" s="25" t="s">
        <v>28</v>
      </c>
      <c r="B32" s="9">
        <v>35479</v>
      </c>
      <c r="C32" s="14">
        <v>149.19999999999999</v>
      </c>
      <c r="D32" s="9">
        <f t="shared" si="1"/>
        <v>4.4721616477380155E-2</v>
      </c>
      <c r="E32" s="14">
        <f t="shared" si="2"/>
        <v>6.672465178425119</v>
      </c>
      <c r="F32" s="21">
        <f t="shared" si="3"/>
        <v>8.386674342431627E-2</v>
      </c>
      <c r="G32" s="14"/>
    </row>
    <row r="33" spans="1:7" ht="15.75" thickBot="1" x14ac:dyDescent="0.3">
      <c r="A33" s="25" t="s">
        <v>29</v>
      </c>
      <c r="B33" s="9">
        <v>40311</v>
      </c>
      <c r="C33" s="14">
        <v>165.2</v>
      </c>
      <c r="D33" s="9">
        <f t="shared" si="1"/>
        <v>5.0812398371421728E-2</v>
      </c>
      <c r="E33" s="14">
        <f t="shared" si="2"/>
        <v>8.3942082109588689</v>
      </c>
      <c r="F33" s="21">
        <f t="shared" si="3"/>
        <v>9.5288827029443149E-2</v>
      </c>
      <c r="G33" s="14"/>
    </row>
    <row r="34" spans="1:7" ht="15.75" thickBot="1" x14ac:dyDescent="0.3">
      <c r="A34" s="25" t="s">
        <v>30</v>
      </c>
      <c r="B34" s="9">
        <v>41621</v>
      </c>
      <c r="C34" s="14">
        <v>115.1</v>
      </c>
      <c r="D34" s="9">
        <f t="shared" si="1"/>
        <v>5.2463665813721909E-2</v>
      </c>
      <c r="E34" s="14">
        <f t="shared" si="2"/>
        <v>6.0385679351593913</v>
      </c>
      <c r="F34" s="21">
        <f t="shared" si="3"/>
        <v>9.8385459794905941E-2</v>
      </c>
      <c r="G34" s="14"/>
    </row>
    <row r="35" spans="1:7" ht="15.75" thickBot="1" x14ac:dyDescent="0.3">
      <c r="A35" s="25" t="s">
        <v>31</v>
      </c>
      <c r="B35" s="9">
        <v>43996</v>
      </c>
      <c r="C35" s="14">
        <v>105.1</v>
      </c>
      <c r="D35" s="9">
        <f t="shared" si="1"/>
        <v>5.5457375871327187E-2</v>
      </c>
      <c r="E35" s="14">
        <f t="shared" si="2"/>
        <v>5.8285702040764873</v>
      </c>
      <c r="F35" s="21">
        <f t="shared" si="3"/>
        <v>0.10399958408343579</v>
      </c>
      <c r="G35" s="14"/>
    </row>
    <row r="36" spans="1:7" ht="15.75" thickBot="1" x14ac:dyDescent="0.3">
      <c r="A36" s="25" t="s">
        <v>32</v>
      </c>
      <c r="B36" s="9">
        <v>43080</v>
      </c>
      <c r="C36" s="14">
        <v>119.1</v>
      </c>
      <c r="D36" s="9">
        <f t="shared" si="1"/>
        <v>5.4302749171215005E-2</v>
      </c>
      <c r="E36" s="14">
        <f t="shared" si="2"/>
        <v>6.4674574262917064</v>
      </c>
      <c r="F36" s="21">
        <f t="shared" si="3"/>
        <v>0.10183430498941755</v>
      </c>
      <c r="G36" s="14"/>
    </row>
    <row r="37" spans="1:7" ht="15.75" thickBot="1" x14ac:dyDescent="0.3">
      <c r="A37" s="25" t="s">
        <v>33</v>
      </c>
      <c r="B37" s="9">
        <v>24935</v>
      </c>
      <c r="C37" s="14">
        <v>204.2</v>
      </c>
      <c r="D37" s="9">
        <f t="shared" si="1"/>
        <v>3.1430804331110632E-2</v>
      </c>
      <c r="E37" s="14">
        <f t="shared" si="2"/>
        <v>6.4181702444127904</v>
      </c>
      <c r="F37" s="21">
        <f t="shared" si="3"/>
        <v>5.8942395425049358E-2</v>
      </c>
      <c r="G37" s="14"/>
    </row>
    <row r="38" spans="1:7" ht="15.75" thickBot="1" x14ac:dyDescent="0.3">
      <c r="A38" s="25" t="s">
        <v>34</v>
      </c>
      <c r="B38" s="9">
        <v>38011</v>
      </c>
      <c r="C38" s="14">
        <v>181.2</v>
      </c>
      <c r="D38" s="9">
        <f t="shared" si="1"/>
        <v>4.7913226526161874E-2</v>
      </c>
      <c r="E38" s="14">
        <f t="shared" si="2"/>
        <v>8.6818766465405304</v>
      </c>
      <c r="F38" s="21">
        <f t="shared" si="3"/>
        <v>8.9851990876340534E-2</v>
      </c>
      <c r="G38" s="14"/>
    </row>
    <row r="39" spans="1:7" ht="15.75" thickBot="1" x14ac:dyDescent="0.3">
      <c r="A39" s="25" t="s">
        <v>35</v>
      </c>
      <c r="B39" s="9">
        <v>43720</v>
      </c>
      <c r="C39" s="14">
        <v>117.1</v>
      </c>
      <c r="D39" s="9">
        <f t="shared" si="1"/>
        <v>5.5109475249896005E-2</v>
      </c>
      <c r="E39" s="14">
        <f t="shared" si="2"/>
        <v>6.4533195517628217</v>
      </c>
      <c r="F39" s="21">
        <f t="shared" si="3"/>
        <v>0.10334716374506349</v>
      </c>
      <c r="G39" s="14"/>
    </row>
    <row r="40" spans="1:7" ht="15.75" thickBot="1" x14ac:dyDescent="0.3">
      <c r="A40" s="9" t="s">
        <v>40</v>
      </c>
      <c r="B40" s="9">
        <f>SUM(B20:B39)</f>
        <v>793330</v>
      </c>
      <c r="C40" s="9"/>
      <c r="D40" s="9"/>
      <c r="E40" s="9"/>
      <c r="F40" s="9"/>
      <c r="G40" s="9"/>
    </row>
    <row r="41" spans="1:7" x14ac:dyDescent="0.25">
      <c r="A41" s="5"/>
      <c r="B41" s="5"/>
      <c r="C41" s="5"/>
      <c r="D41" s="5"/>
      <c r="E41" s="5"/>
      <c r="F41" s="5"/>
      <c r="G41" s="5"/>
    </row>
    <row r="42" spans="1:7" ht="15.75" thickBot="1" x14ac:dyDescent="0.3">
      <c r="A42" s="5" t="s">
        <v>230</v>
      </c>
      <c r="B42" s="5"/>
      <c r="C42" s="5"/>
      <c r="D42" s="5"/>
      <c r="E42" s="5"/>
      <c r="F42" s="5"/>
      <c r="G42" s="5"/>
    </row>
    <row r="43" spans="1:7" ht="15.75" thickBot="1" x14ac:dyDescent="0.3">
      <c r="A43" s="1" t="s">
        <v>191</v>
      </c>
      <c r="B43" s="1" t="s">
        <v>192</v>
      </c>
      <c r="C43" s="1" t="s">
        <v>54</v>
      </c>
      <c r="D43" s="1" t="s">
        <v>1</v>
      </c>
      <c r="E43" s="1" t="s">
        <v>4</v>
      </c>
      <c r="F43" s="1"/>
      <c r="G43" s="1" t="s">
        <v>209</v>
      </c>
    </row>
    <row r="44" spans="1:7" ht="15.75" thickBot="1" x14ac:dyDescent="0.3">
      <c r="A44" s="25" t="s">
        <v>189</v>
      </c>
      <c r="B44" s="27">
        <f>G52*(100*$G$44)/$I$53</f>
        <v>5.2415458937198069</v>
      </c>
      <c r="C44" s="35">
        <f>B44/100</f>
        <v>5.2415458937198067E-2</v>
      </c>
      <c r="D44" s="9">
        <v>180.16</v>
      </c>
      <c r="E44" s="22">
        <f>C44/D44*1000</f>
        <v>0.2909383822002557</v>
      </c>
      <c r="F44" s="1"/>
      <c r="G44" s="35">
        <v>0.39200000000000002</v>
      </c>
    </row>
    <row r="45" spans="1:7" ht="15.75" thickBot="1" x14ac:dyDescent="0.3">
      <c r="A45" s="25" t="s">
        <v>190</v>
      </c>
      <c r="B45" s="27">
        <f t="shared" ref="B45:B48" si="4">G53*(100*$G$44)/$I$53</f>
        <v>12.444444444444445</v>
      </c>
      <c r="C45" s="35">
        <f t="shared" ref="C45:C48" si="5">B45/100</f>
        <v>0.12444444444444444</v>
      </c>
      <c r="D45" s="9">
        <v>180.16</v>
      </c>
      <c r="E45" s="22">
        <f>C45/D45*1000</f>
        <v>0.69074402999802642</v>
      </c>
      <c r="F45" s="9"/>
      <c r="G45" s="36"/>
    </row>
    <row r="46" spans="1:7" ht="15.75" thickBot="1" x14ac:dyDescent="0.3">
      <c r="A46" s="25" t="s">
        <v>195</v>
      </c>
      <c r="B46" s="27">
        <f t="shared" si="4"/>
        <v>4.0106280193236721</v>
      </c>
      <c r="C46" s="35">
        <f t="shared" si="5"/>
        <v>4.0106280193236719E-2</v>
      </c>
      <c r="D46" s="9">
        <v>342.29599999999999</v>
      </c>
      <c r="E46" s="22">
        <f>C46/D46*1000</f>
        <v>0.11716841620479562</v>
      </c>
      <c r="F46" s="22"/>
      <c r="G46" s="36"/>
    </row>
    <row r="47" spans="1:7" ht="15.75" thickBot="1" x14ac:dyDescent="0.3">
      <c r="A47" s="25" t="s">
        <v>193</v>
      </c>
      <c r="B47" s="27">
        <f t="shared" si="4"/>
        <v>13.120772946859903</v>
      </c>
      <c r="C47" s="35">
        <f t="shared" si="5"/>
        <v>0.13120772946859904</v>
      </c>
      <c r="D47" s="9">
        <v>180.16</v>
      </c>
      <c r="E47" s="22">
        <f>C47/D47*1000</f>
        <v>0.72828446641096278</v>
      </c>
      <c r="F47" s="9"/>
      <c r="G47" s="36"/>
    </row>
    <row r="48" spans="1:7" ht="15.75" thickBot="1" x14ac:dyDescent="0.3">
      <c r="A48" s="25" t="s">
        <v>194</v>
      </c>
      <c r="B48" s="27">
        <f t="shared" si="4"/>
        <v>4.3826086956521744</v>
      </c>
      <c r="C48" s="35">
        <f t="shared" si="5"/>
        <v>4.3826086956521744E-2</v>
      </c>
      <c r="D48" s="9">
        <v>180.16</v>
      </c>
      <c r="E48" s="22">
        <f>C48/D48*1000</f>
        <v>0.24326202795582674</v>
      </c>
      <c r="F48" s="22"/>
      <c r="G48" s="36"/>
    </row>
    <row r="49" spans="1:9" ht="15.75" thickBot="1" x14ac:dyDescent="0.3">
      <c r="F49" s="22"/>
    </row>
    <row r="50" spans="1:9" ht="15.75" thickBot="1" x14ac:dyDescent="0.3">
      <c r="A50" s="17" t="s">
        <v>221</v>
      </c>
      <c r="B50" s="18"/>
      <c r="C50" s="18"/>
      <c r="D50" s="18"/>
      <c r="F50" s="22"/>
      <c r="G50" s="26"/>
    </row>
    <row r="51" spans="1:9" ht="15.75" thickBot="1" x14ac:dyDescent="0.3">
      <c r="A51" s="1" t="s">
        <v>186</v>
      </c>
      <c r="B51" s="1" t="s">
        <v>53</v>
      </c>
      <c r="C51" s="1" t="s">
        <v>54</v>
      </c>
      <c r="D51" s="1"/>
      <c r="E51" s="31"/>
      <c r="F51" s="31"/>
      <c r="G51" s="31"/>
    </row>
    <row r="52" spans="1:9" ht="15.75" thickBot="1" x14ac:dyDescent="0.3">
      <c r="A52" s="25" t="s">
        <v>50</v>
      </c>
      <c r="B52" s="19">
        <f>$E$64*1</f>
        <v>0.25700000000000001</v>
      </c>
      <c r="C52" s="22">
        <f t="shared" ref="C52:C61" si="6">B52/100</f>
        <v>2.5700000000000002E-3</v>
      </c>
      <c r="D52" s="32"/>
      <c r="E52" s="5"/>
      <c r="F52" s="5"/>
      <c r="G52" s="27">
        <v>7.75</v>
      </c>
    </row>
    <row r="53" spans="1:9" ht="15.75" thickBot="1" x14ac:dyDescent="0.3">
      <c r="A53" s="25" t="s">
        <v>52</v>
      </c>
      <c r="B53" s="19">
        <f>$E$64*65.8</f>
        <v>16.910599999999999</v>
      </c>
      <c r="C53" s="22">
        <f t="shared" si="6"/>
        <v>0.16910599999999998</v>
      </c>
      <c r="D53" s="9"/>
      <c r="E53" s="5"/>
      <c r="F53" s="5"/>
      <c r="G53" s="27">
        <v>18.399999999999999</v>
      </c>
      <c r="I53">
        <v>57.96</v>
      </c>
    </row>
    <row r="54" spans="1:9" ht="15.75" thickBot="1" x14ac:dyDescent="0.3">
      <c r="A54" s="25" t="s">
        <v>51</v>
      </c>
      <c r="B54" s="19">
        <f>$E$64*3</f>
        <v>0.77100000000000002</v>
      </c>
      <c r="C54" s="22">
        <f t="shared" si="6"/>
        <v>7.7099999999999998E-3</v>
      </c>
      <c r="D54" s="9"/>
      <c r="E54" s="5" t="s">
        <v>222</v>
      </c>
      <c r="F54" s="5"/>
      <c r="G54" s="27">
        <v>5.93</v>
      </c>
    </row>
    <row r="55" spans="1:9" ht="15.75" thickBot="1" x14ac:dyDescent="0.3">
      <c r="A55" s="25" t="s">
        <v>223</v>
      </c>
      <c r="B55" s="19">
        <f>$E$64*$E$55*57.3</f>
        <v>1.6345970999999999</v>
      </c>
      <c r="C55" s="22">
        <f t="shared" si="6"/>
        <v>1.6345971000000001E-2</v>
      </c>
      <c r="D55" s="9"/>
      <c r="E55" s="5">
        <v>0.111</v>
      </c>
      <c r="F55" s="5"/>
      <c r="G55" s="47">
        <v>19.399999999999999</v>
      </c>
    </row>
    <row r="56" spans="1:9" ht="15.75" thickBot="1" x14ac:dyDescent="0.3">
      <c r="A56" s="25" t="s">
        <v>224</v>
      </c>
      <c r="B56" s="19">
        <f>$E$64*$E$55*24.2</f>
        <v>0.69035340000000001</v>
      </c>
      <c r="C56" s="22">
        <f t="shared" si="6"/>
        <v>6.9035340000000002E-3</v>
      </c>
      <c r="D56" s="9"/>
      <c r="E56" s="5"/>
      <c r="F56" s="5"/>
      <c r="G56" s="48">
        <v>6.48</v>
      </c>
    </row>
    <row r="57" spans="1:9" ht="15.75" thickBot="1" x14ac:dyDescent="0.3">
      <c r="A57" s="25" t="s">
        <v>225</v>
      </c>
      <c r="B57" s="19">
        <f>$E$64*$E$55*10.7</f>
        <v>0.30523889999999998</v>
      </c>
      <c r="C57" s="22">
        <f t="shared" si="6"/>
        <v>3.052389E-3</v>
      </c>
      <c r="D57" s="9"/>
      <c r="E57" s="5"/>
      <c r="F57" s="5"/>
      <c r="G57" s="5"/>
    </row>
    <row r="58" spans="1:9" ht="15.75" thickBot="1" x14ac:dyDescent="0.3">
      <c r="A58" s="25" t="s">
        <v>227</v>
      </c>
      <c r="B58" s="19">
        <f>$E$64*$E$55*0.2</f>
        <v>5.7054000000000002E-3</v>
      </c>
      <c r="C58" s="22">
        <f t="shared" si="6"/>
        <v>5.7054E-5</v>
      </c>
      <c r="D58" s="9"/>
      <c r="E58" s="5"/>
      <c r="F58" s="5"/>
      <c r="G58" s="5"/>
    </row>
    <row r="59" spans="1:9" ht="15.75" thickBot="1" x14ac:dyDescent="0.3">
      <c r="A59" s="25" t="s">
        <v>226</v>
      </c>
      <c r="B59" s="19">
        <f>$E$64*$E$55*1.7</f>
        <v>4.8495900000000002E-2</v>
      </c>
      <c r="C59" s="22">
        <f t="shared" si="6"/>
        <v>4.8495900000000003E-4</v>
      </c>
      <c r="D59" s="9"/>
      <c r="E59" s="5"/>
      <c r="F59" s="5"/>
      <c r="G59" s="5"/>
    </row>
    <row r="60" spans="1:9" s="30" customFormat="1" ht="15.75" thickBot="1" x14ac:dyDescent="0.3">
      <c r="A60" s="25" t="s">
        <v>202</v>
      </c>
      <c r="B60" s="19">
        <f>0.1*E64</f>
        <v>2.5700000000000001E-2</v>
      </c>
      <c r="C60" s="22">
        <f t="shared" si="6"/>
        <v>2.5700000000000001E-4</v>
      </c>
      <c r="D60" s="9"/>
      <c r="E60" s="28"/>
      <c r="F60" s="28"/>
      <c r="G60" s="28"/>
    </row>
    <row r="61" spans="1:9" s="30" customFormat="1" ht="15.75" thickBot="1" x14ac:dyDescent="0.3">
      <c r="A61" s="25" t="s">
        <v>234</v>
      </c>
      <c r="B61" s="29">
        <f>7*E64</f>
        <v>1.7989999999999999</v>
      </c>
      <c r="C61" s="22">
        <f t="shared" si="6"/>
        <v>1.7989999999999999E-2</v>
      </c>
      <c r="D61" s="28"/>
      <c r="E61" s="28"/>
      <c r="F61" s="28"/>
      <c r="G61" s="28"/>
    </row>
    <row r="62" spans="1:9" s="30" customFormat="1" ht="15.75" thickBot="1" x14ac:dyDescent="0.3">
      <c r="A62" s="28"/>
      <c r="B62" s="29"/>
      <c r="C62" s="28"/>
      <c r="D62" s="28"/>
      <c r="E62" s="28"/>
      <c r="F62" s="28"/>
      <c r="G62" s="28"/>
    </row>
    <row r="63" spans="1:9" ht="15.75" thickBot="1" x14ac:dyDescent="0.3">
      <c r="A63" s="1" t="s">
        <v>187</v>
      </c>
      <c r="B63" s="1" t="s">
        <v>60</v>
      </c>
      <c r="C63" s="1" t="s">
        <v>219</v>
      </c>
      <c r="D63" s="1" t="s">
        <v>185</v>
      </c>
      <c r="E63" s="1" t="s">
        <v>204</v>
      </c>
      <c r="F63" s="31"/>
      <c r="G63" s="31"/>
      <c r="H63" s="31"/>
    </row>
    <row r="64" spans="1:9" ht="15.75" thickBot="1" x14ac:dyDescent="0.3">
      <c r="A64" s="9" t="s">
        <v>203</v>
      </c>
      <c r="B64" s="27">
        <f>0.2*$E$64</f>
        <v>5.1400000000000001E-2</v>
      </c>
      <c r="C64" s="1"/>
      <c r="D64" s="1"/>
      <c r="E64" s="35">
        <v>0.25700000000000001</v>
      </c>
      <c r="F64" s="31"/>
      <c r="G64" s="31"/>
      <c r="H64" s="31"/>
    </row>
    <row r="65" spans="1:7" ht="15.75" thickBot="1" x14ac:dyDescent="0.3">
      <c r="A65" s="9" t="s">
        <v>55</v>
      </c>
      <c r="B65" s="27">
        <f>1.2*$E$64</f>
        <v>0.30840000000000001</v>
      </c>
      <c r="C65" s="9"/>
      <c r="D65" s="9"/>
      <c r="E65" s="5"/>
      <c r="F65" s="5"/>
      <c r="G65" s="5"/>
    </row>
    <row r="66" spans="1:7" ht="15.75" thickBot="1" x14ac:dyDescent="0.3">
      <c r="A66" s="25" t="s">
        <v>56</v>
      </c>
      <c r="B66" s="27">
        <f>35.7*$E$64</f>
        <v>9.1749000000000009</v>
      </c>
      <c r="C66" s="27">
        <f t="shared" ref="C66:C71" si="7">(100/SUM($B$66:$B$71))*B66</f>
        <v>40.660592255125273</v>
      </c>
      <c r="D66" s="22">
        <f>(C66/100)*$E$64</f>
        <v>0.10449772209567196</v>
      </c>
      <c r="E66" s="5"/>
      <c r="F66" s="5"/>
      <c r="G66" s="5"/>
    </row>
    <row r="67" spans="1:7" ht="15.75" thickBot="1" x14ac:dyDescent="0.3">
      <c r="A67" s="25" t="s">
        <v>217</v>
      </c>
      <c r="B67" s="27">
        <f>3.4*$E$64</f>
        <v>0.87380000000000002</v>
      </c>
      <c r="C67" s="27">
        <f t="shared" si="7"/>
        <v>3.8724373576309783</v>
      </c>
      <c r="D67" s="22">
        <f>(C67/100)*$E$64</f>
        <v>9.9521640091116154E-3</v>
      </c>
      <c r="E67" s="5"/>
      <c r="F67" s="5"/>
      <c r="G67" s="5"/>
    </row>
    <row r="68" spans="1:7" ht="15.75" thickBot="1" x14ac:dyDescent="0.3">
      <c r="A68" s="25" t="s">
        <v>57</v>
      </c>
      <c r="B68" s="27">
        <f>3.7*$E$64</f>
        <v>0.95090000000000008</v>
      </c>
      <c r="C68" s="27">
        <f t="shared" si="7"/>
        <v>4.2141230068337121</v>
      </c>
      <c r="D68" s="22">
        <f t="shared" ref="D68:D69" si="8">(C68/100)*$E$64</f>
        <v>1.0830296127562641E-2</v>
      </c>
      <c r="E68" s="5"/>
      <c r="F68" s="5"/>
      <c r="G68" s="5"/>
    </row>
    <row r="69" spans="1:7" ht="15.75" thickBot="1" x14ac:dyDescent="0.3">
      <c r="A69" s="25" t="s">
        <v>58</v>
      </c>
      <c r="B69" s="27">
        <f>43.1*$E$64</f>
        <v>11.076700000000001</v>
      </c>
      <c r="C69" s="27">
        <f t="shared" si="7"/>
        <v>49.088838268792699</v>
      </c>
      <c r="D69" s="22">
        <f t="shared" si="8"/>
        <v>0.12615831435079725</v>
      </c>
      <c r="E69" s="5"/>
      <c r="F69" s="5"/>
      <c r="G69" s="5"/>
    </row>
    <row r="70" spans="1:7" ht="15.75" thickBot="1" x14ac:dyDescent="0.3">
      <c r="A70" s="25" t="s">
        <v>59</v>
      </c>
      <c r="B70" s="27">
        <f>1.7*$E$64</f>
        <v>0.43690000000000001</v>
      </c>
      <c r="C70" s="27">
        <f t="shared" si="7"/>
        <v>1.9362186788154891</v>
      </c>
      <c r="D70" s="22">
        <f>(C70/100)*$E$64</f>
        <v>4.9760820045558077E-3</v>
      </c>
      <c r="E70" s="5"/>
      <c r="F70" s="5"/>
      <c r="G70" s="5"/>
    </row>
    <row r="71" spans="1:7" ht="15.75" thickBot="1" x14ac:dyDescent="0.3">
      <c r="A71" s="43" t="s">
        <v>218</v>
      </c>
      <c r="B71" s="27">
        <f>0.2*$E$64</f>
        <v>5.1400000000000001E-2</v>
      </c>
      <c r="C71" s="27">
        <f t="shared" si="7"/>
        <v>0.22779043280182226</v>
      </c>
      <c r="D71" s="22">
        <f>(C71/100)*$E$64</f>
        <v>5.8542141230068321E-4</v>
      </c>
      <c r="E71" s="5"/>
      <c r="F71" s="5"/>
      <c r="G71" s="5"/>
    </row>
    <row r="72" spans="1:7" x14ac:dyDescent="0.25">
      <c r="A72" s="5"/>
      <c r="B72" s="5"/>
      <c r="C72" s="38">
        <f>SUM(C66:C70)</f>
        <v>99.772209567198161</v>
      </c>
      <c r="D72" s="5">
        <f>SUM(D66:D70)</f>
        <v>0.25641457858769923</v>
      </c>
    </row>
    <row r="73" spans="1:7" x14ac:dyDescent="0.25">
      <c r="A73" s="43" t="s">
        <v>216</v>
      </c>
      <c r="C73" s="5"/>
      <c r="E73" s="5"/>
    </row>
    <row r="74" spans="1:7" x14ac:dyDescent="0.25">
      <c r="A74" t="s">
        <v>214</v>
      </c>
    </row>
    <row r="75" spans="1:7" x14ac:dyDescent="0.25">
      <c r="A75" s="43" t="s">
        <v>215</v>
      </c>
      <c r="C75" t="s">
        <v>220</v>
      </c>
    </row>
  </sheetData>
  <sortState xmlns:xlrd2="http://schemas.microsoft.com/office/spreadsheetml/2017/richdata2" ref="A20:F39">
    <sortCondition ref="A20:A3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workbookViewId="0">
      <selection activeCell="D2" sqref="D2"/>
    </sheetView>
  </sheetViews>
  <sheetFormatPr defaultRowHeight="15" x14ac:dyDescent="0.25"/>
  <cols>
    <col min="1" max="1" width="33.5703125" customWidth="1"/>
    <col min="2" max="2" width="7.7109375" bestFit="1" customWidth="1"/>
    <col min="3" max="3" width="18.5703125" customWidth="1"/>
    <col min="4" max="4" width="12.28515625" bestFit="1" customWidth="1"/>
  </cols>
  <sheetData>
    <row r="1" spans="1:4" x14ac:dyDescent="0.25">
      <c r="A1" t="s">
        <v>61</v>
      </c>
      <c r="B1" t="s">
        <v>62</v>
      </c>
      <c r="C1" t="s">
        <v>63</v>
      </c>
      <c r="D1" t="s">
        <v>64</v>
      </c>
    </row>
    <row r="2" spans="1:4" x14ac:dyDescent="0.25">
      <c r="A2" t="s">
        <v>5</v>
      </c>
      <c r="B2" t="s">
        <v>84</v>
      </c>
      <c r="C2" t="s">
        <v>88</v>
      </c>
      <c r="D2" s="37">
        <f>-Calculations!E3</f>
        <v>-3.2422346949699489E-3</v>
      </c>
    </row>
    <row r="3" spans="1:4" x14ac:dyDescent="0.25">
      <c r="A3" t="s">
        <v>6</v>
      </c>
      <c r="B3" t="s">
        <v>85</v>
      </c>
      <c r="C3" t="s">
        <v>88</v>
      </c>
      <c r="D3" s="37">
        <f>-Calculations!E4</f>
        <v>-2.8751892578035392E-3</v>
      </c>
    </row>
    <row r="4" spans="1:4" x14ac:dyDescent="0.25">
      <c r="A4" t="s">
        <v>7</v>
      </c>
      <c r="B4" t="s">
        <v>86</v>
      </c>
      <c r="C4" t="s">
        <v>88</v>
      </c>
      <c r="D4" s="37">
        <f>-Calculations!E5</f>
        <v>-2.8751892578035392E-3</v>
      </c>
    </row>
    <row r="5" spans="1:4" x14ac:dyDescent="0.25">
      <c r="A5" t="s">
        <v>8</v>
      </c>
      <c r="B5" t="s">
        <v>87</v>
      </c>
      <c r="C5" t="s">
        <v>88</v>
      </c>
      <c r="D5" s="37">
        <f>-Calculations!E6</f>
        <v>-3.2422346949699489E-3</v>
      </c>
    </row>
    <row r="6" spans="1:4" x14ac:dyDescent="0.25">
      <c r="A6" t="s">
        <v>88</v>
      </c>
      <c r="B6" t="s">
        <v>183</v>
      </c>
      <c r="C6" t="s">
        <v>88</v>
      </c>
      <c r="D6" s="37">
        <v>1</v>
      </c>
    </row>
    <row r="7" spans="1:4" x14ac:dyDescent="0.25">
      <c r="A7" s="26" t="s">
        <v>9</v>
      </c>
      <c r="B7" s="26" t="s">
        <v>93</v>
      </c>
      <c r="C7" t="s">
        <v>89</v>
      </c>
      <c r="D7" s="37">
        <f>-Calculations!F12</f>
        <v>-1.0401196841843208E-2</v>
      </c>
    </row>
    <row r="8" spans="1:4" x14ac:dyDescent="0.25">
      <c r="A8" s="26" t="s">
        <v>10</v>
      </c>
      <c r="B8" s="26" t="s">
        <v>94</v>
      </c>
      <c r="C8" t="s">
        <v>89</v>
      </c>
      <c r="D8" s="37">
        <f>-Calculations!F13</f>
        <v>-1.0349055338341673E-2</v>
      </c>
    </row>
    <row r="9" spans="1:4" x14ac:dyDescent="0.25">
      <c r="A9" s="26" t="s">
        <v>11</v>
      </c>
      <c r="B9" s="26" t="s">
        <v>95</v>
      </c>
      <c r="C9" t="s">
        <v>89</v>
      </c>
      <c r="D9" s="37">
        <f>-Calculations!F14</f>
        <v>-1.0388009538510068E-2</v>
      </c>
    </row>
    <row r="10" spans="1:4" x14ac:dyDescent="0.25">
      <c r="A10" s="26" t="s">
        <v>12</v>
      </c>
      <c r="B10" s="26" t="s">
        <v>96</v>
      </c>
      <c r="C10" t="s">
        <v>89</v>
      </c>
      <c r="D10" s="37">
        <f>-Calculations!F15</f>
        <v>-1.0397793666789492E-2</v>
      </c>
    </row>
    <row r="11" spans="1:4" x14ac:dyDescent="0.25">
      <c r="A11" s="26" t="s">
        <v>89</v>
      </c>
      <c r="B11" s="26" t="s">
        <v>184</v>
      </c>
      <c r="C11" t="s">
        <v>89</v>
      </c>
      <c r="D11" s="37">
        <v>1</v>
      </c>
    </row>
    <row r="12" spans="1:4" x14ac:dyDescent="0.25">
      <c r="A12" s="26" t="s">
        <v>117</v>
      </c>
      <c r="B12" s="26" t="s">
        <v>119</v>
      </c>
      <c r="C12" t="s">
        <v>90</v>
      </c>
      <c r="D12" s="37">
        <f>Calculations!F20</f>
        <v>0.10414377843358331</v>
      </c>
    </row>
    <row r="13" spans="1:4" x14ac:dyDescent="0.25">
      <c r="A13" s="26" t="s">
        <v>118</v>
      </c>
      <c r="B13" s="26" t="s">
        <v>120</v>
      </c>
      <c r="C13" t="s">
        <v>90</v>
      </c>
      <c r="D13" s="37">
        <f>Calculations!F21</f>
        <v>0.10174684284260677</v>
      </c>
    </row>
    <row r="14" spans="1:4" x14ac:dyDescent="0.25">
      <c r="A14" s="26" t="s">
        <v>121</v>
      </c>
      <c r="B14" s="26" t="s">
        <v>122</v>
      </c>
      <c r="C14" t="s">
        <v>90</v>
      </c>
      <c r="D14" s="37">
        <f>Calculations!F22</f>
        <v>9.6820596519534674E-2</v>
      </c>
    </row>
    <row r="15" spans="1:4" x14ac:dyDescent="0.25">
      <c r="A15" s="26" t="s">
        <v>123</v>
      </c>
      <c r="B15" s="26" t="s">
        <v>127</v>
      </c>
      <c r="C15" t="s">
        <v>90</v>
      </c>
      <c r="D15" s="37">
        <f>Calculations!F23</f>
        <v>0.1004727321093362</v>
      </c>
    </row>
    <row r="16" spans="1:4" x14ac:dyDescent="0.25">
      <c r="A16" s="26" t="s">
        <v>124</v>
      </c>
      <c r="B16" s="26" t="s">
        <v>128</v>
      </c>
      <c r="C16" t="s">
        <v>90</v>
      </c>
      <c r="D16" s="37">
        <f>Calculations!F24</f>
        <v>5.4971141191478765E-2</v>
      </c>
    </row>
    <row r="17" spans="1:4" x14ac:dyDescent="0.25">
      <c r="A17" s="26" t="s">
        <v>125</v>
      </c>
      <c r="B17" s="26" t="s">
        <v>129</v>
      </c>
      <c r="C17" t="s">
        <v>90</v>
      </c>
      <c r="D17" s="37">
        <f>Calculations!F25</f>
        <v>9.4792420250246825E-2</v>
      </c>
    </row>
    <row r="18" spans="1:4" x14ac:dyDescent="0.25">
      <c r="A18" s="26" t="s">
        <v>126</v>
      </c>
      <c r="B18" s="26" t="s">
        <v>130</v>
      </c>
      <c r="C18" t="s">
        <v>90</v>
      </c>
      <c r="D18" s="37">
        <f>Calculations!F26</f>
        <v>0.10088640442533314</v>
      </c>
    </row>
    <row r="19" spans="1:4" x14ac:dyDescent="0.25">
      <c r="A19" s="26" t="s">
        <v>131</v>
      </c>
      <c r="B19" s="26" t="s">
        <v>133</v>
      </c>
      <c r="C19" t="s">
        <v>90</v>
      </c>
      <c r="D19" s="37">
        <f>Calculations!F27</f>
        <v>0.10213214905693534</v>
      </c>
    </row>
    <row r="20" spans="1:4" x14ac:dyDescent="0.25">
      <c r="A20" s="26" t="s">
        <v>132</v>
      </c>
      <c r="B20" s="26" t="s">
        <v>134</v>
      </c>
      <c r="C20" t="s">
        <v>90</v>
      </c>
      <c r="D20" s="37">
        <f>Calculations!F28</f>
        <v>7.9753658682403861E-2</v>
      </c>
    </row>
    <row r="21" spans="1:4" x14ac:dyDescent="0.25">
      <c r="A21" s="26" t="s">
        <v>135</v>
      </c>
      <c r="B21" s="26" t="s">
        <v>136</v>
      </c>
      <c r="C21" t="s">
        <v>90</v>
      </c>
      <c r="D21" s="37">
        <f>Calculations!F29</f>
        <v>0.10141590498980921</v>
      </c>
    </row>
    <row r="22" spans="1:4" x14ac:dyDescent="0.25">
      <c r="A22" s="26" t="s">
        <v>137</v>
      </c>
      <c r="B22" s="26" t="s">
        <v>139</v>
      </c>
      <c r="C22" t="s">
        <v>90</v>
      </c>
      <c r="D22" s="37">
        <f>Calculations!F30</f>
        <v>0.104434530975684</v>
      </c>
    </row>
    <row r="23" spans="1:4" x14ac:dyDescent="0.25">
      <c r="A23" s="26" t="s">
        <v>138</v>
      </c>
      <c r="B23" s="26" t="s">
        <v>140</v>
      </c>
      <c r="C23" t="s">
        <v>90</v>
      </c>
      <c r="D23" s="37">
        <f>Calculations!F31</f>
        <v>9.8219990868507162E-2</v>
      </c>
    </row>
    <row r="24" spans="1:4" x14ac:dyDescent="0.25">
      <c r="A24" s="26" t="s">
        <v>141</v>
      </c>
      <c r="B24" s="26" t="s">
        <v>142</v>
      </c>
      <c r="C24" t="s">
        <v>90</v>
      </c>
      <c r="D24" s="37">
        <f>Calculations!F32</f>
        <v>8.386674342431627E-2</v>
      </c>
    </row>
    <row r="25" spans="1:4" x14ac:dyDescent="0.25">
      <c r="A25" s="26" t="s">
        <v>143</v>
      </c>
      <c r="B25" s="26" t="s">
        <v>144</v>
      </c>
      <c r="C25" t="s">
        <v>90</v>
      </c>
      <c r="D25" s="37">
        <f>Calculations!F33</f>
        <v>9.5288827029443149E-2</v>
      </c>
    </row>
    <row r="26" spans="1:4" x14ac:dyDescent="0.25">
      <c r="A26" s="26" t="s">
        <v>145</v>
      </c>
      <c r="B26" s="26" t="s">
        <v>148</v>
      </c>
      <c r="C26" t="s">
        <v>90</v>
      </c>
      <c r="D26" s="37">
        <f>Calculations!F34</f>
        <v>9.8385459794905941E-2</v>
      </c>
    </row>
    <row r="27" spans="1:4" x14ac:dyDescent="0.25">
      <c r="A27" s="26" t="s">
        <v>146</v>
      </c>
      <c r="B27" s="26" t="s">
        <v>149</v>
      </c>
      <c r="C27" t="s">
        <v>90</v>
      </c>
      <c r="D27" s="37">
        <f>Calculations!F35</f>
        <v>0.10399958408343579</v>
      </c>
    </row>
    <row r="28" spans="1:4" x14ac:dyDescent="0.25">
      <c r="A28" s="26" t="s">
        <v>147</v>
      </c>
      <c r="B28" s="26" t="s">
        <v>150</v>
      </c>
      <c r="C28" t="s">
        <v>90</v>
      </c>
      <c r="D28" s="37">
        <f>Calculations!F36</f>
        <v>0.10183430498941755</v>
      </c>
    </row>
    <row r="29" spans="1:4" x14ac:dyDescent="0.25">
      <c r="A29" s="26" t="s">
        <v>151</v>
      </c>
      <c r="B29" s="26" t="s">
        <v>152</v>
      </c>
      <c r="C29" t="s">
        <v>90</v>
      </c>
      <c r="D29" s="37">
        <f>Calculations!F37</f>
        <v>5.8942395425049358E-2</v>
      </c>
    </row>
    <row r="30" spans="1:4" x14ac:dyDescent="0.25">
      <c r="A30" s="26" t="s">
        <v>153</v>
      </c>
      <c r="B30" s="26" t="s">
        <v>154</v>
      </c>
      <c r="C30" t="s">
        <v>90</v>
      </c>
      <c r="D30" s="37">
        <f>Calculations!F38</f>
        <v>8.9851990876340534E-2</v>
      </c>
    </row>
    <row r="31" spans="1:4" x14ac:dyDescent="0.25">
      <c r="A31" s="26" t="s">
        <v>155</v>
      </c>
      <c r="B31" s="26" t="s">
        <v>156</v>
      </c>
      <c r="C31" t="s">
        <v>90</v>
      </c>
      <c r="D31" s="37">
        <f>Calculations!F39</f>
        <v>0.10334716374506349</v>
      </c>
    </row>
    <row r="32" spans="1:4" x14ac:dyDescent="0.25">
      <c r="A32" s="26" t="s">
        <v>157</v>
      </c>
      <c r="B32" s="26" t="s">
        <v>97</v>
      </c>
      <c r="C32" t="s">
        <v>90</v>
      </c>
      <c r="D32" s="37">
        <f>-Calculations!F20</f>
        <v>-0.10414377843358331</v>
      </c>
    </row>
    <row r="33" spans="1:4" x14ac:dyDescent="0.25">
      <c r="A33" s="26" t="s">
        <v>158</v>
      </c>
      <c r="B33" s="26" t="s">
        <v>98</v>
      </c>
      <c r="C33" t="s">
        <v>90</v>
      </c>
      <c r="D33" s="37">
        <f>-Calculations!F21</f>
        <v>-0.10174684284260677</v>
      </c>
    </row>
    <row r="34" spans="1:4" x14ac:dyDescent="0.25">
      <c r="A34" s="26" t="s">
        <v>159</v>
      </c>
      <c r="B34" s="26" t="s">
        <v>99</v>
      </c>
      <c r="C34" t="s">
        <v>90</v>
      </c>
      <c r="D34" s="37">
        <f>-Calculations!F22</f>
        <v>-9.6820596519534674E-2</v>
      </c>
    </row>
    <row r="35" spans="1:4" x14ac:dyDescent="0.25">
      <c r="A35" s="26" t="s">
        <v>160</v>
      </c>
      <c r="B35" s="26" t="s">
        <v>100</v>
      </c>
      <c r="C35" t="s">
        <v>90</v>
      </c>
      <c r="D35" s="37">
        <f>-Calculations!F23</f>
        <v>-0.1004727321093362</v>
      </c>
    </row>
    <row r="36" spans="1:4" x14ac:dyDescent="0.25">
      <c r="A36" s="26" t="s">
        <v>161</v>
      </c>
      <c r="B36" s="26" t="s">
        <v>101</v>
      </c>
      <c r="C36" t="s">
        <v>90</v>
      </c>
      <c r="D36" s="37">
        <f>-Calculations!F24</f>
        <v>-5.4971141191478765E-2</v>
      </c>
    </row>
    <row r="37" spans="1:4" x14ac:dyDescent="0.25">
      <c r="A37" s="26" t="s">
        <v>162</v>
      </c>
      <c r="B37" s="26" t="s">
        <v>102</v>
      </c>
      <c r="C37" t="s">
        <v>90</v>
      </c>
      <c r="D37" s="37">
        <f>-Calculations!F25</f>
        <v>-9.4792420250246825E-2</v>
      </c>
    </row>
    <row r="38" spans="1:4" x14ac:dyDescent="0.25">
      <c r="A38" s="26" t="s">
        <v>163</v>
      </c>
      <c r="B38" s="26" t="s">
        <v>103</v>
      </c>
      <c r="C38" t="s">
        <v>90</v>
      </c>
      <c r="D38" s="37">
        <f>-Calculations!F26</f>
        <v>-0.10088640442533314</v>
      </c>
    </row>
    <row r="39" spans="1:4" x14ac:dyDescent="0.25">
      <c r="A39" s="26" t="s">
        <v>164</v>
      </c>
      <c r="B39" s="26" t="s">
        <v>104</v>
      </c>
      <c r="C39" t="s">
        <v>90</v>
      </c>
      <c r="D39" s="37">
        <f>-Calculations!F27</f>
        <v>-0.10213214905693534</v>
      </c>
    </row>
    <row r="40" spans="1:4" x14ac:dyDescent="0.25">
      <c r="A40" s="26" t="s">
        <v>165</v>
      </c>
      <c r="B40" s="26" t="s">
        <v>105</v>
      </c>
      <c r="C40" t="s">
        <v>90</v>
      </c>
      <c r="D40" s="37">
        <f>-Calculations!F28</f>
        <v>-7.9753658682403861E-2</v>
      </c>
    </row>
    <row r="41" spans="1:4" x14ac:dyDescent="0.25">
      <c r="A41" s="26" t="s">
        <v>166</v>
      </c>
      <c r="B41" s="26" t="s">
        <v>106</v>
      </c>
      <c r="C41" t="s">
        <v>90</v>
      </c>
      <c r="D41" s="37">
        <f>-Calculations!F29</f>
        <v>-0.10141590498980921</v>
      </c>
    </row>
    <row r="42" spans="1:4" x14ac:dyDescent="0.25">
      <c r="A42" s="26" t="s">
        <v>167</v>
      </c>
      <c r="B42" s="26" t="s">
        <v>107</v>
      </c>
      <c r="C42" t="s">
        <v>90</v>
      </c>
      <c r="D42" s="37">
        <f>-Calculations!F30</f>
        <v>-0.104434530975684</v>
      </c>
    </row>
    <row r="43" spans="1:4" x14ac:dyDescent="0.25">
      <c r="A43" s="26" t="s">
        <v>168</v>
      </c>
      <c r="B43" s="26" t="s">
        <v>108</v>
      </c>
      <c r="C43" t="s">
        <v>90</v>
      </c>
      <c r="D43" s="37">
        <f>-Calculations!F31</f>
        <v>-9.8219990868507162E-2</v>
      </c>
    </row>
    <row r="44" spans="1:4" x14ac:dyDescent="0.25">
      <c r="A44" s="26" t="s">
        <v>169</v>
      </c>
      <c r="B44" s="26" t="s">
        <v>109</v>
      </c>
      <c r="C44" t="s">
        <v>90</v>
      </c>
      <c r="D44" s="37">
        <f>-Calculations!F32</f>
        <v>-8.386674342431627E-2</v>
      </c>
    </row>
    <row r="45" spans="1:4" x14ac:dyDescent="0.25">
      <c r="A45" s="26" t="s">
        <v>170</v>
      </c>
      <c r="B45" s="26" t="s">
        <v>110</v>
      </c>
      <c r="C45" t="s">
        <v>90</v>
      </c>
      <c r="D45" s="37">
        <f>-Calculations!F33</f>
        <v>-9.5288827029443149E-2</v>
      </c>
    </row>
    <row r="46" spans="1:4" x14ac:dyDescent="0.25">
      <c r="A46" s="26" t="s">
        <v>171</v>
      </c>
      <c r="B46" s="26" t="s">
        <v>111</v>
      </c>
      <c r="C46" t="s">
        <v>90</v>
      </c>
      <c r="D46" s="37">
        <f>-Calculations!F34</f>
        <v>-9.8385459794905941E-2</v>
      </c>
    </row>
    <row r="47" spans="1:4" x14ac:dyDescent="0.25">
      <c r="A47" s="26" t="s">
        <v>172</v>
      </c>
      <c r="B47" s="26" t="s">
        <v>112</v>
      </c>
      <c r="C47" t="s">
        <v>90</v>
      </c>
      <c r="D47" s="37">
        <f>-Calculations!F35</f>
        <v>-0.10399958408343579</v>
      </c>
    </row>
    <row r="48" spans="1:4" x14ac:dyDescent="0.25">
      <c r="A48" s="26" t="s">
        <v>173</v>
      </c>
      <c r="B48" s="26" t="s">
        <v>113</v>
      </c>
      <c r="C48" t="s">
        <v>90</v>
      </c>
      <c r="D48" s="37">
        <f>-Calculations!F36</f>
        <v>-0.10183430498941755</v>
      </c>
    </row>
    <row r="49" spans="1:6" x14ac:dyDescent="0.25">
      <c r="A49" s="26" t="s">
        <v>174</v>
      </c>
      <c r="B49" s="26" t="s">
        <v>114</v>
      </c>
      <c r="C49" t="s">
        <v>90</v>
      </c>
      <c r="D49" s="37">
        <f>-Calculations!F37</f>
        <v>-5.8942395425049358E-2</v>
      </c>
    </row>
    <row r="50" spans="1:6" x14ac:dyDescent="0.25">
      <c r="A50" s="26" t="s">
        <v>175</v>
      </c>
      <c r="B50" s="26" t="s">
        <v>115</v>
      </c>
      <c r="C50" t="s">
        <v>90</v>
      </c>
      <c r="D50" s="37">
        <f>-Calculations!F38</f>
        <v>-8.9851990876340534E-2</v>
      </c>
    </row>
    <row r="51" spans="1:6" x14ac:dyDescent="0.25">
      <c r="A51" s="26" t="s">
        <v>176</v>
      </c>
      <c r="B51" s="26" t="s">
        <v>116</v>
      </c>
      <c r="C51" t="s">
        <v>90</v>
      </c>
      <c r="D51" s="37">
        <f>-Calculations!F39</f>
        <v>-0.10334716374506349</v>
      </c>
    </row>
    <row r="52" spans="1:6" x14ac:dyDescent="0.25">
      <c r="A52" s="26" t="s">
        <v>177</v>
      </c>
      <c r="B52" s="26" t="s">
        <v>178</v>
      </c>
      <c r="C52" t="s">
        <v>90</v>
      </c>
      <c r="D52" s="37">
        <v>1</v>
      </c>
    </row>
    <row r="53" spans="1:6" x14ac:dyDescent="0.25">
      <c r="A53" t="s">
        <v>65</v>
      </c>
      <c r="B53" t="s">
        <v>66</v>
      </c>
      <c r="C53" t="s">
        <v>92</v>
      </c>
      <c r="D53" s="37">
        <f>-Calculations!C59</f>
        <v>-4.8495900000000003E-4</v>
      </c>
    </row>
    <row r="54" spans="1:6" x14ac:dyDescent="0.25">
      <c r="A54" t="s">
        <v>67</v>
      </c>
      <c r="B54" t="s">
        <v>68</v>
      </c>
      <c r="C54" t="s">
        <v>92</v>
      </c>
      <c r="D54" s="37">
        <f>-Calculations!C56</f>
        <v>-6.9035340000000002E-3</v>
      </c>
    </row>
    <row r="55" spans="1:6" x14ac:dyDescent="0.25">
      <c r="A55" t="s">
        <v>69</v>
      </c>
      <c r="B55" t="s">
        <v>70</v>
      </c>
      <c r="C55" t="s">
        <v>92</v>
      </c>
      <c r="D55" s="37">
        <f>-Calculations!C57</f>
        <v>-3.052389E-3</v>
      </c>
    </row>
    <row r="56" spans="1:6" x14ac:dyDescent="0.25">
      <c r="A56" t="s">
        <v>71</v>
      </c>
      <c r="B56" t="s">
        <v>72</v>
      </c>
      <c r="C56" t="s">
        <v>92</v>
      </c>
      <c r="D56" s="37">
        <f>-Calculations!C55</f>
        <v>-1.6345971000000001E-2</v>
      </c>
    </row>
    <row r="57" spans="1:6" x14ac:dyDescent="0.25">
      <c r="A57" t="s">
        <v>229</v>
      </c>
      <c r="B57" s="49" t="s">
        <v>231</v>
      </c>
      <c r="C57" t="s">
        <v>92</v>
      </c>
      <c r="D57" s="37">
        <f>-Calculations!C58</f>
        <v>-5.7054E-5</v>
      </c>
    </row>
    <row r="58" spans="1:6" x14ac:dyDescent="0.25">
      <c r="A58" t="s">
        <v>73</v>
      </c>
      <c r="B58" t="s">
        <v>74</v>
      </c>
      <c r="C58" t="s">
        <v>92</v>
      </c>
      <c r="D58" s="37">
        <f>-Calculations!C53</f>
        <v>-0.16910599999999998</v>
      </c>
    </row>
    <row r="59" spans="1:6" x14ac:dyDescent="0.25">
      <c r="A59" t="s">
        <v>235</v>
      </c>
      <c r="B59" t="s">
        <v>236</v>
      </c>
      <c r="C59" t="s">
        <v>92</v>
      </c>
      <c r="D59" s="37">
        <f>-Calculations!C61</f>
        <v>-1.7989999999999999E-2</v>
      </c>
    </row>
    <row r="60" spans="1:6" x14ac:dyDescent="0.25">
      <c r="A60" t="s">
        <v>75</v>
      </c>
      <c r="B60" t="s">
        <v>76</v>
      </c>
      <c r="C60" t="s">
        <v>92</v>
      </c>
      <c r="D60" s="37">
        <f>-Calculations!C52</f>
        <v>-2.5700000000000002E-3</v>
      </c>
    </row>
    <row r="61" spans="1:6" x14ac:dyDescent="0.25">
      <c r="A61" t="s">
        <v>77</v>
      </c>
      <c r="B61" t="s">
        <v>78</v>
      </c>
      <c r="C61" t="s">
        <v>92</v>
      </c>
      <c r="D61" s="37">
        <f>-Calculations!C54</f>
        <v>-7.7099999999999998E-3</v>
      </c>
    </row>
    <row r="62" spans="1:6" x14ac:dyDescent="0.25">
      <c r="A62" t="s">
        <v>179</v>
      </c>
      <c r="B62" t="s">
        <v>181</v>
      </c>
      <c r="C62" t="s">
        <v>92</v>
      </c>
      <c r="D62" s="37">
        <v>1</v>
      </c>
    </row>
    <row r="63" spans="1:6" x14ac:dyDescent="0.25">
      <c r="A63" t="s">
        <v>79</v>
      </c>
      <c r="B63" s="26" t="s">
        <v>80</v>
      </c>
      <c r="C63" t="s">
        <v>91</v>
      </c>
      <c r="D63" s="37">
        <f>-Calculations!D66</f>
        <v>-0.10449772209567196</v>
      </c>
    </row>
    <row r="64" spans="1:6" x14ac:dyDescent="0.25">
      <c r="A64" s="50" t="s">
        <v>239</v>
      </c>
      <c r="B64" s="51" t="s">
        <v>240</v>
      </c>
      <c r="C64" s="50" t="s">
        <v>91</v>
      </c>
      <c r="D64" s="52">
        <f>-Calculations!D67</f>
        <v>-9.9521640091116154E-3</v>
      </c>
      <c r="F64" s="50"/>
    </row>
    <row r="65" spans="1:4" x14ac:dyDescent="0.25">
      <c r="A65" t="s">
        <v>206</v>
      </c>
      <c r="B65" s="26" t="s">
        <v>207</v>
      </c>
      <c r="C65" t="s">
        <v>91</v>
      </c>
      <c r="D65" s="37">
        <f>-Calculations!D68</f>
        <v>-1.0830296127562641E-2</v>
      </c>
    </row>
    <row r="66" spans="1:4" x14ac:dyDescent="0.25">
      <c r="A66" s="26" t="s">
        <v>82</v>
      </c>
      <c r="B66" s="26" t="s">
        <v>81</v>
      </c>
      <c r="C66" t="s">
        <v>91</v>
      </c>
      <c r="D66" s="37">
        <f>-Calculations!D69</f>
        <v>-0.12615831435079725</v>
      </c>
    </row>
    <row r="67" spans="1:4" x14ac:dyDescent="0.25">
      <c r="A67" s="26" t="s">
        <v>83</v>
      </c>
      <c r="B67" s="26" t="s">
        <v>205</v>
      </c>
      <c r="C67" t="s">
        <v>91</v>
      </c>
      <c r="D67" s="37">
        <f>-Calculations!D70</f>
        <v>-4.9760820045558077E-3</v>
      </c>
    </row>
    <row r="68" spans="1:4" x14ac:dyDescent="0.25">
      <c r="A68" s="45" t="s">
        <v>228</v>
      </c>
      <c r="B68" s="26" t="s">
        <v>232</v>
      </c>
      <c r="C68" s="44" t="s">
        <v>91</v>
      </c>
      <c r="D68" s="46">
        <f>-Calculations!D71</f>
        <v>-5.8542141230068321E-4</v>
      </c>
    </row>
    <row r="69" spans="1:4" x14ac:dyDescent="0.25">
      <c r="A69" s="26" t="s">
        <v>180</v>
      </c>
      <c r="B69" s="26" t="s">
        <v>182</v>
      </c>
      <c r="C69" t="s">
        <v>91</v>
      </c>
      <c r="D69" s="37">
        <v>1</v>
      </c>
    </row>
    <row r="70" spans="1:4" x14ac:dyDescent="0.25">
      <c r="A70" t="str">
        <f>Calculations!A44</f>
        <v>glycogen</v>
      </c>
      <c r="B70" s="26" t="s">
        <v>198</v>
      </c>
      <c r="C70" t="s">
        <v>188</v>
      </c>
      <c r="D70" s="37">
        <f>-Calculations!E44</f>
        <v>-0.2909383822002557</v>
      </c>
    </row>
    <row r="71" spans="1:4" x14ac:dyDescent="0.25">
      <c r="A71" t="str">
        <f>Calculations!A45</f>
        <v>mannan</v>
      </c>
      <c r="B71" s="26" t="s">
        <v>199</v>
      </c>
      <c r="C71" t="s">
        <v>188</v>
      </c>
      <c r="D71" s="37">
        <f>-Calculations!E45</f>
        <v>-0.69074402999802642</v>
      </c>
    </row>
    <row r="72" spans="1:4" x14ac:dyDescent="0.25">
      <c r="A72" t="str">
        <f>Calculations!A46</f>
        <v>trehalose</v>
      </c>
      <c r="B72" s="26" t="s">
        <v>200</v>
      </c>
      <c r="C72" t="s">
        <v>188</v>
      </c>
      <c r="D72" s="37">
        <f>-Calculations!E46</f>
        <v>-0.11716841620479562</v>
      </c>
    </row>
    <row r="73" spans="1:4" x14ac:dyDescent="0.25">
      <c r="A73" t="str">
        <f>Calculations!A47</f>
        <v>(1-&gt;3)-beta-D-glucan</v>
      </c>
      <c r="B73" t="s">
        <v>196</v>
      </c>
      <c r="C73" t="s">
        <v>188</v>
      </c>
      <c r="D73" s="37">
        <f>-Calculations!E47</f>
        <v>-0.72828446641096278</v>
      </c>
    </row>
    <row r="74" spans="1:4" x14ac:dyDescent="0.25">
      <c r="A74" t="str">
        <f>Calculations!A48</f>
        <v>(1-&gt;6)-beta-D-glucan</v>
      </c>
      <c r="B74" t="s">
        <v>197</v>
      </c>
      <c r="C74" t="s">
        <v>188</v>
      </c>
      <c r="D74" s="37">
        <f>-Calculations!E48</f>
        <v>-0.24326202795582674</v>
      </c>
    </row>
    <row r="75" spans="1:4" x14ac:dyDescent="0.25">
      <c r="A75" t="s">
        <v>188</v>
      </c>
      <c r="B75" s="26" t="s">
        <v>201</v>
      </c>
      <c r="C75" t="s">
        <v>188</v>
      </c>
      <c r="D75" s="3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E.A.</cp:lastModifiedBy>
  <dcterms:created xsi:type="dcterms:W3CDTF">2019-06-30T09:30:52Z</dcterms:created>
  <dcterms:modified xsi:type="dcterms:W3CDTF">2023-04-13T14:20:19Z</dcterms:modified>
</cp:coreProperties>
</file>