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0955" windowHeight="9975"/>
  </bookViews>
  <sheets>
    <sheet name="Order Request Form" sheetId="1" r:id="rId1"/>
    <sheet name="Price Breaks" sheetId="2" r:id="rId2"/>
  </sheets>
  <calcPr calcId="125725"/>
</workbook>
</file>

<file path=xl/calcChain.xml><?xml version="1.0" encoding="utf-8"?>
<calcChain xmlns="http://schemas.openxmlformats.org/spreadsheetml/2006/main">
  <c r="D31" i="1"/>
  <c r="G19"/>
  <c r="H19" s="1"/>
  <c r="G18"/>
  <c r="H18" s="1"/>
  <c r="G17"/>
  <c r="H17" s="1"/>
  <c r="G16"/>
  <c r="H16" s="1"/>
  <c r="G15"/>
  <c r="H15" s="1"/>
  <c r="G14"/>
  <c r="H14" s="1"/>
  <c r="G13"/>
  <c r="H13" s="1"/>
  <c r="G12"/>
  <c r="H12" s="1"/>
  <c r="G11"/>
  <c r="H11" s="1"/>
  <c r="G10"/>
  <c r="G9"/>
  <c r="H9" s="1"/>
  <c r="G8"/>
  <c r="H8" s="1"/>
  <c r="G7"/>
  <c r="H7" s="1"/>
  <c r="G6"/>
  <c r="H6" s="1"/>
  <c r="G5"/>
  <c r="H5" s="1"/>
  <c r="G4"/>
  <c r="H4" s="1"/>
  <c r="G3"/>
  <c r="H3" s="1"/>
  <c r="G2"/>
  <c r="H2" s="1"/>
  <c r="H10"/>
  <c r="E27"/>
  <c r="F27" s="1"/>
  <c r="G27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F20" s="1"/>
  <c r="G20" s="1"/>
  <c r="E21"/>
  <c r="F21" s="1"/>
  <c r="G21" s="1"/>
  <c r="E22"/>
  <c r="F22" s="1"/>
  <c r="G22" s="1"/>
  <c r="E23"/>
  <c r="F23" s="1"/>
  <c r="G23" s="1"/>
  <c r="H23" s="1"/>
  <c r="E24"/>
  <c r="F24" s="1"/>
  <c r="G24" s="1"/>
  <c r="E25"/>
  <c r="F25" s="1"/>
  <c r="G25" s="1"/>
  <c r="E26"/>
  <c r="F26" s="1"/>
  <c r="G26" s="1"/>
  <c r="E2"/>
  <c r="H22" l="1"/>
  <c r="H20"/>
  <c r="H27"/>
  <c r="H26"/>
  <c r="H25"/>
  <c r="H24"/>
  <c r="H21"/>
  <c r="H29" s="1"/>
  <c r="H30" l="1"/>
  <c r="H32"/>
  <c r="H33" s="1"/>
</calcChain>
</file>

<file path=xl/sharedStrings.xml><?xml version="1.0" encoding="utf-8"?>
<sst xmlns="http://schemas.openxmlformats.org/spreadsheetml/2006/main" count="118" uniqueCount="70">
  <si>
    <t>Item</t>
  </si>
  <si>
    <t>Count/Bd</t>
  </si>
  <si>
    <t>RES 330 OHM 1/10W 5% 0603</t>
  </si>
  <si>
    <t>CAP CER 0.1UF 16V 10% X7R 0603</t>
  </si>
  <si>
    <t>CAP TANT 100UF 10V 20% 1206</t>
  </si>
  <si>
    <t>RES 10K OHM 1/10W 5% 0603</t>
  </si>
  <si>
    <t>CAP CER 10UF 10V Y5V 0805</t>
  </si>
  <si>
    <t>CAP CER 1000PF 25V 10% X7R 0603</t>
  </si>
  <si>
    <t>CAP CER 1UF 10V 10% X5R 0603</t>
  </si>
  <si>
    <t>CAP CER 2.2UF 10V 10% X5R 0603</t>
  </si>
  <si>
    <t>CAP CER 4700PF 50V 10% X7R 0603</t>
  </si>
  <si>
    <t>RES 4.7K OHM 1/10W 5% 0603</t>
  </si>
  <si>
    <t>RES 4.99K OHM 1/16W 0.1% 0603</t>
  </si>
  <si>
    <t>RES 5.6K OHM 1/10W 5% 0603</t>
  </si>
  <si>
    <t>RES 499K OHM 1/10W 0.1% 0805</t>
  </si>
  <si>
    <t>LED 1.6X0.8MM 568NM GRN CLR SMD</t>
  </si>
  <si>
    <t>LED 1.6X0.8MM 640NM RED CLR SMD</t>
  </si>
  <si>
    <t>SWITCH TACTILE SPST-NO 0.05A 32V</t>
  </si>
  <si>
    <t>CONN FEMALE 12POS .100" R/A GOLD</t>
  </si>
  <si>
    <t>BERGSTIK II .100" DR STRAIGHT</t>
  </si>
  <si>
    <t>IC EEPROM 256KBIT 1MHZ 8MSOP</t>
  </si>
  <si>
    <t>IC AFE 24BIT 16KSPS LN 64TQFP</t>
  </si>
  <si>
    <t>IC MCU 32BIT 64KB FLASH 48TQFP</t>
  </si>
  <si>
    <t>MODULE BLUETOOTH V2.1+EDR</t>
  </si>
  <si>
    <t>IC OPAMP GP 5.5MHZ DUAL 8VSSOP</t>
  </si>
  <si>
    <t>Low-Cap 4Ch +/-15kV ESD Protection Array</t>
  </si>
  <si>
    <t>IC REG LDO 5V 0.15A SOT23-5</t>
  </si>
  <si>
    <t>PN</t>
  </si>
  <si>
    <t>Vendor</t>
  </si>
  <si>
    <t>Unit Price</t>
  </si>
  <si>
    <t>Subtotal</t>
  </si>
  <si>
    <t>DigiKey</t>
  </si>
  <si>
    <t>Mouser</t>
  </si>
  <si>
    <t>595-TPD4E001DBVR</t>
  </si>
  <si>
    <t>RMCF0603JT330R</t>
  </si>
  <si>
    <t>C0603C104K4RACTU</t>
  </si>
  <si>
    <t>TL8A0107M010C</t>
  </si>
  <si>
    <t>RMCF0603JT10K0</t>
  </si>
  <si>
    <t>C0805C106Z8VACTU</t>
  </si>
  <si>
    <t>C0603C102K3RACTU</t>
  </si>
  <si>
    <t>C0603C105K8PACTU</t>
  </si>
  <si>
    <t>C0603C225K8PACTU</t>
  </si>
  <si>
    <t>C0603C472K5RACTU</t>
  </si>
  <si>
    <t>RMCF0603JT4K70</t>
  </si>
  <si>
    <t>RNCS0603BKE4K99</t>
  </si>
  <si>
    <t>RMCF0603JT5K60</t>
  </si>
  <si>
    <t>RNCS0805BKE499K</t>
  </si>
  <si>
    <t>APT1608SGC</t>
  </si>
  <si>
    <t>APT1608SRCPRV</t>
  </si>
  <si>
    <t>KMR231GLFS</t>
  </si>
  <si>
    <t>PPPC121LGBN-RC</t>
  </si>
  <si>
    <t>68602-110HLF</t>
  </si>
  <si>
    <t>FT24C256A-UMR-B</t>
  </si>
  <si>
    <t>ADS1299IPAG</t>
  </si>
  <si>
    <t>AT32UC3L064-AUT</t>
  </si>
  <si>
    <t>RN42-I/RM</t>
  </si>
  <si>
    <t>OPA2376AIDGKR</t>
  </si>
  <si>
    <t>TPS73150DBVT</t>
  </si>
  <si>
    <t>Count/Run</t>
  </si>
  <si>
    <t>Order</t>
  </si>
  <si>
    <t>Stacking Header Set for Beagle Bone Capes (2x23)</t>
  </si>
  <si>
    <t>Adafruit</t>
  </si>
  <si>
    <t>Price Break</t>
  </si>
  <si>
    <t>PARTS TOTAL/RUN:</t>
  </si>
  <si>
    <t>PARTS TOTAL/BD:</t>
  </si>
  <si>
    <t>BD/RUN:</t>
  </si>
  <si>
    <t>COST/BD:</t>
  </si>
  <si>
    <t>BD TOTAL/RUN:</t>
  </si>
  <si>
    <t>GRAND TOTAL/RUN:</t>
  </si>
  <si>
    <t>GRAND TOTAL/BD: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</si>
</sst>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.000000_);_(&quot;$&quot;* \(#,##0.000000\);_(&quot;$&quot;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thin">
        <color rgb="FF3F3F3F"/>
      </left>
      <right style="medium">
        <color auto="1"/>
      </right>
      <top style="medium">
        <color auto="1"/>
      </top>
      <bottom style="thin">
        <color rgb="FF3F3F3F"/>
      </bottom>
      <diagonal/>
    </border>
    <border>
      <left style="thin">
        <color rgb="FF3F3F3F"/>
      </left>
      <right style="medium">
        <color auto="1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auto="1"/>
      </right>
      <top style="thin">
        <color rgb="FF3F3F3F"/>
      </top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/>
    <xf numFmtId="0" fontId="18" fillId="0" borderId="0" xfId="0" applyFont="1"/>
    <xf numFmtId="0" fontId="19" fillId="0" borderId="0" xfId="0" applyFont="1"/>
    <xf numFmtId="44" fontId="0" fillId="0" borderId="0" xfId="42" applyFont="1"/>
    <xf numFmtId="164" fontId="0" fillId="0" borderId="0" xfId="42" applyNumberFormat="1" applyFont="1"/>
    <xf numFmtId="0" fontId="21" fillId="0" borderId="0" xfId="0" applyFont="1" applyAlignment="1">
      <alignment horizontal="left"/>
    </xf>
    <xf numFmtId="0" fontId="0" fillId="0" borderId="0" xfId="0" applyAlignment="1">
      <alignment horizontal="left"/>
    </xf>
    <xf numFmtId="165" fontId="0" fillId="0" borderId="0" xfId="42" applyNumberFormat="1" applyFont="1"/>
    <xf numFmtId="0" fontId="0" fillId="33" borderId="0" xfId="0" applyFill="1"/>
    <xf numFmtId="0" fontId="13" fillId="34" borderId="0" xfId="0" applyFont="1" applyFill="1" applyAlignment="1">
      <alignment horizontal="center"/>
    </xf>
    <xf numFmtId="0" fontId="22" fillId="35" borderId="0" xfId="0" applyFont="1" applyFill="1" applyAlignment="1">
      <alignment horizontal="center"/>
    </xf>
    <xf numFmtId="0" fontId="16" fillId="0" borderId="10" xfId="0" applyFont="1" applyBorder="1"/>
    <xf numFmtId="0" fontId="20" fillId="0" borderId="0" xfId="0" applyFont="1" applyBorder="1"/>
    <xf numFmtId="0" fontId="0" fillId="0" borderId="0" xfId="0" applyBorder="1"/>
    <xf numFmtId="0" fontId="0" fillId="0" borderId="12" xfId="0" applyBorder="1"/>
    <xf numFmtId="0" fontId="20" fillId="0" borderId="12" xfId="0" applyFont="1" applyBorder="1"/>
    <xf numFmtId="0" fontId="20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0" fillId="0" borderId="16" xfId="0" applyFont="1" applyBorder="1"/>
    <xf numFmtId="0" fontId="20" fillId="0" borderId="11" xfId="0" applyFont="1" applyFill="1" applyBorder="1"/>
    <xf numFmtId="0" fontId="0" fillId="0" borderId="13" xfId="0" applyBorder="1"/>
    <xf numFmtId="0" fontId="16" fillId="0" borderId="10" xfId="0" applyFont="1" applyFill="1" applyBorder="1"/>
    <xf numFmtId="0" fontId="9" fillId="5" borderId="4" xfId="9"/>
    <xf numFmtId="44" fontId="10" fillId="6" borderId="5" xfId="10" applyNumberFormat="1"/>
    <xf numFmtId="0" fontId="9" fillId="5" borderId="17" xfId="9" applyBorder="1" applyAlignment="1">
      <alignment horizontal="center"/>
    </xf>
    <xf numFmtId="44" fontId="10" fillId="6" borderId="18" xfId="10" applyNumberFormat="1" applyBorder="1"/>
    <xf numFmtId="44" fontId="9" fillId="5" borderId="4" xfId="9" applyNumberFormat="1" applyBorder="1"/>
    <xf numFmtId="44" fontId="10" fillId="6" borderId="19" xfId="10" applyNumberFormat="1" applyBorder="1"/>
    <xf numFmtId="44" fontId="10" fillId="6" borderId="5" xfId="10" applyNumberFormat="1" applyBorder="1"/>
    <xf numFmtId="44" fontId="10" fillId="6" borderId="20" xfId="1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selection activeCell="K16" sqref="K16"/>
    </sheetView>
  </sheetViews>
  <sheetFormatPr defaultRowHeight="15"/>
  <cols>
    <col min="1" max="1" width="45.5703125" bestFit="1" customWidth="1"/>
    <col min="2" max="2" width="9.42578125" bestFit="1" customWidth="1"/>
    <col min="3" max="3" width="21.85546875" bestFit="1" customWidth="1"/>
    <col min="4" max="4" width="13" customWidth="1"/>
    <col min="5" max="5" width="10.5703125" bestFit="1" customWidth="1"/>
    <col min="6" max="6" width="9.7109375" bestFit="1" customWidth="1"/>
    <col min="7" max="7" width="10" bestFit="1" customWidth="1"/>
    <col min="8" max="8" width="15.28515625" customWidth="1"/>
    <col min="9" max="9" width="11.28515625" bestFit="1" customWidth="1"/>
  </cols>
  <sheetData>
    <row r="1" spans="1:8">
      <c r="A1" s="12" t="s">
        <v>0</v>
      </c>
      <c r="B1" s="12" t="s">
        <v>28</v>
      </c>
      <c r="C1" s="12" t="s">
        <v>27</v>
      </c>
      <c r="D1" s="12" t="s">
        <v>1</v>
      </c>
      <c r="E1" s="12" t="s">
        <v>58</v>
      </c>
      <c r="F1" s="24" t="s">
        <v>59</v>
      </c>
      <c r="G1" s="12" t="s">
        <v>29</v>
      </c>
      <c r="H1" s="12" t="s">
        <v>30</v>
      </c>
    </row>
    <row r="2" spans="1:8">
      <c r="A2" s="2" t="s">
        <v>2</v>
      </c>
      <c r="B2" s="1" t="s">
        <v>31</v>
      </c>
      <c r="C2" s="2" t="s">
        <v>34</v>
      </c>
      <c r="D2" s="1">
        <v>2</v>
      </c>
      <c r="E2">
        <f t="shared" ref="E2:E27" si="0">D2*$D$29</f>
        <v>6</v>
      </c>
      <c r="F2" s="25">
        <v>10</v>
      </c>
      <c r="G2" s="5">
        <f>VLOOKUP(F2,'Price Breaks'!$A$2:$AA$12,2)</f>
        <v>1.7000000000000001E-2</v>
      </c>
      <c r="H2" s="26">
        <f>F2*G2</f>
        <v>0.17</v>
      </c>
    </row>
    <row r="3" spans="1:8">
      <c r="A3" s="2" t="s">
        <v>3</v>
      </c>
      <c r="B3" s="1" t="s">
        <v>31</v>
      </c>
      <c r="C3" s="1" t="s">
        <v>35</v>
      </c>
      <c r="D3" s="1">
        <v>15</v>
      </c>
      <c r="E3" s="1">
        <f t="shared" si="0"/>
        <v>45</v>
      </c>
      <c r="F3" s="25">
        <v>50</v>
      </c>
      <c r="G3" s="5">
        <f>VLOOKUP(F3,'Price Breaks'!$A$2:$AA$12,3)</f>
        <v>1.18E-2</v>
      </c>
      <c r="H3" s="26">
        <f t="shared" ref="H3:H27" si="1">F3*G3</f>
        <v>0.59</v>
      </c>
    </row>
    <row r="4" spans="1:8">
      <c r="A4" s="2" t="s">
        <v>4</v>
      </c>
      <c r="B4" s="1" t="s">
        <v>31</v>
      </c>
      <c r="C4" s="1" t="s">
        <v>36</v>
      </c>
      <c r="D4" s="1">
        <v>1</v>
      </c>
      <c r="E4" s="1">
        <f t="shared" si="0"/>
        <v>3</v>
      </c>
      <c r="F4" s="25">
        <v>10</v>
      </c>
      <c r="G4" s="5">
        <f>VLOOKUP(F4,'Price Breaks'!$A$2:$AA$12,4)</f>
        <v>1.1279999999999999</v>
      </c>
      <c r="H4" s="26">
        <f t="shared" si="1"/>
        <v>11.28</v>
      </c>
    </row>
    <row r="5" spans="1:8">
      <c r="A5" s="2" t="s">
        <v>5</v>
      </c>
      <c r="B5" s="1" t="s">
        <v>31</v>
      </c>
      <c r="C5" s="1" t="s">
        <v>37</v>
      </c>
      <c r="D5" s="1">
        <v>5</v>
      </c>
      <c r="E5" s="1">
        <f t="shared" si="0"/>
        <v>15</v>
      </c>
      <c r="F5" s="25">
        <v>20</v>
      </c>
      <c r="G5" s="5">
        <f>VLOOKUP(F5,'Price Breaks'!$A$2:$AA$12,5)</f>
        <v>1.7000000000000001E-2</v>
      </c>
      <c r="H5" s="26">
        <f t="shared" si="1"/>
        <v>0.34</v>
      </c>
    </row>
    <row r="6" spans="1:8">
      <c r="A6" s="2" t="s">
        <v>6</v>
      </c>
      <c r="B6" s="1" t="s">
        <v>31</v>
      </c>
      <c r="C6" s="1" t="s">
        <v>38</v>
      </c>
      <c r="D6" s="1">
        <v>2</v>
      </c>
      <c r="E6" s="1">
        <f t="shared" si="0"/>
        <v>6</v>
      </c>
      <c r="F6" s="25">
        <v>20</v>
      </c>
      <c r="G6" s="5">
        <f>VLOOKUP(F6,'Price Breaks'!$A$2:$AA$12,6)</f>
        <v>0.111</v>
      </c>
      <c r="H6" s="26">
        <f t="shared" si="1"/>
        <v>2.2200000000000002</v>
      </c>
    </row>
    <row r="7" spans="1:8">
      <c r="A7" s="2" t="s">
        <v>7</v>
      </c>
      <c r="B7" s="1" t="s">
        <v>31</v>
      </c>
      <c r="C7" s="1" t="s">
        <v>39</v>
      </c>
      <c r="D7" s="1">
        <v>1</v>
      </c>
      <c r="E7" s="1">
        <f t="shared" si="0"/>
        <v>3</v>
      </c>
      <c r="F7" s="25">
        <v>10</v>
      </c>
      <c r="G7" s="5">
        <f>VLOOKUP(F7,'Price Breaks'!$A$2:$AA$12,7)</f>
        <v>0.02</v>
      </c>
      <c r="H7" s="26">
        <f t="shared" si="1"/>
        <v>0.2</v>
      </c>
    </row>
    <row r="8" spans="1:8">
      <c r="A8" s="2" t="s">
        <v>8</v>
      </c>
      <c r="B8" s="1" t="s">
        <v>31</v>
      </c>
      <c r="C8" s="1" t="s">
        <v>40</v>
      </c>
      <c r="D8" s="1">
        <v>7</v>
      </c>
      <c r="E8" s="1">
        <f t="shared" si="0"/>
        <v>21</v>
      </c>
      <c r="F8" s="25">
        <v>50</v>
      </c>
      <c r="G8" s="5">
        <f>VLOOKUP(F8,'Price Breaks'!$A$2:$AA$12,8)</f>
        <v>2.1000000000000001E-2</v>
      </c>
      <c r="H8" s="26">
        <f t="shared" si="1"/>
        <v>1.05</v>
      </c>
    </row>
    <row r="9" spans="1:8">
      <c r="A9" s="2" t="s">
        <v>9</v>
      </c>
      <c r="B9" s="1" t="s">
        <v>31</v>
      </c>
      <c r="C9" s="1" t="s">
        <v>41</v>
      </c>
      <c r="D9" s="1">
        <v>1</v>
      </c>
      <c r="E9" s="1">
        <f t="shared" si="0"/>
        <v>3</v>
      </c>
      <c r="F9" s="25">
        <v>10</v>
      </c>
      <c r="G9" s="5">
        <f>VLOOKUP(F9,'Price Breaks'!$A$2:$AA$12,9)</f>
        <v>0.113</v>
      </c>
      <c r="H9" s="26">
        <f t="shared" si="1"/>
        <v>1.1300000000000001</v>
      </c>
    </row>
    <row r="10" spans="1:8">
      <c r="A10" s="2" t="s">
        <v>10</v>
      </c>
      <c r="B10" s="1" t="s">
        <v>31</v>
      </c>
      <c r="C10" s="1" t="s">
        <v>42</v>
      </c>
      <c r="D10" s="1">
        <v>9</v>
      </c>
      <c r="E10" s="1">
        <f t="shared" si="0"/>
        <v>27</v>
      </c>
      <c r="F10" s="25">
        <v>50</v>
      </c>
      <c r="G10" s="5">
        <f>VLOOKUP(F10,'Price Breaks'!$A$2:$AA$12,10)</f>
        <v>1.6199999999999999E-2</v>
      </c>
      <c r="H10" s="26">
        <f t="shared" si="1"/>
        <v>0.80999999999999994</v>
      </c>
    </row>
    <row r="11" spans="1:8">
      <c r="A11" s="2" t="s">
        <v>11</v>
      </c>
      <c r="B11" s="1" t="s">
        <v>31</v>
      </c>
      <c r="C11" s="1" t="s">
        <v>43</v>
      </c>
      <c r="D11" s="1">
        <v>3</v>
      </c>
      <c r="E11" s="1">
        <f t="shared" si="0"/>
        <v>9</v>
      </c>
      <c r="F11" s="25">
        <v>20</v>
      </c>
      <c r="G11" s="5">
        <f>VLOOKUP(F11,'Price Breaks'!$A$2:$AA$12,11)</f>
        <v>1.7000000000000001E-2</v>
      </c>
      <c r="H11" s="26">
        <f t="shared" si="1"/>
        <v>0.34</v>
      </c>
    </row>
    <row r="12" spans="1:8">
      <c r="A12" s="2" t="s">
        <v>12</v>
      </c>
      <c r="B12" s="1" t="s">
        <v>31</v>
      </c>
      <c r="C12" s="1" t="s">
        <v>44</v>
      </c>
      <c r="D12" s="1">
        <v>11</v>
      </c>
      <c r="E12" s="1">
        <f t="shared" si="0"/>
        <v>33</v>
      </c>
      <c r="F12" s="25">
        <v>50</v>
      </c>
      <c r="G12" s="5">
        <f>VLOOKUP(F12,'Price Breaks'!$A$2:$AA$12,12)</f>
        <v>0.28760000000000002</v>
      </c>
      <c r="H12" s="26">
        <f t="shared" si="1"/>
        <v>14.38</v>
      </c>
    </row>
    <row r="13" spans="1:8">
      <c r="A13" s="2" t="s">
        <v>13</v>
      </c>
      <c r="B13" s="1" t="s">
        <v>31</v>
      </c>
      <c r="C13" s="1" t="s">
        <v>45</v>
      </c>
      <c r="D13" s="1">
        <v>2</v>
      </c>
      <c r="E13" s="1">
        <f t="shared" si="0"/>
        <v>6</v>
      </c>
      <c r="F13" s="25">
        <v>20</v>
      </c>
      <c r="G13" s="5">
        <f>VLOOKUP(F13,'Price Breaks'!$A$2:$AA$12,13)</f>
        <v>1.7000000000000001E-2</v>
      </c>
      <c r="H13" s="26">
        <f t="shared" si="1"/>
        <v>0.34</v>
      </c>
    </row>
    <row r="14" spans="1:8">
      <c r="A14" s="2" t="s">
        <v>14</v>
      </c>
      <c r="B14" s="1" t="s">
        <v>31</v>
      </c>
      <c r="C14" s="1" t="s">
        <v>46</v>
      </c>
      <c r="D14" s="1">
        <v>1</v>
      </c>
      <c r="E14" s="1">
        <f t="shared" si="0"/>
        <v>3</v>
      </c>
      <c r="F14" s="25">
        <v>10</v>
      </c>
      <c r="G14" s="5">
        <f>VLOOKUP(F14,'Price Breaks'!$A$2:$AA$12,14)</f>
        <v>0.52300000000000002</v>
      </c>
      <c r="H14" s="26">
        <f t="shared" si="1"/>
        <v>5.23</v>
      </c>
    </row>
    <row r="15" spans="1:8">
      <c r="A15" s="2" t="s">
        <v>15</v>
      </c>
      <c r="B15" s="1" t="s">
        <v>31</v>
      </c>
      <c r="C15" s="1" t="s">
        <v>47</v>
      </c>
      <c r="D15" s="1">
        <v>1</v>
      </c>
      <c r="E15" s="1">
        <f t="shared" si="0"/>
        <v>3</v>
      </c>
      <c r="F15" s="25">
        <v>10</v>
      </c>
      <c r="G15" s="5">
        <f>VLOOKUP(F15,'Price Breaks'!$A$2:$AA$12,15)</f>
        <v>0.11700000000000001</v>
      </c>
      <c r="H15" s="26">
        <f t="shared" si="1"/>
        <v>1.1700000000000002</v>
      </c>
    </row>
    <row r="16" spans="1:8">
      <c r="A16" s="2" t="s">
        <v>16</v>
      </c>
      <c r="B16" s="1" t="s">
        <v>31</v>
      </c>
      <c r="C16" s="1" t="s">
        <v>48</v>
      </c>
      <c r="D16" s="1">
        <v>1</v>
      </c>
      <c r="E16" s="1">
        <f t="shared" si="0"/>
        <v>3</v>
      </c>
      <c r="F16" s="25">
        <v>10</v>
      </c>
      <c r="G16" s="5">
        <f>VLOOKUP(F16,'Price Breaks'!$A$2:$AA$12,16)</f>
        <v>0.13100000000000001</v>
      </c>
      <c r="H16" s="26">
        <f t="shared" si="1"/>
        <v>1.31</v>
      </c>
    </row>
    <row r="17" spans="1:8">
      <c r="A17" s="2" t="s">
        <v>17</v>
      </c>
      <c r="B17" s="1" t="s">
        <v>31</v>
      </c>
      <c r="C17" s="1" t="s">
        <v>49</v>
      </c>
      <c r="D17" s="1">
        <v>1</v>
      </c>
      <c r="E17" s="1">
        <f t="shared" si="0"/>
        <v>3</v>
      </c>
      <c r="F17" s="25">
        <v>10</v>
      </c>
      <c r="G17" s="5">
        <f>VLOOKUP(F17,'Price Breaks'!$A$2:$AA$12,17)</f>
        <v>0.60399999999999998</v>
      </c>
      <c r="H17" s="26">
        <f t="shared" si="1"/>
        <v>6.04</v>
      </c>
    </row>
    <row r="18" spans="1:8">
      <c r="A18" s="2" t="s">
        <v>18</v>
      </c>
      <c r="B18" s="1" t="s">
        <v>31</v>
      </c>
      <c r="C18" s="1" t="s">
        <v>50</v>
      </c>
      <c r="D18" s="1">
        <v>1</v>
      </c>
      <c r="E18" s="1">
        <f t="shared" si="0"/>
        <v>3</v>
      </c>
      <c r="F18" s="25">
        <v>10</v>
      </c>
      <c r="G18" s="5">
        <f>VLOOKUP(F18,'Price Breaks'!$A$2:$AA$12,18)</f>
        <v>0.84</v>
      </c>
      <c r="H18" s="26">
        <f t="shared" si="1"/>
        <v>8.4</v>
      </c>
    </row>
    <row r="19" spans="1:8">
      <c r="A19" s="2" t="s">
        <v>19</v>
      </c>
      <c r="B19" s="1" t="s">
        <v>31</v>
      </c>
      <c r="C19" s="1" t="s">
        <v>51</v>
      </c>
      <c r="D19" s="1">
        <v>1</v>
      </c>
      <c r="E19" s="1">
        <f t="shared" si="0"/>
        <v>3</v>
      </c>
      <c r="F19" s="25">
        <v>10</v>
      </c>
      <c r="G19" s="5">
        <f>VLOOKUP(F19,'Price Breaks'!$A$2:$AA$12,19)</f>
        <v>0.67100000000000004</v>
      </c>
      <c r="H19" s="26">
        <f t="shared" si="1"/>
        <v>6.7100000000000009</v>
      </c>
    </row>
    <row r="20" spans="1:8">
      <c r="A20" s="2" t="s">
        <v>20</v>
      </c>
      <c r="B20" s="1" t="s">
        <v>31</v>
      </c>
      <c r="C20" s="1" t="s">
        <v>52</v>
      </c>
      <c r="D20" s="1">
        <v>1</v>
      </c>
      <c r="E20" s="1">
        <f t="shared" si="0"/>
        <v>3</v>
      </c>
      <c r="F20" s="25">
        <f>CEILING(E20,5)</f>
        <v>5</v>
      </c>
      <c r="G20" s="5">
        <f>VLOOKUP(F20,'Price Breaks'!$A$2:$AA$12,20)</f>
        <v>0.92</v>
      </c>
      <c r="H20" s="26">
        <f t="shared" si="1"/>
        <v>4.6000000000000005</v>
      </c>
    </row>
    <row r="21" spans="1:8">
      <c r="A21" s="2" t="s">
        <v>21</v>
      </c>
      <c r="B21" s="1" t="s">
        <v>31</v>
      </c>
      <c r="C21" s="1" t="s">
        <v>53</v>
      </c>
      <c r="D21" s="1">
        <v>1</v>
      </c>
      <c r="E21" s="1">
        <f t="shared" si="0"/>
        <v>3</v>
      </c>
      <c r="F21" s="25">
        <f>E21</f>
        <v>3</v>
      </c>
      <c r="G21" s="5">
        <f>VLOOKUP(F21,'Price Breaks'!$A$2:$AA$12,21)</f>
        <v>58.14</v>
      </c>
      <c r="H21" s="26">
        <f t="shared" si="1"/>
        <v>174.42000000000002</v>
      </c>
    </row>
    <row r="22" spans="1:8">
      <c r="A22" s="2" t="s">
        <v>22</v>
      </c>
      <c r="B22" s="1" t="s">
        <v>31</v>
      </c>
      <c r="C22" s="1" t="s">
        <v>54</v>
      </c>
      <c r="D22" s="1">
        <v>1</v>
      </c>
      <c r="E22" s="1">
        <f t="shared" si="0"/>
        <v>3</v>
      </c>
      <c r="F22" s="25">
        <f t="shared" ref="F22:F23" si="2">E22</f>
        <v>3</v>
      </c>
      <c r="G22" s="5">
        <f>VLOOKUP(F22,'Price Breaks'!$A$2:$AA$12,22)</f>
        <v>7.8</v>
      </c>
      <c r="H22" s="26">
        <f t="shared" si="1"/>
        <v>23.4</v>
      </c>
    </row>
    <row r="23" spans="1:8">
      <c r="A23" s="2" t="s">
        <v>23</v>
      </c>
      <c r="B23" s="1" t="s">
        <v>31</v>
      </c>
      <c r="C23" s="1" t="s">
        <v>55</v>
      </c>
      <c r="D23" s="1">
        <v>1</v>
      </c>
      <c r="E23" s="1">
        <f t="shared" si="0"/>
        <v>3</v>
      </c>
      <c r="F23" s="25">
        <f t="shared" si="2"/>
        <v>3</v>
      </c>
      <c r="G23" s="5">
        <f>VLOOKUP(F23,'Price Breaks'!$A$2:$AA$12,23)</f>
        <v>19.14</v>
      </c>
      <c r="H23" s="26">
        <f t="shared" si="1"/>
        <v>57.42</v>
      </c>
    </row>
    <row r="24" spans="1:8">
      <c r="A24" s="2" t="s">
        <v>24</v>
      </c>
      <c r="B24" s="1" t="s">
        <v>31</v>
      </c>
      <c r="C24" s="1" t="s">
        <v>56</v>
      </c>
      <c r="D24" s="1">
        <v>1</v>
      </c>
      <c r="E24" s="1">
        <f t="shared" si="0"/>
        <v>3</v>
      </c>
      <c r="F24" s="25">
        <f>CEILING(E24,5)</f>
        <v>5</v>
      </c>
      <c r="G24" s="5">
        <f>VLOOKUP(F24,'Price Breaks'!$A$2:$AA$12,24)</f>
        <v>2.73</v>
      </c>
      <c r="H24" s="26">
        <f t="shared" si="1"/>
        <v>13.65</v>
      </c>
    </row>
    <row r="25" spans="1:8">
      <c r="A25" s="3" t="s">
        <v>25</v>
      </c>
      <c r="B25" s="1" t="s">
        <v>32</v>
      </c>
      <c r="C25" s="3" t="s">
        <v>33</v>
      </c>
      <c r="D25" s="1">
        <v>3</v>
      </c>
      <c r="E25" s="1">
        <f t="shared" si="0"/>
        <v>9</v>
      </c>
      <c r="F25" s="25">
        <f>CEILING(E25,10)</f>
        <v>10</v>
      </c>
      <c r="G25" s="5">
        <f>VLOOKUP(F25,'Price Breaks'!$A$2:$AA$12,25)</f>
        <v>0.36</v>
      </c>
      <c r="H25" s="26">
        <f t="shared" si="1"/>
        <v>3.5999999999999996</v>
      </c>
    </row>
    <row r="26" spans="1:8">
      <c r="A26" s="2" t="s">
        <v>26</v>
      </c>
      <c r="B26" s="1" t="s">
        <v>31</v>
      </c>
      <c r="C26" s="1" t="s">
        <v>57</v>
      </c>
      <c r="D26" s="1">
        <v>1</v>
      </c>
      <c r="E26" s="1">
        <f t="shared" si="0"/>
        <v>3</v>
      </c>
      <c r="F26" s="25">
        <f>CEILING(E26,5)</f>
        <v>5</v>
      </c>
      <c r="G26" s="5">
        <f>VLOOKUP(F26,'Price Breaks'!$A$2:$AA$12,26)</f>
        <v>1.23</v>
      </c>
      <c r="H26" s="26">
        <f t="shared" si="1"/>
        <v>6.15</v>
      </c>
    </row>
    <row r="27" spans="1:8">
      <c r="A27" s="6" t="s">
        <v>60</v>
      </c>
      <c r="B27" s="1" t="s">
        <v>61</v>
      </c>
      <c r="C27" s="7">
        <v>706</v>
      </c>
      <c r="D27">
        <v>1</v>
      </c>
      <c r="E27">
        <f t="shared" si="0"/>
        <v>3</v>
      </c>
      <c r="F27" s="25">
        <f>E27</f>
        <v>3</v>
      </c>
      <c r="G27" s="5">
        <f>VLOOKUP(F27,'Price Breaks'!$A$2:$AA$12,27)</f>
        <v>4.95</v>
      </c>
      <c r="H27" s="26">
        <f t="shared" si="1"/>
        <v>14.850000000000001</v>
      </c>
    </row>
    <row r="28" spans="1:8" ht="15.75" thickBot="1"/>
    <row r="29" spans="1:8">
      <c r="C29" s="22" t="s">
        <v>65</v>
      </c>
      <c r="D29" s="27">
        <v>3</v>
      </c>
      <c r="E29" s="15"/>
      <c r="F29" s="16" t="s">
        <v>63</v>
      </c>
      <c r="G29" s="15"/>
      <c r="H29" s="28">
        <f>SUM(H2:H27)</f>
        <v>359.8</v>
      </c>
    </row>
    <row r="30" spans="1:8">
      <c r="C30" s="17" t="s">
        <v>66</v>
      </c>
      <c r="D30" s="29">
        <v>25</v>
      </c>
      <c r="E30" s="14"/>
      <c r="F30" s="13" t="s">
        <v>64</v>
      </c>
      <c r="G30" s="13"/>
      <c r="H30" s="30">
        <f>$H$29/$D$29</f>
        <v>119.93333333333334</v>
      </c>
    </row>
    <row r="31" spans="1:8">
      <c r="C31" s="17" t="s">
        <v>67</v>
      </c>
      <c r="D31" s="31">
        <f>$D$29*$D$30</f>
        <v>75</v>
      </c>
      <c r="E31" s="14"/>
      <c r="F31" s="14"/>
      <c r="G31" s="14"/>
      <c r="H31" s="18"/>
    </row>
    <row r="32" spans="1:8">
      <c r="C32" s="23"/>
      <c r="D32" s="14"/>
      <c r="E32" s="14"/>
      <c r="F32" s="13" t="s">
        <v>68</v>
      </c>
      <c r="G32" s="13"/>
      <c r="H32" s="30">
        <f>$H$29+$D$31</f>
        <v>434.8</v>
      </c>
    </row>
    <row r="33" spans="3:8" ht="15.75" thickBot="1">
      <c r="C33" s="19"/>
      <c r="D33" s="20"/>
      <c r="E33" s="20"/>
      <c r="F33" s="21" t="s">
        <v>69</v>
      </c>
      <c r="G33" s="21"/>
      <c r="H33" s="32">
        <f>$H$32/$D$29</f>
        <v>144.93333333333334</v>
      </c>
    </row>
  </sheetData>
  <pageMargins left="0.7" right="0.7" top="0.75" bottom="0.75" header="0.3" footer="0.3"/>
  <pageSetup orientation="portrait" horizontalDpi="0" verticalDpi="0" r:id="rId1"/>
  <ignoredErrors>
    <ignoredError sqref="F2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A14"/>
  <sheetViews>
    <sheetView workbookViewId="0">
      <selection activeCell="A12" sqref="A12"/>
    </sheetView>
  </sheetViews>
  <sheetFormatPr defaultRowHeight="15"/>
  <cols>
    <col min="1" max="1" width="10.85546875" customWidth="1"/>
    <col min="2" max="2" width="16.140625" bestFit="1" customWidth="1"/>
    <col min="3" max="3" width="18.7109375" bestFit="1" customWidth="1"/>
    <col min="4" max="4" width="15.28515625" bestFit="1" customWidth="1"/>
    <col min="5" max="5" width="16.140625" bestFit="1" customWidth="1"/>
    <col min="6" max="10" width="18.7109375" bestFit="1" customWidth="1"/>
    <col min="11" max="11" width="16.140625" bestFit="1" customWidth="1"/>
    <col min="12" max="12" width="17.42578125" customWidth="1"/>
    <col min="13" max="13" width="16.140625" bestFit="1" customWidth="1"/>
    <col min="14" max="14" width="17.42578125" customWidth="1"/>
    <col min="15" max="15" width="12" bestFit="1" customWidth="1"/>
    <col min="16" max="16" width="15.42578125" customWidth="1"/>
    <col min="17" max="17" width="12.42578125" bestFit="1" customWidth="1"/>
    <col min="18" max="18" width="16.5703125" customWidth="1"/>
    <col min="19" max="19" width="12.85546875" bestFit="1" customWidth="1"/>
    <col min="20" max="20" width="17.7109375" bestFit="1" customWidth="1"/>
    <col min="21" max="21" width="13.140625" bestFit="1" customWidth="1"/>
    <col min="22" max="22" width="17.42578125" customWidth="1"/>
    <col min="23" max="23" width="12" bestFit="1" customWidth="1"/>
    <col min="24" max="24" width="15.85546875" customWidth="1"/>
    <col min="25" max="25" width="18.28515625" bestFit="1" customWidth="1"/>
    <col min="26" max="26" width="14" customWidth="1"/>
    <col min="27" max="27" width="11" customWidth="1"/>
    <col min="28" max="28" width="11.85546875" bestFit="1" customWidth="1"/>
    <col min="29" max="29" width="10.85546875" bestFit="1" customWidth="1"/>
    <col min="30" max="30" width="15.42578125" bestFit="1" customWidth="1"/>
    <col min="31" max="31" width="10.85546875" bestFit="1" customWidth="1"/>
    <col min="32" max="32" width="12.140625" bestFit="1" customWidth="1"/>
    <col min="33" max="33" width="10.85546875" bestFit="1" customWidth="1"/>
    <col min="34" max="34" width="16.42578125" bestFit="1" customWidth="1"/>
    <col min="35" max="35" width="10.85546875" bestFit="1" customWidth="1"/>
    <col min="36" max="36" width="12.85546875" bestFit="1" customWidth="1"/>
    <col min="37" max="37" width="10.85546875" bestFit="1" customWidth="1"/>
    <col min="38" max="38" width="17.42578125" bestFit="1" customWidth="1"/>
    <col min="39" max="39" width="10.85546875" bestFit="1" customWidth="1"/>
    <col min="40" max="40" width="12.85546875" bestFit="1" customWidth="1"/>
    <col min="41" max="41" width="10.85546875" bestFit="1" customWidth="1"/>
    <col min="42" max="42" width="17" bestFit="1" customWidth="1"/>
    <col min="43" max="43" width="10.85546875" bestFit="1" customWidth="1"/>
    <col min="44" max="44" width="10.5703125" bestFit="1" customWidth="1"/>
    <col min="45" max="45" width="10.85546875" bestFit="1" customWidth="1"/>
    <col min="46" max="46" width="15.7109375" bestFit="1" customWidth="1"/>
    <col min="47" max="47" width="10.85546875" bestFit="1" customWidth="1"/>
    <col min="48" max="48" width="18.28515625" bestFit="1" customWidth="1"/>
    <col min="49" max="49" width="10.85546875" bestFit="1" customWidth="1"/>
    <col min="50" max="50" width="14" bestFit="1" customWidth="1"/>
    <col min="51" max="51" width="10.85546875" bestFit="1" customWidth="1"/>
    <col min="52" max="52" width="9.7109375" bestFit="1" customWidth="1"/>
  </cols>
  <sheetData>
    <row r="1" spans="1:27" s="10" customFormat="1">
      <c r="A1" s="11" t="s">
        <v>62</v>
      </c>
      <c r="B1" s="10" t="s">
        <v>34</v>
      </c>
      <c r="C1" s="10" t="s">
        <v>35</v>
      </c>
      <c r="D1" s="10" t="s">
        <v>36</v>
      </c>
      <c r="E1" s="10" t="s">
        <v>37</v>
      </c>
      <c r="F1" s="10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10" t="s">
        <v>33</v>
      </c>
      <c r="Z1" s="10" t="s">
        <v>57</v>
      </c>
      <c r="AA1" s="10">
        <v>706</v>
      </c>
    </row>
    <row r="2" spans="1:27">
      <c r="A2" s="9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</row>
    <row r="3" spans="1:27">
      <c r="A3" s="9">
        <v>1</v>
      </c>
      <c r="B3" s="8">
        <v>0.02</v>
      </c>
      <c r="C3" s="8">
        <v>0.1</v>
      </c>
      <c r="D3" s="8">
        <v>1.35</v>
      </c>
      <c r="E3" s="8">
        <v>0.02</v>
      </c>
      <c r="F3" s="8">
        <v>0.16</v>
      </c>
      <c r="G3" s="8">
        <v>0.1</v>
      </c>
      <c r="H3" s="8">
        <v>0.1</v>
      </c>
      <c r="I3" s="8">
        <v>0.17</v>
      </c>
      <c r="J3" s="8">
        <v>0.1</v>
      </c>
      <c r="K3" s="8">
        <v>0.02</v>
      </c>
      <c r="L3" s="8">
        <v>0.7</v>
      </c>
      <c r="M3" s="8">
        <v>0.02</v>
      </c>
      <c r="N3" s="8">
        <v>0.77</v>
      </c>
      <c r="O3" s="8">
        <v>0.16</v>
      </c>
      <c r="P3" s="8">
        <v>0.17</v>
      </c>
      <c r="Q3" s="8">
        <v>0.64</v>
      </c>
      <c r="R3" s="8">
        <v>1.01</v>
      </c>
      <c r="S3" s="8">
        <v>0.71</v>
      </c>
      <c r="T3" s="8">
        <v>0.92</v>
      </c>
      <c r="U3" s="8">
        <v>58.14</v>
      </c>
      <c r="V3" s="8">
        <v>7.8</v>
      </c>
      <c r="W3" s="8">
        <v>19.14</v>
      </c>
      <c r="X3" s="8">
        <v>2.73</v>
      </c>
      <c r="Y3" s="8">
        <v>0.48</v>
      </c>
      <c r="Z3" s="8">
        <v>1.23</v>
      </c>
      <c r="AA3" s="8">
        <v>4.95</v>
      </c>
    </row>
    <row r="4" spans="1:27">
      <c r="A4" s="9">
        <v>10</v>
      </c>
      <c r="B4" s="8">
        <v>1.7000000000000001E-2</v>
      </c>
      <c r="C4" s="8">
        <v>2.1999999999999999E-2</v>
      </c>
      <c r="D4" s="8">
        <v>1.1279999999999999</v>
      </c>
      <c r="E4" s="8">
        <v>1.7000000000000001E-2</v>
      </c>
      <c r="F4" s="8">
        <v>0.111</v>
      </c>
      <c r="G4" s="8">
        <v>0.02</v>
      </c>
      <c r="H4" s="8">
        <v>3.9E-2</v>
      </c>
      <c r="I4" s="8">
        <v>0.113</v>
      </c>
      <c r="J4" s="8">
        <v>0.03</v>
      </c>
      <c r="K4" s="8">
        <v>1.7000000000000001E-2</v>
      </c>
      <c r="L4" s="8">
        <v>0.47499999999999998</v>
      </c>
      <c r="M4" s="8">
        <v>1.7000000000000001E-2</v>
      </c>
      <c r="N4" s="8">
        <v>0.52300000000000002</v>
      </c>
      <c r="O4" s="8">
        <v>0.11700000000000001</v>
      </c>
      <c r="P4" s="8">
        <v>0.13100000000000001</v>
      </c>
      <c r="Q4" s="8">
        <v>0.60399999999999998</v>
      </c>
      <c r="R4" s="8">
        <v>0.84</v>
      </c>
      <c r="S4" s="8">
        <v>0.67100000000000004</v>
      </c>
      <c r="T4" s="8">
        <v>0.80500000000000005</v>
      </c>
      <c r="U4" s="8">
        <v>54.72</v>
      </c>
      <c r="V4" s="8">
        <v>7.8</v>
      </c>
      <c r="W4" s="8">
        <v>15.95</v>
      </c>
      <c r="X4" s="8">
        <v>2.4620000000000002</v>
      </c>
      <c r="Y4" s="8">
        <v>0.36</v>
      </c>
      <c r="Z4" s="8">
        <v>1.091</v>
      </c>
      <c r="AA4" s="8">
        <v>4.46</v>
      </c>
    </row>
    <row r="5" spans="1:27">
      <c r="A5" s="9">
        <v>25</v>
      </c>
      <c r="B5" s="8">
        <v>1.7000000000000001E-2</v>
      </c>
      <c r="C5" s="8">
        <v>2.1999999999999999E-2</v>
      </c>
      <c r="D5" s="8">
        <v>1.1279999999999999</v>
      </c>
      <c r="E5" s="8">
        <v>1.7000000000000001E-2</v>
      </c>
      <c r="F5" s="8">
        <v>0.111</v>
      </c>
      <c r="G5" s="8">
        <v>0.02</v>
      </c>
      <c r="H5" s="8">
        <v>3.9E-2</v>
      </c>
      <c r="I5" s="8">
        <v>0.113</v>
      </c>
      <c r="J5" s="8">
        <v>0.03</v>
      </c>
      <c r="K5" s="8">
        <v>1.7000000000000001E-2</v>
      </c>
      <c r="L5" s="8">
        <v>0.47499999999999998</v>
      </c>
      <c r="M5" s="8">
        <v>1.7000000000000001E-2</v>
      </c>
      <c r="N5" s="8">
        <v>0.52300000000000002</v>
      </c>
      <c r="O5" s="8">
        <v>0.11700000000000001</v>
      </c>
      <c r="P5" s="8">
        <v>0.13100000000000001</v>
      </c>
      <c r="Q5" s="8">
        <v>0.54359999999999997</v>
      </c>
      <c r="R5" s="8">
        <v>0.77759999999999996</v>
      </c>
      <c r="S5" s="8">
        <v>0.57520000000000004</v>
      </c>
      <c r="T5" s="8">
        <v>0.71319999999999995</v>
      </c>
      <c r="U5" s="8">
        <v>54.72</v>
      </c>
      <c r="V5" s="8">
        <v>4.8979999999999997</v>
      </c>
      <c r="W5" s="8">
        <v>15.4376</v>
      </c>
      <c r="X5" s="8">
        <v>2.206</v>
      </c>
      <c r="Y5" s="8">
        <v>0.36</v>
      </c>
      <c r="Z5" s="8">
        <v>0.98480000000000001</v>
      </c>
      <c r="AA5" s="8">
        <v>4.46</v>
      </c>
    </row>
    <row r="6" spans="1:27">
      <c r="A6" s="9">
        <v>50</v>
      </c>
      <c r="B6" s="8">
        <v>9.1999999999999998E-3</v>
      </c>
      <c r="C6" s="8">
        <v>1.18E-2</v>
      </c>
      <c r="D6" s="8">
        <v>1.1279999999999999</v>
      </c>
      <c r="E6" s="8">
        <v>9.1999999999999998E-3</v>
      </c>
      <c r="F6" s="8">
        <v>6.3E-2</v>
      </c>
      <c r="G6" s="8">
        <v>1.0800000000000001E-2</v>
      </c>
      <c r="H6" s="8">
        <v>2.1000000000000001E-2</v>
      </c>
      <c r="I6" s="8">
        <v>6.7599999999999993E-2</v>
      </c>
      <c r="J6" s="8">
        <v>1.6199999999999999E-2</v>
      </c>
      <c r="K6" s="8">
        <v>9.1999999999999998E-3</v>
      </c>
      <c r="L6" s="8">
        <v>0.28760000000000002</v>
      </c>
      <c r="M6" s="8">
        <v>9.1999999999999998E-3</v>
      </c>
      <c r="N6" s="8">
        <v>0.31619999999999998</v>
      </c>
      <c r="O6" s="8">
        <v>9.3600000000000003E-2</v>
      </c>
      <c r="P6" s="8">
        <v>0.10440000000000001</v>
      </c>
      <c r="Q6" s="8">
        <v>0.48320000000000002</v>
      </c>
      <c r="R6" s="8">
        <v>0.69979999999999998</v>
      </c>
      <c r="S6" s="8">
        <v>0.48880000000000001</v>
      </c>
      <c r="T6" s="8">
        <v>0.621</v>
      </c>
      <c r="U6" s="8">
        <v>54.72</v>
      </c>
      <c r="V6" s="8">
        <v>4.8979999999999997</v>
      </c>
      <c r="W6" s="8">
        <v>15.4376</v>
      </c>
      <c r="X6" s="8">
        <v>2.206</v>
      </c>
      <c r="Y6" s="8">
        <v>0.36</v>
      </c>
      <c r="Z6" s="8">
        <v>0.98480000000000001</v>
      </c>
      <c r="AA6" s="8">
        <v>4.46</v>
      </c>
    </row>
    <row r="7" spans="1:27">
      <c r="A7" s="9">
        <v>100</v>
      </c>
      <c r="B7" s="8">
        <v>7.0000000000000001E-3</v>
      </c>
      <c r="C7" s="8">
        <v>9.9000000000000008E-3</v>
      </c>
      <c r="D7" s="8">
        <v>0.82799999999999996</v>
      </c>
      <c r="E7" s="8">
        <v>7.0000000000000001E-3</v>
      </c>
      <c r="F7" s="8">
        <v>5.2200000000000003E-2</v>
      </c>
      <c r="G7" s="8">
        <v>8.8000000000000005E-3</v>
      </c>
      <c r="H7" s="8">
        <v>1.72E-2</v>
      </c>
      <c r="I7" s="8">
        <v>5.7000000000000002E-2</v>
      </c>
      <c r="J7" s="8">
        <v>1.38E-2</v>
      </c>
      <c r="K7" s="8">
        <v>7.0000000000000001E-3</v>
      </c>
      <c r="L7" s="8">
        <v>0.23749999999999999</v>
      </c>
      <c r="M7" s="8">
        <v>7.0000000000000001E-3</v>
      </c>
      <c r="N7" s="8">
        <v>0.26129999999999998</v>
      </c>
      <c r="O7" s="8">
        <v>8.4500000000000006E-2</v>
      </c>
      <c r="P7" s="8">
        <v>9.4299999999999995E-2</v>
      </c>
      <c r="Q7" s="8">
        <v>0.46300000000000002</v>
      </c>
      <c r="R7" s="8">
        <v>0.622</v>
      </c>
      <c r="S7" s="8">
        <v>0.48880000000000001</v>
      </c>
      <c r="T7" s="8">
        <v>0.54052</v>
      </c>
      <c r="U7" s="8">
        <v>46.17</v>
      </c>
      <c r="V7" s="8">
        <v>4.3536000000000001</v>
      </c>
      <c r="W7" s="8">
        <v>15.4376</v>
      </c>
      <c r="X7" s="8">
        <v>1.1543000000000001</v>
      </c>
      <c r="Y7" s="8">
        <v>0.19</v>
      </c>
      <c r="Z7" s="8">
        <v>0.4617</v>
      </c>
      <c r="AA7" s="8">
        <v>3.96</v>
      </c>
    </row>
    <row r="8" spans="1:27">
      <c r="A8" s="9">
        <v>250</v>
      </c>
      <c r="B8" s="8">
        <v>5.1999999999999998E-3</v>
      </c>
      <c r="C8" s="8">
        <v>8.1200000000000005E-3</v>
      </c>
      <c r="D8" s="8">
        <v>0.72</v>
      </c>
      <c r="E8" s="8">
        <v>5.1999999999999998E-3</v>
      </c>
      <c r="F8" s="8">
        <v>4.3200000000000002E-2</v>
      </c>
      <c r="G8" s="8">
        <v>7.4000000000000003E-3</v>
      </c>
      <c r="H8" s="8">
        <v>1.436E-2</v>
      </c>
      <c r="I8" s="8">
        <v>4.6519999999999999E-2</v>
      </c>
      <c r="J8" s="8">
        <v>1.124E-2</v>
      </c>
      <c r="K8" s="8">
        <v>5.1999999999999998E-3</v>
      </c>
      <c r="L8" s="8">
        <v>0.18751999999999999</v>
      </c>
      <c r="M8" s="8">
        <v>5.1999999999999998E-3</v>
      </c>
      <c r="N8" s="8">
        <v>0.20624000000000001</v>
      </c>
      <c r="O8" s="8">
        <v>7.8E-2</v>
      </c>
      <c r="P8" s="8">
        <v>8.6999999999999994E-2</v>
      </c>
      <c r="Q8" s="8">
        <v>0.42271999999999998</v>
      </c>
      <c r="R8" s="8">
        <v>0.54423999999999995</v>
      </c>
      <c r="S8" s="8">
        <v>0.48880000000000001</v>
      </c>
      <c r="T8" s="8">
        <v>0.46</v>
      </c>
      <c r="U8" s="8">
        <v>45.314999999999998</v>
      </c>
      <c r="V8" s="8">
        <v>4.3536000000000001</v>
      </c>
      <c r="W8" s="8">
        <v>15.4376</v>
      </c>
      <c r="X8" s="8">
        <v>1.1328800000000001</v>
      </c>
      <c r="Y8" s="8">
        <v>0.19</v>
      </c>
      <c r="Z8" s="8">
        <v>0.4617</v>
      </c>
      <c r="AA8" s="8">
        <v>3.96</v>
      </c>
    </row>
    <row r="9" spans="1:27">
      <c r="A9" s="9">
        <v>500</v>
      </c>
      <c r="B9" s="8">
        <v>3.8400000000000001E-3</v>
      </c>
      <c r="C9" s="8">
        <v>6.94E-3</v>
      </c>
      <c r="D9" s="8">
        <v>0.67200000000000004</v>
      </c>
      <c r="E9" s="8">
        <v>3.8400000000000001E-3</v>
      </c>
      <c r="F9" s="8">
        <v>3.6600000000000001E-2</v>
      </c>
      <c r="G9" s="8">
        <v>6.3E-3</v>
      </c>
      <c r="H9" s="8">
        <v>1.226E-2</v>
      </c>
      <c r="I9" s="8">
        <v>3.9E-2</v>
      </c>
      <c r="J9" s="8">
        <v>9.6200000000000001E-3</v>
      </c>
      <c r="K9" s="8">
        <v>3.8400000000000001E-3</v>
      </c>
      <c r="L9" s="8">
        <v>0.16</v>
      </c>
      <c r="M9" s="8">
        <v>3.8400000000000001E-3</v>
      </c>
      <c r="N9" s="8">
        <v>0.17599999999999999</v>
      </c>
      <c r="O9" s="8">
        <v>7.0199999999999999E-2</v>
      </c>
      <c r="P9" s="8">
        <v>7.8299999999999995E-2</v>
      </c>
      <c r="Q9" s="8">
        <v>0.40260000000000001</v>
      </c>
      <c r="R9" s="8">
        <v>0.49759999999999999</v>
      </c>
      <c r="S9" s="8">
        <v>0.48880000000000001</v>
      </c>
      <c r="T9" s="8">
        <v>0.40250999999999998</v>
      </c>
      <c r="U9" s="8">
        <v>44.46</v>
      </c>
      <c r="V9" s="8">
        <v>4.3536000000000001</v>
      </c>
      <c r="W9" s="8">
        <v>15.4376</v>
      </c>
      <c r="X9" s="8">
        <v>1.1114999999999999</v>
      </c>
      <c r="Y9" s="8">
        <v>0.19</v>
      </c>
      <c r="Z9" s="8">
        <v>0.4617</v>
      </c>
      <c r="AA9" s="8">
        <v>3.96</v>
      </c>
    </row>
    <row r="10" spans="1:27">
      <c r="A10" s="9">
        <v>750</v>
      </c>
      <c r="B10" s="8">
        <v>3.8400000000000001E-3</v>
      </c>
      <c r="C10" s="8">
        <v>6.94E-3</v>
      </c>
      <c r="D10" s="8">
        <v>0.67200000000000004</v>
      </c>
      <c r="E10" s="8">
        <v>3.8400000000000001E-3</v>
      </c>
      <c r="F10" s="8">
        <v>3.6600000000000001E-2</v>
      </c>
      <c r="G10" s="8">
        <v>6.3E-3</v>
      </c>
      <c r="H10" s="8">
        <v>1.226E-2</v>
      </c>
      <c r="I10" s="8">
        <v>3.9E-2</v>
      </c>
      <c r="J10" s="8">
        <v>9.6200000000000001E-3</v>
      </c>
      <c r="K10" s="8">
        <v>3.8400000000000001E-3</v>
      </c>
      <c r="L10" s="8">
        <v>0.16</v>
      </c>
      <c r="M10" s="8">
        <v>3.8400000000000001E-3</v>
      </c>
      <c r="N10" s="8">
        <v>0.17599999999999999</v>
      </c>
      <c r="O10" s="8">
        <v>7.0199999999999999E-2</v>
      </c>
      <c r="P10" s="8">
        <v>7.8299999999999995E-2</v>
      </c>
      <c r="Q10" s="8">
        <v>0.40260000000000001</v>
      </c>
      <c r="R10" s="8">
        <v>0.49759999999999999</v>
      </c>
      <c r="S10" s="8">
        <v>0.48880000000000001</v>
      </c>
      <c r="T10" s="8">
        <v>0.40250999999999998</v>
      </c>
      <c r="U10" s="8">
        <v>43.604999999999997</v>
      </c>
      <c r="V10" s="8">
        <v>4.3536000000000001</v>
      </c>
      <c r="W10" s="8">
        <v>15.4376</v>
      </c>
      <c r="X10" s="8">
        <v>1.1090120000000001</v>
      </c>
      <c r="Y10" s="8">
        <v>0.19</v>
      </c>
      <c r="Z10" s="8">
        <v>0.4617</v>
      </c>
      <c r="AA10" s="8">
        <v>3.96</v>
      </c>
    </row>
    <row r="11" spans="1:27">
      <c r="A11" s="9">
        <v>1000</v>
      </c>
      <c r="B11" s="8">
        <v>2.5600000000000002E-3</v>
      </c>
      <c r="C11" s="8">
        <v>5.4000000000000003E-3</v>
      </c>
      <c r="D11" s="8">
        <v>0.52800000000000002</v>
      </c>
      <c r="E11" s="8">
        <v>2.5600000000000002E-3</v>
      </c>
      <c r="F11" s="8">
        <v>3.6600000000000001E-2</v>
      </c>
      <c r="G11" s="8">
        <v>4.9500000000000004E-3</v>
      </c>
      <c r="H11" s="8">
        <v>9.6299999999999997E-3</v>
      </c>
      <c r="I11" s="8">
        <v>3.4500000000000003E-2</v>
      </c>
      <c r="J11" s="8">
        <v>7.4999999999999997E-3</v>
      </c>
      <c r="K11" s="8">
        <v>2.5600000000000002E-3</v>
      </c>
      <c r="L11" s="8">
        <v>0.16</v>
      </c>
      <c r="M11" s="8">
        <v>2.5600000000000002E-3</v>
      </c>
      <c r="N11" s="8">
        <v>0.17599999999999999</v>
      </c>
      <c r="O11" s="8">
        <v>7.0199999999999999E-2</v>
      </c>
      <c r="P11" s="8">
        <v>7.8299999999999995E-2</v>
      </c>
      <c r="Q11" s="8">
        <v>0.33215</v>
      </c>
      <c r="R11" s="8">
        <v>0.45095000000000002</v>
      </c>
      <c r="S11" s="8">
        <v>0.48880000000000001</v>
      </c>
      <c r="T11" s="8">
        <v>0.36799999999999999</v>
      </c>
      <c r="U11" s="8">
        <v>42.75</v>
      </c>
      <c r="V11" s="8">
        <v>4.3536000000000001</v>
      </c>
      <c r="W11" s="8">
        <v>15.4376</v>
      </c>
      <c r="X11" s="8">
        <v>1.1090120000000001</v>
      </c>
      <c r="Y11" s="8">
        <v>0.17</v>
      </c>
      <c r="Z11" s="8">
        <v>0.4617</v>
      </c>
      <c r="AA11" s="8">
        <v>3.96</v>
      </c>
    </row>
    <row r="12" spans="1:27">
      <c r="A12" s="9">
        <v>2500</v>
      </c>
      <c r="B12" s="8">
        <v>2.16E-3</v>
      </c>
      <c r="C12" s="8">
        <v>5.4000000000000003E-3</v>
      </c>
      <c r="D12" s="8">
        <v>0.52800000000000002</v>
      </c>
      <c r="E12" s="8">
        <v>2.16E-3</v>
      </c>
      <c r="F12" s="8">
        <v>3.6600000000000001E-2</v>
      </c>
      <c r="G12" s="8">
        <v>4.9500000000000004E-3</v>
      </c>
      <c r="H12" s="8">
        <v>9.6299999999999997E-3</v>
      </c>
      <c r="I12" s="8">
        <v>3.4500000000000003E-2</v>
      </c>
      <c r="J12" s="8">
        <v>7.4999999999999997E-3</v>
      </c>
      <c r="K12" s="8">
        <v>2.16E-3</v>
      </c>
      <c r="L12" s="8">
        <v>0.16</v>
      </c>
      <c r="M12" s="8">
        <v>2.16E-3</v>
      </c>
      <c r="N12" s="8">
        <v>0.17599999999999999</v>
      </c>
      <c r="O12" s="8">
        <v>7.0199999999999999E-2</v>
      </c>
      <c r="P12" s="8">
        <v>7.8299999999999995E-2</v>
      </c>
      <c r="Q12" s="8">
        <v>0.33215</v>
      </c>
      <c r="R12" s="8">
        <v>0.40429999999999999</v>
      </c>
      <c r="S12" s="8">
        <v>0.48880000000000001</v>
      </c>
      <c r="T12" s="8">
        <v>0.33350000000000002</v>
      </c>
      <c r="U12" s="8">
        <v>42.75</v>
      </c>
      <c r="V12" s="8">
        <v>4.3536000000000001</v>
      </c>
      <c r="W12" s="8">
        <v>15.4376</v>
      </c>
      <c r="X12" s="8">
        <v>1.1090120000000001</v>
      </c>
      <c r="Y12" s="8">
        <v>0.17</v>
      </c>
      <c r="Z12" s="8">
        <v>0.4617</v>
      </c>
      <c r="AA12" s="8">
        <v>3.96</v>
      </c>
    </row>
    <row r="14" spans="1:27">
      <c r="A14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Request Form</vt:lpstr>
      <vt:lpstr>Price Breaks</vt:lpstr>
    </vt:vector>
  </TitlesOfParts>
  <Company>BME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EEGBCI_P1</dc:creator>
  <cp:lastModifiedBy>EEGBCI_P1</cp:lastModifiedBy>
  <dcterms:created xsi:type="dcterms:W3CDTF">2013-07-23T20:46:49Z</dcterms:created>
  <dcterms:modified xsi:type="dcterms:W3CDTF">2013-07-26T18:16:30Z</dcterms:modified>
</cp:coreProperties>
</file>