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tendenciasconsultoria-my.sharepoint.com/personal/emeneses_tendencias_com_br/Documents/Documentos/Emilly/"/>
    </mc:Choice>
  </mc:AlternateContent>
  <xr:revisionPtr revIDLastSave="119" documentId="11_FF0B701B0EF28FA83B9772623DA6FC066743DD80" xr6:coauthVersionLast="47" xr6:coauthVersionMax="47" xr10:uidLastSave="{1DA71D22-5622-4980-804B-96450C568DC4}"/>
  <bookViews>
    <workbookView xWindow="-120" yWindow="-120" windowWidth="20730" windowHeight="11040" activeTab="2" xr2:uid="{00000000-000D-0000-FFFF-FFFF00000000}"/>
  </bookViews>
  <sheets>
    <sheet name="Referências" sheetId="1" r:id="rId1"/>
    <sheet name="Dados" sheetId="2" r:id="rId2"/>
    <sheet name="Cálculos" sheetId="3" r:id="rId3"/>
    <sheet name="MVP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F5" i="3"/>
  <c r="L5" i="3" s="1"/>
  <c r="N6" i="3"/>
  <c r="N7" i="3"/>
  <c r="N8" i="3"/>
  <c r="N9" i="3"/>
  <c r="N10" i="3"/>
  <c r="N11" i="3"/>
  <c r="N12" i="3"/>
  <c r="N5" i="3"/>
  <c r="M9" i="3"/>
  <c r="M8" i="3"/>
  <c r="M7" i="3"/>
  <c r="M6" i="3"/>
  <c r="M5" i="3"/>
  <c r="M10" i="3"/>
  <c r="M11" i="3"/>
  <c r="M12" i="3"/>
  <c r="N13" i="3" l="1"/>
  <c r="O6" i="3"/>
  <c r="O7" i="3"/>
  <c r="O8" i="3"/>
  <c r="O9" i="3"/>
  <c r="O10" i="3"/>
  <c r="O11" i="3"/>
  <c r="O12" i="3"/>
  <c r="O5" i="3"/>
  <c r="B5" i="3"/>
  <c r="F67" i="2"/>
  <c r="J40" i="3"/>
  <c r="I40" i="3"/>
  <c r="H40" i="3"/>
  <c r="G40" i="3"/>
  <c r="E40" i="3"/>
  <c r="D40" i="3"/>
  <c r="C40" i="3"/>
  <c r="B40" i="3"/>
  <c r="J39" i="3"/>
  <c r="I39" i="3"/>
  <c r="H39" i="3"/>
  <c r="G39" i="3"/>
  <c r="E39" i="3"/>
  <c r="D39" i="3"/>
  <c r="C39" i="3"/>
  <c r="B39" i="3"/>
  <c r="J38" i="3"/>
  <c r="I38" i="3"/>
  <c r="H38" i="3"/>
  <c r="G38" i="3"/>
  <c r="E38" i="3"/>
  <c r="D38" i="3"/>
  <c r="C38" i="3"/>
  <c r="B38" i="3"/>
  <c r="J37" i="3"/>
  <c r="I37" i="3"/>
  <c r="H37" i="3"/>
  <c r="G37" i="3"/>
  <c r="E37" i="3"/>
  <c r="D37" i="3"/>
  <c r="C37" i="3"/>
  <c r="B37" i="3"/>
  <c r="J36" i="3"/>
  <c r="I36" i="3"/>
  <c r="H36" i="3"/>
  <c r="G36" i="3"/>
  <c r="E36" i="3"/>
  <c r="D36" i="3"/>
  <c r="C36" i="3"/>
  <c r="B36" i="3"/>
  <c r="J35" i="3"/>
  <c r="I35" i="3"/>
  <c r="H35" i="3"/>
  <c r="G35" i="3"/>
  <c r="E35" i="3"/>
  <c r="D35" i="3"/>
  <c r="C35" i="3"/>
  <c r="B35" i="3"/>
  <c r="J34" i="3"/>
  <c r="I34" i="3"/>
  <c r="H34" i="3"/>
  <c r="G34" i="3"/>
  <c r="E34" i="3"/>
  <c r="D34" i="3"/>
  <c r="C34" i="3"/>
  <c r="B34" i="3"/>
  <c r="J33" i="3"/>
  <c r="I33" i="3"/>
  <c r="H33" i="3"/>
  <c r="G33" i="3"/>
  <c r="E33" i="3"/>
  <c r="D33" i="3"/>
  <c r="C33" i="3"/>
  <c r="B33" i="3"/>
  <c r="J26" i="3"/>
  <c r="I26" i="3"/>
  <c r="H26" i="3"/>
  <c r="G26" i="3"/>
  <c r="E26" i="3"/>
  <c r="D26" i="3"/>
  <c r="C26" i="3"/>
  <c r="B26" i="3"/>
  <c r="J25" i="3"/>
  <c r="I25" i="3"/>
  <c r="H25" i="3"/>
  <c r="G25" i="3"/>
  <c r="E25" i="3"/>
  <c r="D25" i="3"/>
  <c r="C25" i="3"/>
  <c r="B25" i="3"/>
  <c r="J24" i="3"/>
  <c r="I24" i="3"/>
  <c r="H24" i="3"/>
  <c r="G24" i="3"/>
  <c r="E24" i="3"/>
  <c r="D24" i="3"/>
  <c r="C24" i="3"/>
  <c r="B24" i="3"/>
  <c r="J23" i="3"/>
  <c r="I23" i="3"/>
  <c r="H23" i="3"/>
  <c r="G23" i="3"/>
  <c r="E23" i="3"/>
  <c r="D23" i="3"/>
  <c r="C23" i="3"/>
  <c r="B23" i="3"/>
  <c r="J22" i="3"/>
  <c r="I22" i="3"/>
  <c r="H22" i="3"/>
  <c r="G22" i="3"/>
  <c r="E22" i="3"/>
  <c r="D22" i="3"/>
  <c r="C22" i="3"/>
  <c r="B22" i="3"/>
  <c r="J21" i="3"/>
  <c r="I21" i="3"/>
  <c r="H21" i="3"/>
  <c r="G21" i="3"/>
  <c r="E21" i="3"/>
  <c r="D21" i="3"/>
  <c r="C21" i="3"/>
  <c r="B21" i="3"/>
  <c r="J20" i="3"/>
  <c r="I20" i="3"/>
  <c r="H20" i="3"/>
  <c r="G20" i="3"/>
  <c r="E20" i="3"/>
  <c r="D20" i="3"/>
  <c r="C20" i="3"/>
  <c r="B20" i="3"/>
  <c r="J19" i="3"/>
  <c r="I19" i="3"/>
  <c r="H19" i="3"/>
  <c r="G19" i="3"/>
  <c r="E19" i="3"/>
  <c r="D19" i="3"/>
  <c r="C19" i="3"/>
  <c r="B19" i="3"/>
  <c r="J12" i="3"/>
  <c r="I12" i="3"/>
  <c r="P12" i="3" s="1"/>
  <c r="H12" i="3"/>
  <c r="G12" i="3"/>
  <c r="E12" i="3"/>
  <c r="D12" i="3"/>
  <c r="C12" i="3"/>
  <c r="B12" i="3"/>
  <c r="J11" i="3"/>
  <c r="I11" i="3"/>
  <c r="P11" i="3" s="1"/>
  <c r="H11" i="3"/>
  <c r="G11" i="3"/>
  <c r="F11" i="3"/>
  <c r="L11" i="3" s="1"/>
  <c r="E11" i="3"/>
  <c r="D11" i="3"/>
  <c r="C11" i="3"/>
  <c r="B11" i="3"/>
  <c r="J10" i="3"/>
  <c r="I10" i="3"/>
  <c r="P10" i="3" s="1"/>
  <c r="H10" i="3"/>
  <c r="G10" i="3"/>
  <c r="E10" i="3"/>
  <c r="D10" i="3"/>
  <c r="C10" i="3"/>
  <c r="B10" i="3"/>
  <c r="J9" i="3"/>
  <c r="I9" i="3"/>
  <c r="P9" i="3" s="1"/>
  <c r="H9" i="3"/>
  <c r="G9" i="3"/>
  <c r="E9" i="3"/>
  <c r="D9" i="3"/>
  <c r="C9" i="3"/>
  <c r="B9" i="3"/>
  <c r="J8" i="3"/>
  <c r="I8" i="3"/>
  <c r="P8" i="3" s="1"/>
  <c r="H8" i="3"/>
  <c r="G8" i="3"/>
  <c r="E8" i="3"/>
  <c r="D8" i="3"/>
  <c r="C8" i="3"/>
  <c r="B8" i="3"/>
  <c r="J7" i="3"/>
  <c r="I7" i="3"/>
  <c r="P7" i="3" s="1"/>
  <c r="H7" i="3"/>
  <c r="G7" i="3"/>
  <c r="E7" i="3"/>
  <c r="D7" i="3"/>
  <c r="C7" i="3"/>
  <c r="B7" i="3"/>
  <c r="K7" i="3" s="1"/>
  <c r="J6" i="3"/>
  <c r="I6" i="3"/>
  <c r="P6" i="3" s="1"/>
  <c r="H6" i="3"/>
  <c r="G6" i="3"/>
  <c r="E6" i="3"/>
  <c r="D6" i="3"/>
  <c r="C6" i="3"/>
  <c r="B6" i="3"/>
  <c r="K6" i="3" s="1"/>
  <c r="J5" i="3"/>
  <c r="I5" i="3"/>
  <c r="S5" i="3" s="1"/>
  <c r="H5" i="3"/>
  <c r="E5" i="3"/>
  <c r="D5" i="3"/>
  <c r="C5" i="3"/>
  <c r="F36" i="3"/>
  <c r="O13" i="3" l="1"/>
  <c r="K5" i="3"/>
  <c r="P5" i="3"/>
  <c r="P13" i="3" s="1"/>
  <c r="K12" i="3"/>
  <c r="R5" i="3"/>
  <c r="K10" i="3"/>
  <c r="K9" i="3"/>
  <c r="K11" i="3"/>
  <c r="K8" i="3"/>
  <c r="S9" i="3"/>
  <c r="R11" i="3"/>
  <c r="R36" i="3"/>
  <c r="S35" i="3"/>
  <c r="S23" i="3"/>
  <c r="S11" i="3"/>
  <c r="S24" i="3"/>
  <c r="F26" i="3"/>
  <c r="R26" i="3" s="1"/>
  <c r="S37" i="3"/>
  <c r="F39" i="3"/>
  <c r="R39" i="3" s="1"/>
  <c r="F24" i="3"/>
  <c r="R24" i="3" s="1"/>
  <c r="F19" i="3"/>
  <c r="R19" i="3" s="1"/>
  <c r="S10" i="3"/>
  <c r="F12" i="3"/>
  <c r="S36" i="3"/>
  <c r="S6" i="3"/>
  <c r="F8" i="3"/>
  <c r="S19" i="3"/>
  <c r="F21" i="3"/>
  <c r="R21" i="3" s="1"/>
  <c r="F34" i="3"/>
  <c r="R34" i="3" s="1"/>
  <c r="S40" i="3"/>
  <c r="S38" i="3"/>
  <c r="F40" i="3"/>
  <c r="R40" i="3" s="1"/>
  <c r="S25" i="3"/>
  <c r="S7" i="3"/>
  <c r="F9" i="3"/>
  <c r="S20" i="3"/>
  <c r="F22" i="3"/>
  <c r="R22" i="3" s="1"/>
  <c r="S33" i="3"/>
  <c r="F35" i="3"/>
  <c r="R35" i="3" s="1"/>
  <c r="F37" i="3"/>
  <c r="R37" i="3" s="1"/>
  <c r="F6" i="3"/>
  <c r="F7" i="3"/>
  <c r="F20" i="3"/>
  <c r="R20" i="3" s="1"/>
  <c r="S26" i="3"/>
  <c r="F33" i="3"/>
  <c r="R33" i="3" s="1"/>
  <c r="S39" i="3"/>
  <c r="S22" i="3"/>
  <c r="S12" i="3"/>
  <c r="F25" i="3"/>
  <c r="R25" i="3" s="1"/>
  <c r="F38" i="3"/>
  <c r="R38" i="3" s="1"/>
  <c r="S8" i="3"/>
  <c r="F10" i="3"/>
  <c r="S21" i="3"/>
  <c r="F23" i="3"/>
  <c r="R23" i="3" s="1"/>
  <c r="S34" i="3"/>
  <c r="K13" i="3" l="1"/>
  <c r="M13" i="3"/>
  <c r="R8" i="3"/>
  <c r="L8" i="3"/>
  <c r="R12" i="3"/>
  <c r="L12" i="3"/>
  <c r="R7" i="3"/>
  <c r="L7" i="3"/>
  <c r="R6" i="3"/>
  <c r="L6" i="3"/>
  <c r="R10" i="3"/>
  <c r="L10" i="3"/>
  <c r="R9" i="3"/>
  <c r="L9" i="3"/>
  <c r="R27" i="3"/>
  <c r="S41" i="3"/>
  <c r="S27" i="3"/>
  <c r="R41" i="3"/>
  <c r="S13" i="3"/>
  <c r="L13" i="3" l="1"/>
  <c r="R13" i="3"/>
  <c r="R14" i="3" s="1"/>
  <c r="C1" i="4" s="1"/>
  <c r="R42" i="3"/>
  <c r="B2" i="4" s="1"/>
  <c r="R28" i="3"/>
  <c r="C2" i="4" s="1"/>
</calcChain>
</file>

<file path=xl/sharedStrings.xml><?xml version="1.0" encoding="utf-8"?>
<sst xmlns="http://schemas.openxmlformats.org/spreadsheetml/2006/main" count="134" uniqueCount="83">
  <si>
    <t>Referencias</t>
  </si>
  <si>
    <t>[1]</t>
  </si>
  <si>
    <r>
      <rPr>
        <sz val="10"/>
        <color theme="1"/>
        <rFont val="Arial"/>
        <family val="2"/>
      </rPr>
      <t xml:space="preserve">Rocha, R. and Soares, R.R. (2010), Evaluating the impact of community-based health interventions: evidence from Brazil's Family Health Program. </t>
    </r>
    <r>
      <rPr>
        <i/>
        <sz val="10"/>
        <color theme="1"/>
        <rFont val="Arial"/>
        <family val="2"/>
      </rPr>
      <t>Health Econ</t>
    </r>
    <r>
      <rPr>
        <sz val="10"/>
        <color theme="1"/>
        <rFont val="Arial"/>
        <family val="2"/>
      </rPr>
      <t>., 19: 126-158.</t>
    </r>
  </si>
  <si>
    <t>https://doi.org/10.1002/hec.1607</t>
  </si>
  <si>
    <t>[2]</t>
  </si>
  <si>
    <t>Marinho, C. R. V. (2020) ESSAYS ON HEALTH ECONOMICS. Tese doutorado Insper.</t>
  </si>
  <si>
    <t>https://repositorio-api.insper.edu.br/server/api/core/bitstreams/6a108d66-29e3-4684-ab40-0bf3cb54e724/content</t>
  </si>
  <si>
    <t>[3]</t>
  </si>
  <si>
    <r>
      <rPr>
        <sz val="10"/>
        <color theme="1"/>
        <rFont val="Arial"/>
        <family val="2"/>
      </rPr>
      <t xml:space="preserve">Ferreira-Batista, N. N., Teixeira, A. D., Diaz, M. D. M., Postali, F. A. S., Moreno-Serra, R., &amp; Love-Koh, J. (2023). Is primary health care worth it in the long run? Evidence from Brazil. </t>
    </r>
    <r>
      <rPr>
        <i/>
        <sz val="10"/>
        <color theme="1"/>
        <rFont val="Arial"/>
        <family val="2"/>
      </rPr>
      <t>Health Economics</t>
    </r>
    <r>
      <rPr>
        <sz val="10"/>
        <color theme="1"/>
        <rFont val="Arial"/>
        <family val="2"/>
      </rPr>
      <t>, 32(7), 1504–1524.</t>
    </r>
  </si>
  <si>
    <t>https://doi.org/10.1002/hec.4676</t>
  </si>
  <si>
    <t>[4]</t>
  </si>
  <si>
    <t>IBGE. Censo Demográfico 2010. Microdados tratados no meu github (github.com/maturanodc/labpub)</t>
  </si>
  <si>
    <t>https://www.ibge.gov.br/estatisticas/sociais/populacao/9662-censo-demografico-2010.html</t>
  </si>
  <si>
    <t>[5]</t>
  </si>
  <si>
    <t>Ministério da Saúde. e-Gestor Atenção Básica. (2021)</t>
  </si>
  <si>
    <t>https://egestorab.saude.gov.br/paginas/acessoPublico/relatorios/relHistoricoCoberturaAB.xhtml</t>
  </si>
  <si>
    <t>[6]</t>
  </si>
  <si>
    <r>
      <rPr>
        <sz val="10"/>
        <color theme="1"/>
        <rFont val="Arial"/>
        <family val="2"/>
      </rPr>
      <t xml:space="preserve">Pereira, R. M., de Almeida, A. N., &amp; de Oliveira, C. A. (2020). O valor estatístico de uma vida: estimativas para o Brasil. </t>
    </r>
    <r>
      <rPr>
        <i/>
        <sz val="10"/>
        <color theme="1"/>
        <rFont val="Arial"/>
        <family val="2"/>
      </rPr>
      <t>Estudos Econômicos</t>
    </r>
    <r>
      <rPr>
        <sz val="10"/>
        <color theme="1"/>
        <rFont val="Arial"/>
        <family val="2"/>
      </rPr>
      <t xml:space="preserve">, 50(2), 227–259. </t>
    </r>
  </si>
  <si>
    <t>https://doi.org/10.1590/0101-41615022rac</t>
  </si>
  <si>
    <t>De [1] tiramos: impacto sobre a mortalidade infantil; sobre a oferta de trabalho das mulheres elegíveis; e sobre a saúde e rendimentos dos filhos</t>
  </si>
  <si>
    <t>De [2] tiramos: impacto no crowding out da cobertura de saúde privada</t>
  </si>
  <si>
    <t>De [3] tiramos: custo de manutenção das equipes</t>
  </si>
  <si>
    <t>De [4] tiramos: fração de pessoas em cada faixa etária, macrorregião e rendimento médio de beneficiários</t>
  </si>
  <si>
    <t>De [5] tiramos: fração de pessoas beneficiárias e número de equipes</t>
  </si>
  <si>
    <t>Impacto sobre mortalidade [1: 136, Tabela 2b]</t>
  </si>
  <si>
    <t>Menores de 1 ano de idade:</t>
  </si>
  <si>
    <t>Entre 1 e 4 anos de idade:</t>
  </si>
  <si>
    <t>Entre 15 e 59 anos de idade:</t>
  </si>
  <si>
    <t>Maiores de 59 anos de idade:</t>
  </si>
  <si>
    <t>t</t>
  </si>
  <si>
    <t>Estimativa</t>
  </si>
  <si>
    <t>Erro padrão</t>
  </si>
  <si>
    <t>Impacto sobre cobertura privada [2: 49, Tabela 1.4]</t>
  </si>
  <si>
    <t>Impacto sobre matrícula escolar (Norte e Nordeste) [1: 145, Tabela 8]</t>
  </si>
  <si>
    <t>Erro Padrão</t>
  </si>
  <si>
    <t>Impacto sobre oferta de trabalho (Norte e Nordeste) [1: 147, Tabela 9]</t>
  </si>
  <si>
    <t>Oferta de trabalho</t>
  </si>
  <si>
    <t>Emprego</t>
  </si>
  <si>
    <t>Impacto sobre taxa de natalidade (Norte e Nordeste) [1: 148, Tabela 10]</t>
  </si>
  <si>
    <t>Cobertura da população brasileira (Janeiro 2010) [5]:</t>
  </si>
  <si>
    <t>da população brasileira, ou</t>
  </si>
  <si>
    <t>pessoas</t>
  </si>
  <si>
    <t>Número de equipes atuantes do ESF (Janeiro 2010) [5]:</t>
  </si>
  <si>
    <t>Custo mensal de uma equipe [3: 1514, Tabela 5]:</t>
  </si>
  <si>
    <t>Custo anual por beneficiário [cálculo próprio]:</t>
  </si>
  <si>
    <t>Valor Estatístico da Vida [6: 255, Tabela 7]:</t>
  </si>
  <si>
    <t>Fração de pessoas no Norte e Nordeste [4]:</t>
  </si>
  <si>
    <t>Fração de pessoas 0 | - 1 ano de idade [4]:</t>
  </si>
  <si>
    <t>Fração de pessoas 1 | - 4 anos de idade [4]:</t>
  </si>
  <si>
    <t>Fração de pessoas 15 | - 59 anos de idade [4]:</t>
  </si>
  <si>
    <t>Fração de pessoas 59+ anos de idade [4]:</t>
  </si>
  <si>
    <t>Rendimento domiciliar mensal per capita beneficiários [4]:</t>
  </si>
  <si>
    <t>Alíquota tributária rendimentos:</t>
  </si>
  <si>
    <t>Retorno da educação:</t>
  </si>
  <si>
    <t>Taxa de desconto intertemporal (ao ano):</t>
  </si>
  <si>
    <t>Fluxos de parcelas de benefícios/custos MVPF</t>
  </si>
  <si>
    <t>Componentes de montagem dos fluxos</t>
  </si>
  <si>
    <t>WTP vidas salvas por faixa etária</t>
  </si>
  <si>
    <t>Efeito substit. cobertura priv.</t>
  </si>
  <si>
    <t>WTP aumento oferta de trab.</t>
  </si>
  <si>
    <t>WTP matricula escolar</t>
  </si>
  <si>
    <t>Externalidade fiscal (trabalho)</t>
  </si>
  <si>
    <t>Externalidade fiscal (educ.)</t>
  </si>
  <si>
    <t>t (anos)</t>
  </si>
  <si>
    <t>0 |- 1 anos</t>
  </si>
  <si>
    <t>1 |- 4 anos</t>
  </si>
  <si>
    <t>15 |- 59 anos</t>
  </si>
  <si>
    <t>59+ anos</t>
  </si>
  <si>
    <t>WTP (VP)</t>
  </si>
  <si>
    <t>Net Costs (VP)</t>
  </si>
  <si>
    <t>Total</t>
  </si>
  <si>
    <t>MVPF</t>
  </si>
  <si>
    <t>95CI+</t>
  </si>
  <si>
    <t>95CI-</t>
  </si>
  <si>
    <t>MVPF estimado para o ESF =</t>
  </si>
  <si>
    <t xml:space="preserve">95%CI = </t>
  </si>
  <si>
    <t>Resultados estimados para 8 anos de duração do programa</t>
  </si>
  <si>
    <t>WTP VSL</t>
  </si>
  <si>
    <t>Crowding out</t>
  </si>
  <si>
    <t>Custo total</t>
  </si>
  <si>
    <t>Ganho de impostos</t>
  </si>
  <si>
    <t>Ganhos líquidos futuros trab</t>
  </si>
  <si>
    <t>Ganhos líquidos futuros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</si>
</sst>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"/>
    <numFmt numFmtId="165" formatCode="[$R$ -416]#,##0.00"/>
    <numFmt numFmtId="166" formatCode="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BC92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2" borderId="0" xfId="0" applyFont="1" applyFill="1"/>
    <xf numFmtId="0" fontId="1" fillId="2" borderId="0" xfId="0" applyFont="1" applyFill="1"/>
    <xf numFmtId="9" fontId="1" fillId="2" borderId="0" xfId="0" applyNumberFormat="1" applyFont="1" applyFill="1"/>
    <xf numFmtId="4" fontId="1" fillId="0" borderId="0" xfId="0" applyNumberFormat="1" applyFont="1"/>
    <xf numFmtId="4" fontId="1" fillId="0" borderId="1" xfId="0" applyNumberFormat="1" applyFont="1" applyBorder="1"/>
    <xf numFmtId="166" fontId="3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wrapText="1"/>
    </xf>
    <xf numFmtId="0" fontId="4" fillId="0" borderId="0" xfId="0" applyFont="1"/>
    <xf numFmtId="4" fontId="0" fillId="0" borderId="0" xfId="0" applyNumberFormat="1"/>
    <xf numFmtId="4" fontId="1" fillId="0" borderId="2" xfId="0" applyNumberFormat="1" applyFont="1" applyBorder="1"/>
    <xf numFmtId="4" fontId="0" fillId="3" borderId="0" xfId="0" applyNumberFormat="1" applyFill="1"/>
    <xf numFmtId="4" fontId="0" fillId="4" borderId="0" xfId="0" applyNumberFormat="1" applyFill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hec.4676" TargetMode="External"/><Relationship Id="rId2" Type="http://schemas.openxmlformats.org/officeDocument/2006/relationships/hyperlink" Target="https://repositorio-api.insper.edu.br/server/api/core/bitstreams/6a108d66-29e3-4684-ab40-0bf3cb54e724/content" TargetMode="External"/><Relationship Id="rId1" Type="http://schemas.openxmlformats.org/officeDocument/2006/relationships/hyperlink" Target="https://doi.org/10.1002/hec.1607" TargetMode="External"/><Relationship Id="rId6" Type="http://schemas.openxmlformats.org/officeDocument/2006/relationships/hyperlink" Target="https://doi.org/10.1590/0101-41615022rac" TargetMode="External"/><Relationship Id="rId5" Type="http://schemas.openxmlformats.org/officeDocument/2006/relationships/hyperlink" Target="https://egestorab.saude.gov.br/paginas/acessoPublico/relatorios/relHistoricoCoberturaAB.xhtml" TargetMode="External"/><Relationship Id="rId4" Type="http://schemas.openxmlformats.org/officeDocument/2006/relationships/hyperlink" Target="https://www.ibge.gov.br/estatisticas/sociais/populacao/9662-censo-demografico-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"/>
  <sheetViews>
    <sheetView topLeftCell="A13" workbookViewId="0">
      <selection activeCell="B15" sqref="B15"/>
    </sheetView>
  </sheetViews>
  <sheetFormatPr defaultColWidth="12.5703125" defaultRowHeight="15.75" customHeight="1" x14ac:dyDescent="0.2"/>
  <sheetData>
    <row r="1" spans="1:12" x14ac:dyDescent="0.2">
      <c r="A1" s="1" t="s">
        <v>0</v>
      </c>
    </row>
    <row r="2" spans="1:12" x14ac:dyDescent="0.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4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7</v>
      </c>
      <c r="B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2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1" spans="1:12" x14ac:dyDescent="0.2">
      <c r="A11" s="1" t="s">
        <v>10</v>
      </c>
      <c r="B11" s="1" t="s">
        <v>11</v>
      </c>
    </row>
    <row r="12" spans="1:12" x14ac:dyDescent="0.2">
      <c r="B12" s="2" t="s">
        <v>12</v>
      </c>
    </row>
    <row r="14" spans="1:12" x14ac:dyDescent="0.2">
      <c r="A14" s="1" t="s">
        <v>13</v>
      </c>
      <c r="B14" s="1" t="s">
        <v>14</v>
      </c>
    </row>
    <row r="15" spans="1:12" x14ac:dyDescent="0.2">
      <c r="A15" s="1"/>
      <c r="B15" s="2" t="s">
        <v>15</v>
      </c>
    </row>
    <row r="16" spans="1:12" x14ac:dyDescent="0.2">
      <c r="A16" s="1"/>
    </row>
    <row r="17" spans="1:2" x14ac:dyDescent="0.2">
      <c r="A17" s="1" t="s">
        <v>16</v>
      </c>
      <c r="B17" s="1" t="s">
        <v>17</v>
      </c>
    </row>
    <row r="18" spans="1:2" x14ac:dyDescent="0.2">
      <c r="A18" s="1"/>
      <c r="B18" s="2" t="s">
        <v>18</v>
      </c>
    </row>
    <row r="19" spans="1:2" x14ac:dyDescent="0.2">
      <c r="A19" s="1"/>
    </row>
    <row r="20" spans="1:2" x14ac:dyDescent="0.2">
      <c r="A20" s="1"/>
    </row>
    <row r="21" spans="1:2" x14ac:dyDescent="0.2">
      <c r="A21" s="1" t="s">
        <v>19</v>
      </c>
    </row>
    <row r="22" spans="1:2" x14ac:dyDescent="0.2">
      <c r="A22" s="1" t="s">
        <v>20</v>
      </c>
    </row>
    <row r="23" spans="1:2" x14ac:dyDescent="0.2">
      <c r="A23" s="1" t="s">
        <v>21</v>
      </c>
    </row>
    <row r="24" spans="1:2" x14ac:dyDescent="0.2">
      <c r="A24" s="1" t="s">
        <v>22</v>
      </c>
    </row>
    <row r="25" spans="1:2" x14ac:dyDescent="0.2">
      <c r="A25" s="1" t="s">
        <v>23</v>
      </c>
    </row>
  </sheetData>
  <hyperlinks>
    <hyperlink ref="B3" r:id="rId1" xr:uid="{00000000-0004-0000-0000-000000000000}"/>
    <hyperlink ref="B6" r:id="rId2" xr:uid="{00000000-0004-0000-0000-000001000000}"/>
    <hyperlink ref="B9" r:id="rId3" xr:uid="{00000000-0004-0000-0000-000002000000}"/>
    <hyperlink ref="B12" r:id="rId4" xr:uid="{00000000-0004-0000-0000-000003000000}"/>
    <hyperlink ref="B15" r:id="rId5" xr:uid="{00000000-0004-0000-0000-000004000000}"/>
    <hyperlink ref="B18" r:id="rId6" xr:uid="{00000000-0004-0000-0000-000005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7"/>
  <sheetViews>
    <sheetView topLeftCell="A59" workbookViewId="0">
      <selection activeCell="I23" sqref="I23"/>
    </sheetView>
  </sheetViews>
  <sheetFormatPr defaultColWidth="12.5703125" defaultRowHeight="15.75" customHeight="1" x14ac:dyDescent="0.2"/>
  <cols>
    <col min="1" max="1" width="4.7109375" customWidth="1"/>
    <col min="4" max="4" width="4" customWidth="1"/>
    <col min="7" max="7" width="4" customWidth="1"/>
    <col min="10" max="10" width="4" customWidth="1"/>
  </cols>
  <sheetData>
    <row r="1" spans="1:12" ht="12.75" x14ac:dyDescent="0.2">
      <c r="A1" s="3" t="s">
        <v>24</v>
      </c>
    </row>
    <row r="2" spans="1:12" ht="12.75" x14ac:dyDescent="0.2">
      <c r="B2" s="23" t="s">
        <v>25</v>
      </c>
      <c r="C2" s="24"/>
      <c r="E2" s="23" t="s">
        <v>26</v>
      </c>
      <c r="F2" s="24"/>
      <c r="H2" s="23" t="s">
        <v>27</v>
      </c>
      <c r="I2" s="24"/>
      <c r="K2" s="23" t="s">
        <v>28</v>
      </c>
      <c r="L2" s="24"/>
    </row>
    <row r="3" spans="1:12" ht="12.75" x14ac:dyDescent="0.2">
      <c r="A3" s="1" t="s">
        <v>29</v>
      </c>
      <c r="B3" s="1" t="s">
        <v>30</v>
      </c>
      <c r="C3" s="1" t="s">
        <v>31</v>
      </c>
      <c r="E3" s="1" t="s">
        <v>30</v>
      </c>
      <c r="F3" s="1" t="s">
        <v>31</v>
      </c>
      <c r="H3" s="1" t="s">
        <v>30</v>
      </c>
      <c r="I3" s="1" t="s">
        <v>31</v>
      </c>
      <c r="K3" s="1" t="s">
        <v>30</v>
      </c>
      <c r="L3" s="1" t="s">
        <v>31</v>
      </c>
    </row>
    <row r="4" spans="1:12" ht="12.75" x14ac:dyDescent="0.2">
      <c r="A4" s="1">
        <v>1</v>
      </c>
      <c r="B4" s="1">
        <v>-0.56899999999999995</v>
      </c>
      <c r="C4" s="1">
        <v>0.27010000000000001</v>
      </c>
      <c r="E4" s="1">
        <v>-3.2199999999999999E-2</v>
      </c>
      <c r="F4" s="1">
        <v>1.5599999999999999E-2</v>
      </c>
      <c r="H4" s="1">
        <v>-3.9699999999999999E-2</v>
      </c>
      <c r="I4" s="1">
        <v>1.6500000000000001E-2</v>
      </c>
      <c r="K4" s="1">
        <v>-7.1300000000000002E-2</v>
      </c>
      <c r="L4" s="1">
        <v>0.1832</v>
      </c>
    </row>
    <row r="5" spans="1:12" ht="12.75" x14ac:dyDescent="0.2">
      <c r="A5" s="1">
        <v>2</v>
      </c>
      <c r="B5" s="1">
        <v>-0.76139999999999997</v>
      </c>
      <c r="C5" s="1">
        <v>0.33860000000000001</v>
      </c>
      <c r="E5" s="1">
        <v>-4.9399999999999999E-2</v>
      </c>
      <c r="F5" s="1">
        <v>1.72E-2</v>
      </c>
      <c r="H5" s="1">
        <v>-7.9000000000000001E-2</v>
      </c>
      <c r="I5" s="1">
        <v>0.02</v>
      </c>
      <c r="K5" s="1">
        <v>-0.23960000000000001</v>
      </c>
      <c r="L5" s="1">
        <v>0.22339999999999999</v>
      </c>
    </row>
    <row r="6" spans="1:12" ht="12.75" x14ac:dyDescent="0.2">
      <c r="A6" s="1">
        <v>3</v>
      </c>
      <c r="B6" s="1">
        <v>-1.8144</v>
      </c>
      <c r="C6" s="1">
        <v>0.47060000000000002</v>
      </c>
      <c r="E6" s="1">
        <v>-7.0699999999999999E-2</v>
      </c>
      <c r="F6" s="1">
        <v>2.3099999999999999E-2</v>
      </c>
      <c r="H6" s="1">
        <v>-0.1142</v>
      </c>
      <c r="I6" s="1">
        <v>2.52E-2</v>
      </c>
      <c r="K6" s="1">
        <v>-0.55900000000000005</v>
      </c>
      <c r="L6" s="1">
        <v>0.25440000000000002</v>
      </c>
    </row>
    <row r="7" spans="1:12" ht="12.75" x14ac:dyDescent="0.2">
      <c r="A7" s="1">
        <v>4</v>
      </c>
      <c r="B7" s="1">
        <v>-2.6899000000000002</v>
      </c>
      <c r="C7" s="1">
        <v>0.67059999999999997</v>
      </c>
      <c r="E7" s="1">
        <v>-0.1159</v>
      </c>
      <c r="F7" s="1">
        <v>2.7900000000000001E-2</v>
      </c>
      <c r="H7" s="1">
        <v>-0.1595</v>
      </c>
      <c r="I7" s="1">
        <v>3.2300000000000002E-2</v>
      </c>
      <c r="K7" s="1">
        <v>-0.83099999999999996</v>
      </c>
      <c r="L7" s="1">
        <v>0.38019999999999998</v>
      </c>
    </row>
    <row r="8" spans="1:12" ht="12.75" x14ac:dyDescent="0.2">
      <c r="A8" s="1">
        <v>5</v>
      </c>
      <c r="B8" s="1">
        <v>-3.6591999999999998</v>
      </c>
      <c r="C8" s="1">
        <v>0.82020000000000004</v>
      </c>
      <c r="E8" s="1">
        <v>-0.16259999999999999</v>
      </c>
      <c r="F8" s="1">
        <v>3.73E-2</v>
      </c>
      <c r="H8" s="1">
        <v>-0.19889999999999999</v>
      </c>
      <c r="I8" s="1">
        <v>4.07E-2</v>
      </c>
      <c r="K8" s="1">
        <v>-0.90349999999999997</v>
      </c>
      <c r="L8" s="1">
        <v>0.39169999999999999</v>
      </c>
    </row>
    <row r="9" spans="1:12" ht="12.75" x14ac:dyDescent="0.2">
      <c r="A9" s="1">
        <v>6</v>
      </c>
      <c r="B9" s="1">
        <v>-4.5655000000000001</v>
      </c>
      <c r="C9" s="1">
        <v>1.1021000000000001</v>
      </c>
      <c r="E9" s="1">
        <v>-0.21579999999999999</v>
      </c>
      <c r="F9" s="1">
        <v>4.3200000000000002E-2</v>
      </c>
      <c r="H9" s="1">
        <v>-0.26419999999999999</v>
      </c>
      <c r="I9" s="1">
        <v>4.7E-2</v>
      </c>
      <c r="K9" s="1">
        <v>-1.0685</v>
      </c>
      <c r="L9" s="1">
        <v>0.49259999999999998</v>
      </c>
    </row>
    <row r="10" spans="1:12" ht="12.75" x14ac:dyDescent="0.2">
      <c r="A10" s="1">
        <v>7</v>
      </c>
      <c r="B10" s="1">
        <v>-4.0427</v>
      </c>
      <c r="C10" s="1">
        <v>1.2616000000000001</v>
      </c>
      <c r="E10" s="1">
        <v>-0.216</v>
      </c>
      <c r="F10" s="1">
        <v>5.1499999999999997E-2</v>
      </c>
      <c r="H10" s="1">
        <v>-0.28820000000000001</v>
      </c>
      <c r="I10" s="1">
        <v>6.3100000000000003E-2</v>
      </c>
      <c r="K10" s="1">
        <v>-1.2634000000000001</v>
      </c>
      <c r="L10" s="1">
        <v>0.58709999999999996</v>
      </c>
    </row>
    <row r="11" spans="1:12" ht="12.75" x14ac:dyDescent="0.2">
      <c r="A11" s="1">
        <v>8</v>
      </c>
      <c r="B11" s="1">
        <v>-5.4047999999999998</v>
      </c>
      <c r="C11" s="1">
        <v>1.5642</v>
      </c>
      <c r="E11" s="1">
        <v>-0.25600000000000001</v>
      </c>
      <c r="F11" s="1">
        <v>5.62E-2</v>
      </c>
      <c r="H11" s="1">
        <v>-0.38340000000000002</v>
      </c>
      <c r="I11" s="1">
        <v>7.0199999999999999E-2</v>
      </c>
      <c r="K11" s="1">
        <v>-1.2114</v>
      </c>
      <c r="L11" s="1">
        <v>0.71699999999999997</v>
      </c>
    </row>
    <row r="12" spans="1:12" ht="12.75" x14ac:dyDescent="0.2">
      <c r="B12" s="1"/>
      <c r="C12" s="1"/>
    </row>
    <row r="13" spans="1:12" ht="12.75" x14ac:dyDescent="0.2">
      <c r="A13" s="3" t="s">
        <v>32</v>
      </c>
    </row>
    <row r="14" spans="1:12" ht="12.75" x14ac:dyDescent="0.2">
      <c r="A14" s="1" t="s">
        <v>29</v>
      </c>
      <c r="B14" s="1" t="s">
        <v>30</v>
      </c>
      <c r="C14" s="1" t="s">
        <v>31</v>
      </c>
    </row>
    <row r="15" spans="1:12" ht="12.75" x14ac:dyDescent="0.2">
      <c r="A15" s="1">
        <v>0</v>
      </c>
      <c r="B15" s="1">
        <v>3.64E-3</v>
      </c>
      <c r="C15" s="1">
        <v>9.0300000000000005E-4</v>
      </c>
      <c r="E15" s="1"/>
    </row>
    <row r="16" spans="1:12" ht="12.75" x14ac:dyDescent="0.2">
      <c r="A16" s="1">
        <v>1</v>
      </c>
      <c r="B16" s="1">
        <v>6.4099999999999999E-3</v>
      </c>
      <c r="C16" s="1">
        <v>1.3799999999999999E-3</v>
      </c>
      <c r="F16" s="1"/>
    </row>
    <row r="17" spans="1:6" ht="12.75" x14ac:dyDescent="0.2">
      <c r="A17" s="1">
        <v>2</v>
      </c>
      <c r="B17" s="1">
        <v>8.9200000000000008E-3</v>
      </c>
      <c r="C17" s="1">
        <v>1.89E-3</v>
      </c>
      <c r="F17" s="1"/>
    </row>
    <row r="18" spans="1:6" ht="12.75" x14ac:dyDescent="0.2">
      <c r="A18" s="1">
        <v>3</v>
      </c>
      <c r="B18" s="1">
        <v>1.21E-2</v>
      </c>
      <c r="C18" s="1">
        <v>2.4299999999999999E-3</v>
      </c>
      <c r="F18" s="1"/>
    </row>
    <row r="19" spans="1:6" ht="12.75" x14ac:dyDescent="0.2">
      <c r="A19" s="1">
        <v>4</v>
      </c>
      <c r="B19" s="1">
        <v>1.49E-2</v>
      </c>
      <c r="C19" s="1">
        <v>2.9499999999999999E-3</v>
      </c>
      <c r="F19" s="1"/>
    </row>
    <row r="20" spans="1:6" ht="12.75" x14ac:dyDescent="0.2">
      <c r="A20" s="1">
        <v>5</v>
      </c>
      <c r="B20" s="1">
        <v>1.72E-2</v>
      </c>
      <c r="C20" s="1">
        <v>3.4399999999999999E-3</v>
      </c>
      <c r="F20" s="1"/>
    </row>
    <row r="21" spans="1:6" ht="12.75" x14ac:dyDescent="0.2">
      <c r="A21" s="1">
        <v>6</v>
      </c>
      <c r="B21" s="1">
        <v>1.9599999999999999E-2</v>
      </c>
      <c r="C21" s="1">
        <v>3.9300000000000003E-3</v>
      </c>
      <c r="F21" s="1"/>
    </row>
    <row r="22" spans="1:6" ht="12.75" x14ac:dyDescent="0.2">
      <c r="A22" s="1">
        <v>7</v>
      </c>
      <c r="B22" s="1">
        <v>2.1899999999999999E-2</v>
      </c>
      <c r="C22" s="1">
        <v>4.3899999999999998E-3</v>
      </c>
      <c r="F22" s="1"/>
    </row>
    <row r="23" spans="1:6" ht="12.75" x14ac:dyDescent="0.2">
      <c r="A23" s="1">
        <v>8</v>
      </c>
      <c r="B23" s="1">
        <v>2.41E-2</v>
      </c>
      <c r="C23" s="1">
        <v>4.8399999999999997E-3</v>
      </c>
      <c r="F23" s="1"/>
    </row>
    <row r="24" spans="1:6" ht="12.75" x14ac:dyDescent="0.2">
      <c r="A24" s="1">
        <v>9</v>
      </c>
      <c r="B24" s="1">
        <v>2.6100000000000002E-2</v>
      </c>
      <c r="C24" s="1">
        <v>5.2700000000000004E-3</v>
      </c>
      <c r="F24" s="1"/>
    </row>
    <row r="25" spans="1:6" ht="12.75" x14ac:dyDescent="0.2">
      <c r="A25" s="1">
        <v>10</v>
      </c>
      <c r="B25" s="1">
        <v>2.8299999999999999E-2</v>
      </c>
      <c r="C25" s="1">
        <v>5.6499999999999996E-3</v>
      </c>
      <c r="F25" s="1"/>
    </row>
    <row r="26" spans="1:6" ht="12.75" x14ac:dyDescent="0.2">
      <c r="A26" s="1">
        <v>11</v>
      </c>
      <c r="B26" s="1">
        <v>2.9600000000000001E-2</v>
      </c>
      <c r="C26" s="1">
        <v>6.0400000000000002E-3</v>
      </c>
      <c r="F26" s="1"/>
    </row>
    <row r="27" spans="1:6" ht="12.75" x14ac:dyDescent="0.2">
      <c r="A27" s="1">
        <v>12</v>
      </c>
      <c r="B27" s="1">
        <v>3.15E-2</v>
      </c>
      <c r="C27" s="1">
        <v>6.6499999999999997E-3</v>
      </c>
      <c r="F27" s="1"/>
    </row>
    <row r="28" spans="1:6" ht="15.75" customHeight="1" x14ac:dyDescent="0.2">
      <c r="F28" s="1"/>
    </row>
    <row r="29" spans="1:6" ht="12.75" x14ac:dyDescent="0.2">
      <c r="A29" s="3" t="s">
        <v>33</v>
      </c>
    </row>
    <row r="30" spans="1:6" ht="12.75" x14ac:dyDescent="0.2">
      <c r="A30" s="1" t="s">
        <v>29</v>
      </c>
      <c r="B30" s="1" t="s">
        <v>30</v>
      </c>
      <c r="C30" s="1" t="s">
        <v>34</v>
      </c>
    </row>
    <row r="31" spans="1:6" ht="12.75" x14ac:dyDescent="0.2">
      <c r="A31" s="1">
        <v>1</v>
      </c>
      <c r="B31" s="1">
        <v>6.8999999999999999E-3</v>
      </c>
      <c r="C31" s="1">
        <v>4.1000000000000003E-3</v>
      </c>
    </row>
    <row r="32" spans="1:6" ht="12.75" x14ac:dyDescent="0.2">
      <c r="A32" s="1">
        <v>2</v>
      </c>
      <c r="B32" s="1">
        <v>5.4999999999999997E-3</v>
      </c>
      <c r="C32" s="1">
        <v>5.7999999999999996E-3</v>
      </c>
    </row>
    <row r="33" spans="1:6" ht="12.75" x14ac:dyDescent="0.2">
      <c r="A33" s="1">
        <v>3</v>
      </c>
      <c r="B33" s="1">
        <v>1.6199999999999999E-2</v>
      </c>
      <c r="C33" s="1">
        <v>7.4999999999999997E-3</v>
      </c>
    </row>
    <row r="34" spans="1:6" ht="12.75" x14ac:dyDescent="0.2">
      <c r="A34" s="1">
        <v>4</v>
      </c>
      <c r="B34" s="1">
        <v>2.18E-2</v>
      </c>
      <c r="C34" s="1">
        <v>9.7000000000000003E-3</v>
      </c>
    </row>
    <row r="35" spans="1:6" ht="12.75" x14ac:dyDescent="0.2">
      <c r="A35" s="1">
        <v>5</v>
      </c>
      <c r="B35" s="1">
        <v>2.3900000000000001E-2</v>
      </c>
      <c r="C35" s="1">
        <v>1.21E-2</v>
      </c>
    </row>
    <row r="36" spans="1:6" ht="12.75" x14ac:dyDescent="0.2">
      <c r="A36" s="1">
        <v>6</v>
      </c>
      <c r="B36" s="1">
        <v>2.8000000000000001E-2</v>
      </c>
      <c r="C36" s="1">
        <v>1.46E-2</v>
      </c>
    </row>
    <row r="37" spans="1:6" ht="12.75" x14ac:dyDescent="0.2">
      <c r="A37" s="1">
        <v>7</v>
      </c>
      <c r="B37" s="1">
        <v>3.61E-2</v>
      </c>
      <c r="C37" s="1">
        <v>1.38E-2</v>
      </c>
    </row>
    <row r="38" spans="1:6" ht="12.75" x14ac:dyDescent="0.2">
      <c r="A38" s="1">
        <v>8</v>
      </c>
      <c r="B38" s="1">
        <v>4.5400000000000003E-2</v>
      </c>
      <c r="C38" s="1">
        <v>0.01</v>
      </c>
    </row>
    <row r="40" spans="1:6" ht="12.75" x14ac:dyDescent="0.2">
      <c r="A40" s="3" t="s">
        <v>35</v>
      </c>
    </row>
    <row r="41" spans="1:6" ht="12.75" x14ac:dyDescent="0.2">
      <c r="A41" s="1"/>
      <c r="B41" s="25" t="s">
        <v>36</v>
      </c>
      <c r="C41" s="24"/>
      <c r="E41" s="25" t="s">
        <v>37</v>
      </c>
      <c r="F41" s="24"/>
    </row>
    <row r="42" spans="1:6" ht="12.75" x14ac:dyDescent="0.2">
      <c r="A42" s="1" t="s">
        <v>29</v>
      </c>
      <c r="B42" s="1" t="s">
        <v>30</v>
      </c>
      <c r="C42" s="1" t="s">
        <v>34</v>
      </c>
      <c r="E42" s="1" t="s">
        <v>30</v>
      </c>
      <c r="F42" s="1" t="s">
        <v>34</v>
      </c>
    </row>
    <row r="43" spans="1:6" ht="12.75" x14ac:dyDescent="0.2">
      <c r="A43" s="1">
        <v>1</v>
      </c>
      <c r="B43" s="1">
        <v>1.03E-2</v>
      </c>
      <c r="C43" s="1">
        <v>5.5999999999999999E-3</v>
      </c>
      <c r="E43" s="1">
        <v>8.9999999999999993E-3</v>
      </c>
      <c r="F43" s="1">
        <v>6.6E-3</v>
      </c>
    </row>
    <row r="44" spans="1:6" ht="12.75" x14ac:dyDescent="0.2">
      <c r="A44" s="1">
        <v>2</v>
      </c>
      <c r="B44" s="1">
        <v>1.7000000000000001E-2</v>
      </c>
      <c r="C44" s="1">
        <v>8.6999999999999994E-3</v>
      </c>
      <c r="E44" s="1">
        <v>1.6799999999999999E-2</v>
      </c>
      <c r="F44" s="1">
        <v>1.0699999999999999E-2</v>
      </c>
    </row>
    <row r="45" spans="1:6" ht="12.75" x14ac:dyDescent="0.2">
      <c r="A45" s="1">
        <v>3</v>
      </c>
      <c r="B45" s="1">
        <v>2.4799999999999999E-2</v>
      </c>
      <c r="C45" s="1">
        <v>1.2200000000000001E-2</v>
      </c>
      <c r="E45" s="1">
        <v>3.32E-2</v>
      </c>
      <c r="F45" s="1">
        <v>1.29E-2</v>
      </c>
    </row>
    <row r="46" spans="1:6" ht="12.75" x14ac:dyDescent="0.2">
      <c r="A46" s="1">
        <v>4</v>
      </c>
      <c r="B46" s="1">
        <v>3.1699999999999999E-2</v>
      </c>
      <c r="C46" s="1">
        <v>1.6400000000000001E-2</v>
      </c>
      <c r="E46" s="1">
        <v>3.9899999999999998E-2</v>
      </c>
      <c r="F46" s="1">
        <v>1.7500000000000002E-2</v>
      </c>
    </row>
    <row r="47" spans="1:6" ht="12.75" x14ac:dyDescent="0.2">
      <c r="A47" s="1">
        <v>5</v>
      </c>
      <c r="B47" s="1">
        <v>5.1799999999999999E-2</v>
      </c>
      <c r="C47" s="1">
        <v>2.1100000000000001E-2</v>
      </c>
      <c r="E47" s="1">
        <v>6.6799999999999998E-2</v>
      </c>
      <c r="F47" s="1">
        <v>2.24E-2</v>
      </c>
    </row>
    <row r="48" spans="1:6" ht="12.75" x14ac:dyDescent="0.2">
      <c r="A48" s="1">
        <v>6</v>
      </c>
      <c r="B48" s="1">
        <v>5.6800000000000003E-2</v>
      </c>
      <c r="C48" s="1">
        <v>2.7199999999999998E-2</v>
      </c>
      <c r="E48" s="1">
        <v>8.0199999999999994E-2</v>
      </c>
      <c r="F48" s="1">
        <v>2.8500000000000001E-2</v>
      </c>
    </row>
    <row r="49" spans="1:7" ht="12.75" x14ac:dyDescent="0.2">
      <c r="A49" s="1">
        <v>7</v>
      </c>
      <c r="B49" s="1">
        <v>7.46E-2</v>
      </c>
      <c r="C49" s="1">
        <v>3.27E-2</v>
      </c>
      <c r="E49" s="1">
        <v>0.10929999999999999</v>
      </c>
      <c r="F49" s="1">
        <v>3.3300000000000003E-2</v>
      </c>
    </row>
    <row r="50" spans="1:7" ht="12.75" x14ac:dyDescent="0.2">
      <c r="A50" s="1">
        <v>8</v>
      </c>
      <c r="B50" s="1">
        <v>6.8000000000000005E-2</v>
      </c>
      <c r="C50" s="1">
        <v>4.1200000000000001E-2</v>
      </c>
      <c r="E50" s="1">
        <v>0.11360000000000001</v>
      </c>
      <c r="F50" s="1">
        <v>4.1000000000000002E-2</v>
      </c>
    </row>
    <row r="52" spans="1:7" ht="12.75" x14ac:dyDescent="0.2">
      <c r="A52" s="3" t="s">
        <v>38</v>
      </c>
    </row>
    <row r="53" spans="1:7" ht="12.75" x14ac:dyDescent="0.2">
      <c r="A53" s="1" t="s">
        <v>29</v>
      </c>
      <c r="B53" s="1" t="s">
        <v>30</v>
      </c>
      <c r="C53" s="1" t="s">
        <v>34</v>
      </c>
    </row>
    <row r="54" spans="1:7" ht="12.75" x14ac:dyDescent="0.2">
      <c r="A54" s="1">
        <v>1</v>
      </c>
      <c r="B54" s="1">
        <v>-1.2800000000000001E-2</v>
      </c>
      <c r="C54" s="1">
        <v>3.0999999999999999E-3</v>
      </c>
    </row>
    <row r="55" spans="1:7" ht="12.75" x14ac:dyDescent="0.2">
      <c r="A55" s="1">
        <v>2</v>
      </c>
      <c r="B55" s="1">
        <v>-1.2500000000000001E-2</v>
      </c>
      <c r="C55" s="1">
        <v>4.1999999999999997E-3</v>
      </c>
    </row>
    <row r="56" spans="1:7" ht="12.75" x14ac:dyDescent="0.2">
      <c r="A56" s="1">
        <v>3</v>
      </c>
      <c r="B56" s="1">
        <v>-1.7999999999999999E-2</v>
      </c>
      <c r="C56" s="1">
        <v>5.7999999999999996E-3</v>
      </c>
    </row>
    <row r="57" spans="1:7" ht="12.75" x14ac:dyDescent="0.2">
      <c r="A57" s="1">
        <v>4</v>
      </c>
      <c r="B57" s="1">
        <v>-2.4500000000000001E-2</v>
      </c>
      <c r="C57" s="1">
        <v>7.1000000000000004E-3</v>
      </c>
    </row>
    <row r="58" spans="1:7" ht="12.75" x14ac:dyDescent="0.2">
      <c r="A58" s="1">
        <v>5</v>
      </c>
      <c r="B58" s="1">
        <v>-2.76E-2</v>
      </c>
      <c r="C58" s="1">
        <v>8.8000000000000005E-3</v>
      </c>
    </row>
    <row r="59" spans="1:7" ht="12.75" x14ac:dyDescent="0.2">
      <c r="A59" s="1">
        <v>6</v>
      </c>
      <c r="B59" s="1">
        <v>-3.5299999999999998E-2</v>
      </c>
      <c r="C59" s="1">
        <v>9.7999999999999997E-3</v>
      </c>
    </row>
    <row r="60" spans="1:7" ht="12.75" x14ac:dyDescent="0.2">
      <c r="A60" s="1">
        <v>7</v>
      </c>
      <c r="B60" s="1">
        <v>-3.73E-2</v>
      </c>
      <c r="C60" s="1">
        <v>1.15E-2</v>
      </c>
    </row>
    <row r="61" spans="1:7" ht="12.75" x14ac:dyDescent="0.2">
      <c r="A61" s="1">
        <v>8</v>
      </c>
      <c r="B61" s="1">
        <v>-4.5600000000000002E-2</v>
      </c>
      <c r="C61" s="1">
        <v>1.0500000000000001E-2</v>
      </c>
    </row>
    <row r="63" spans="1:7" ht="12.75" x14ac:dyDescent="0.2">
      <c r="A63" s="3" t="s">
        <v>39</v>
      </c>
      <c r="C63" s="5"/>
      <c r="D63" s="5"/>
      <c r="F63" s="6">
        <v>0.5131</v>
      </c>
      <c r="G63" s="1" t="s">
        <v>40</v>
      </c>
    </row>
    <row r="64" spans="1:7" ht="12.75" x14ac:dyDescent="0.2">
      <c r="A64" s="3"/>
      <c r="F64" s="7">
        <v>98270806</v>
      </c>
      <c r="G64" s="1" t="s">
        <v>41</v>
      </c>
    </row>
    <row r="65" spans="1:6" ht="12.75" x14ac:dyDescent="0.2">
      <c r="A65" s="3" t="s">
        <v>42</v>
      </c>
      <c r="F65" s="7">
        <v>31107</v>
      </c>
    </row>
    <row r="66" spans="1:6" ht="12.75" x14ac:dyDescent="0.2">
      <c r="A66" s="3" t="s">
        <v>43</v>
      </c>
      <c r="F66" s="8">
        <v>58411</v>
      </c>
    </row>
    <row r="67" spans="1:6" ht="12.75" x14ac:dyDescent="0.2">
      <c r="A67" s="3" t="s">
        <v>44</v>
      </c>
      <c r="F67" s="9">
        <f>F66*F65*12/F64</f>
        <v>221.87557639447874</v>
      </c>
    </row>
    <row r="68" spans="1:6" ht="12.75" x14ac:dyDescent="0.2">
      <c r="A68" s="3" t="s">
        <v>45</v>
      </c>
      <c r="F68" s="8">
        <v>3294000</v>
      </c>
    </row>
    <row r="69" spans="1:6" ht="12.75" x14ac:dyDescent="0.2">
      <c r="A69" s="3" t="s">
        <v>46</v>
      </c>
      <c r="F69" s="6">
        <v>0.36143799999999998</v>
      </c>
    </row>
    <row r="70" spans="1:6" ht="12.75" x14ac:dyDescent="0.2">
      <c r="A70" s="3" t="s">
        <v>47</v>
      </c>
      <c r="F70" s="6">
        <v>1.430583E-2</v>
      </c>
    </row>
    <row r="71" spans="1:6" ht="12.75" x14ac:dyDescent="0.2">
      <c r="A71" s="3" t="s">
        <v>48</v>
      </c>
      <c r="F71" s="6">
        <v>4.3039290000000001E-2</v>
      </c>
    </row>
    <row r="72" spans="1:6" ht="12.75" x14ac:dyDescent="0.2">
      <c r="A72" s="3" t="s">
        <v>49</v>
      </c>
      <c r="F72" s="6">
        <v>0.64335869999999995</v>
      </c>
    </row>
    <row r="73" spans="1:6" ht="12.75" x14ac:dyDescent="0.2">
      <c r="A73" s="3" t="s">
        <v>50</v>
      </c>
      <c r="F73" s="6">
        <v>0.1158013</v>
      </c>
    </row>
    <row r="74" spans="1:6" ht="12.75" x14ac:dyDescent="0.2">
      <c r="A74" s="3" t="s">
        <v>51</v>
      </c>
      <c r="F74" s="9">
        <v>195.87289999999999</v>
      </c>
    </row>
    <row r="75" spans="1:6" ht="12.75" x14ac:dyDescent="0.2">
      <c r="A75" s="10" t="s">
        <v>52</v>
      </c>
      <c r="B75" s="11"/>
      <c r="C75" s="11"/>
      <c r="D75" s="11"/>
      <c r="E75" s="11"/>
      <c r="F75" s="12">
        <v>0.22</v>
      </c>
    </row>
    <row r="76" spans="1:6" ht="12.75" x14ac:dyDescent="0.2">
      <c r="A76" s="10" t="s">
        <v>53</v>
      </c>
      <c r="B76" s="11"/>
      <c r="C76" s="11"/>
      <c r="D76" s="11"/>
      <c r="E76" s="11"/>
      <c r="F76" s="12">
        <v>0.17</v>
      </c>
    </row>
    <row r="77" spans="1:6" ht="12.75" x14ac:dyDescent="0.2">
      <c r="A77" s="10" t="s">
        <v>54</v>
      </c>
      <c r="B77" s="11"/>
      <c r="C77" s="11"/>
      <c r="D77" s="11"/>
      <c r="E77" s="11"/>
      <c r="F77" s="12">
        <v>0.03</v>
      </c>
    </row>
  </sheetData>
  <mergeCells count="6">
    <mergeCell ref="B2:C2"/>
    <mergeCell ref="E2:F2"/>
    <mergeCell ref="H2:I2"/>
    <mergeCell ref="K2:L2"/>
    <mergeCell ref="B41:C41"/>
    <mergeCell ref="E41:F4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42"/>
  <sheetViews>
    <sheetView tabSelected="1" topLeftCell="E1" workbookViewId="0">
      <selection activeCell="N15" sqref="N15"/>
    </sheetView>
  </sheetViews>
  <sheetFormatPr defaultColWidth="12.5703125" defaultRowHeight="15.75" customHeight="1" x14ac:dyDescent="0.2"/>
  <cols>
    <col min="17" max="17" width="5.42578125" customWidth="1"/>
  </cols>
  <sheetData>
    <row r="1" spans="1:19" x14ac:dyDescent="0.2">
      <c r="A1" s="3" t="s">
        <v>55</v>
      </c>
    </row>
    <row r="2" spans="1:19" x14ac:dyDescent="0.2">
      <c r="B2" s="23" t="s">
        <v>56</v>
      </c>
      <c r="C2" s="24"/>
      <c r="D2" s="24"/>
      <c r="E2" s="24"/>
      <c r="F2" s="24"/>
      <c r="G2" s="24"/>
      <c r="H2" s="24"/>
      <c r="I2" s="24"/>
      <c r="J2" s="24"/>
      <c r="K2" s="18"/>
      <c r="L2" s="18"/>
      <c r="M2" s="18"/>
      <c r="N2" s="18"/>
      <c r="O2" s="18"/>
      <c r="P2" s="18"/>
    </row>
    <row r="3" spans="1:19" x14ac:dyDescent="0.2">
      <c r="A3" s="1"/>
      <c r="B3" s="23" t="s">
        <v>57</v>
      </c>
      <c r="C3" s="24"/>
      <c r="D3" s="24"/>
      <c r="E3" s="24"/>
      <c r="F3" s="26" t="s">
        <v>58</v>
      </c>
      <c r="G3" s="26" t="s">
        <v>59</v>
      </c>
      <c r="H3" s="26" t="s">
        <v>60</v>
      </c>
      <c r="I3" s="26" t="s">
        <v>61</v>
      </c>
      <c r="J3" s="26" t="s">
        <v>62</v>
      </c>
      <c r="K3" s="17"/>
      <c r="L3" s="17"/>
      <c r="M3" s="17"/>
      <c r="N3" s="17"/>
      <c r="O3" s="17"/>
      <c r="P3" s="17"/>
    </row>
    <row r="4" spans="1:19" x14ac:dyDescent="0.2">
      <c r="A4" s="4" t="s">
        <v>63</v>
      </c>
      <c r="B4" s="4" t="s">
        <v>64</v>
      </c>
      <c r="C4" s="4" t="s">
        <v>65</v>
      </c>
      <c r="D4" s="4" t="s">
        <v>66</v>
      </c>
      <c r="E4" s="4" t="s">
        <v>67</v>
      </c>
      <c r="F4" s="24"/>
      <c r="G4" s="24"/>
      <c r="H4" s="24"/>
      <c r="I4" s="24"/>
      <c r="J4" s="24"/>
      <c r="K4" s="18" t="s">
        <v>77</v>
      </c>
      <c r="L4" s="18" t="s">
        <v>78</v>
      </c>
      <c r="M4" s="18" t="s">
        <v>81</v>
      </c>
      <c r="N4" s="18" t="s">
        <v>82</v>
      </c>
      <c r="O4" s="18" t="s">
        <v>79</v>
      </c>
      <c r="P4" s="18" t="s">
        <v>80</v>
      </c>
      <c r="R4" s="4" t="s">
        <v>68</v>
      </c>
      <c r="S4" s="4" t="s">
        <v>69</v>
      </c>
    </row>
    <row r="5" spans="1:19" x14ac:dyDescent="0.2">
      <c r="A5" s="1">
        <v>1</v>
      </c>
      <c r="B5" s="13">
        <f>-Dados!B4*Dados!$F$70*Dados!$F$68/1000</f>
        <v>26.813216887379998</v>
      </c>
      <c r="C5" s="13">
        <f>-Dados!E4*Dados!$F$71*Dados!$F$68/1000</f>
        <v>4.565039764572</v>
      </c>
      <c r="D5" s="13">
        <f>-Dados!H4*Dados!$F$72*Dados!$F$68/1000</f>
        <v>84.133175244659981</v>
      </c>
      <c r="E5" s="13">
        <f>-Dados!K4*Dados!$F$73*Dados!$F$68/1000</f>
        <v>27.197348080859999</v>
      </c>
      <c r="F5" s="13">
        <f>Dados!B16*Dados!$F$67</f>
        <v>1.4222224446886087</v>
      </c>
      <c r="G5" s="13">
        <f>Dados!E43*Dados!$F$74*Dados!$F$69*(1-Dados!$F$75)</f>
        <v>0.4969872827960039</v>
      </c>
      <c r="H5" s="13">
        <f>Dados!B31*Dados!$F$74*Dados!$F$69*(1-Dados!$F$75)*Dados!$F$76</f>
        <v>6.4774009191079188E-2</v>
      </c>
      <c r="I5" s="13">
        <f>Dados!E43*Dados!$F$74*Dados!$F$69*Dados!$F$75</f>
        <v>0.14017590027579596</v>
      </c>
      <c r="J5" s="13">
        <f>Dados!B31*Dados!$F$74*Dados!$F$69*Dados!$F$75*Dados!$F$76</f>
        <v>1.8269592335945412E-2</v>
      </c>
      <c r="K5" s="13">
        <f>SUM(B5:E5)/(1+Dados!$F$77)^A5</f>
        <v>138.55221357036115</v>
      </c>
      <c r="L5" s="13">
        <f>F5/(1+Dados!$F$77)^A5</f>
        <v>1.3807984899889405</v>
      </c>
      <c r="M5" s="13">
        <f>SUM(G5)/(1+Dados!$F$77)^A5</f>
        <v>0.48251192504466395</v>
      </c>
      <c r="N5" s="13">
        <f>SUM(H5)/(1+Dados!$F$77)^A5</f>
        <v>6.2887387564154545E-2</v>
      </c>
      <c r="O5" s="13">
        <f>Dados!$F$67/(1+Dados!$F$77)^A5</f>
        <v>215.41318096551333</v>
      </c>
      <c r="P5" s="13">
        <f>SUM(I5:J5)/(1+Dados!$F$77)^A5</f>
        <v>0.1538305753512052</v>
      </c>
      <c r="R5" s="13">
        <f>SUM(B5:H5)/(1+Dados!$F$77)^A5</f>
        <v>140.47841137295887</v>
      </c>
      <c r="S5" s="13">
        <f>(Dados!$F$67-SUM(I5:J5))/(1+Dados!$F$77)^A5</f>
        <v>215.25935039016213</v>
      </c>
    </row>
    <row r="6" spans="1:19" x14ac:dyDescent="0.2">
      <c r="A6" s="1">
        <v>2</v>
      </c>
      <c r="B6" s="13">
        <f>-Dados!B5*Dados!$F$70*Dados!$F$68/1000</f>
        <v>35.879759820827999</v>
      </c>
      <c r="C6" s="13">
        <f>-Dados!E5*Dados!$F$71*Dados!$F$68/1000</f>
        <v>7.0035082102440001</v>
      </c>
      <c r="D6" s="13">
        <f>-Dados!H5*Dados!$F$72*Dados!$F$68/1000</f>
        <v>167.41866106619997</v>
      </c>
      <c r="E6" s="13">
        <f>-Dados!K5*Dados!$F$73*Dados!$F$68/1000</f>
        <v>91.395295935120004</v>
      </c>
      <c r="F6" s="13">
        <f>Dados!B17*Dados!$F$67</f>
        <v>1.9791301414387505</v>
      </c>
      <c r="G6" s="13">
        <f>Dados!E44*Dados!$F$74*Dados!$F$69*(1-Dados!$F$75)</f>
        <v>0.92770959455254065</v>
      </c>
      <c r="H6" s="13">
        <f>Dados!B32*Dados!$F$74*Dados!$F$69*(1-Dados!$F$75)*Dados!$F$76</f>
        <v>5.1631456601584858E-2</v>
      </c>
      <c r="I6" s="13">
        <f>Dados!E44*Dados!$F$74*Dados!$F$69*Dados!$F$75</f>
        <v>0.26166168051481914</v>
      </c>
      <c r="J6" s="13">
        <f>Dados!B32*Dados!$F$74*Dados!$F$69*Dados!$F$75*Dados!$F$76</f>
        <v>1.456271852865214E-2</v>
      </c>
      <c r="K6" s="13">
        <f>SUM(B6:E6)/(1+Dados!$F$77)^A6</f>
        <v>284.3785701125384</v>
      </c>
      <c r="L6" s="13">
        <f>F6/(1+Dados!$F$77)^A6</f>
        <v>1.865519974963475</v>
      </c>
      <c r="M6" s="13">
        <f>SUM(G6)/(1+Dados!$F$77)^A6</f>
        <v>0.87445526868935874</v>
      </c>
      <c r="N6" s="13">
        <f>SUM(H6)/(1+Dados!$F$77)^A6</f>
        <v>4.8667599775270867E-2</v>
      </c>
      <c r="O6" s="13">
        <f>Dados!$F$67/(1+Dados!$F$77)^A6</f>
        <v>209.13901064612946</v>
      </c>
      <c r="P6" s="13">
        <f>SUM(I6:J6)/(1+Dados!$F$77)^A6</f>
        <v>0.26036798854130577</v>
      </c>
      <c r="R6" s="13">
        <f>SUM(B6:H6)/(1+Dados!$F$77)^A6</f>
        <v>287.16721295596653</v>
      </c>
      <c r="S6" s="13">
        <f>(Dados!$F$67-SUM(I6:J6))/(1+Dados!$F$77)^A6</f>
        <v>208.87864265758816</v>
      </c>
    </row>
    <row r="7" spans="1:19" x14ac:dyDescent="0.2">
      <c r="A7" s="1">
        <v>3</v>
      </c>
      <c r="B7" s="13">
        <f>-Dados!B6*Dados!$F$70*Dados!$F$68/1000</f>
        <v>85.500704253888003</v>
      </c>
      <c r="C7" s="13">
        <f>-Dados!E6*Dados!$F$71*Dados!$F$68/1000</f>
        <v>10.023239483082</v>
      </c>
      <c r="D7" s="13">
        <f>-Dados!H6*Dados!$F$72*Dados!$F$68/1000</f>
        <v>242.01533030075998</v>
      </c>
      <c r="E7" s="13">
        <f>-Dados!K6*Dados!$F$73*Dados!$F$68/1000</f>
        <v>213.23026054979999</v>
      </c>
      <c r="F7" s="13">
        <f>Dados!B18*Dados!$F$67</f>
        <v>2.6846944743731926</v>
      </c>
      <c r="G7" s="13">
        <f>Dados!E45*Dados!$F$74*Dados!$F$69*(1-Dados!$F$75)</f>
        <v>1.8333308654252591</v>
      </c>
      <c r="H7" s="13">
        <f>Dados!B33*Dados!$F$74*Dados!$F$69*(1-Dados!$F$75)*Dados!$F$76</f>
        <v>0.15207810853557721</v>
      </c>
      <c r="I7" s="13">
        <f>Dados!E45*Dados!$F$74*Dados!$F$69*Dados!$F$75</f>
        <v>0.51709332101738081</v>
      </c>
      <c r="J7" s="13">
        <f>Dados!B33*Dados!$F$74*Dados!$F$69*Dados!$F$75*Dados!$F$76</f>
        <v>4.2893825484393577E-2</v>
      </c>
      <c r="K7" s="13">
        <f>SUM(B7:E7)/(1+Dados!$F$77)^A7</f>
        <v>504.03214580359958</v>
      </c>
      <c r="L7" s="13">
        <f>F7/(1+Dados!$F$77)^A7</f>
        <v>2.4568757561341421</v>
      </c>
      <c r="M7" s="13">
        <f>SUM(G7)/(1+Dados!$F$77)^A7</f>
        <v>1.6777574503286357</v>
      </c>
      <c r="N7" s="13">
        <f>SUM(H7)/(1+Dados!$F$77)^A7</f>
        <v>0.13917301259653803</v>
      </c>
      <c r="O7" s="13">
        <f>Dados!$F$67/(1+Dados!$F$77)^A7</f>
        <v>203.04758315158199</v>
      </c>
      <c r="P7" s="13">
        <f>SUM(I7:J7)/(1+Dados!$F$77)^A7</f>
        <v>0.51246756646607472</v>
      </c>
      <c r="R7" s="13">
        <f>SUM(B7:H7)/(1+Dados!$F$77)^A7</f>
        <v>508.30595202265886</v>
      </c>
      <c r="S7" s="13">
        <f>(Dados!$F$67-SUM(I7:J7))/(1+Dados!$F$77)^A7</f>
        <v>202.5351155851159</v>
      </c>
    </row>
    <row r="8" spans="1:19" x14ac:dyDescent="0.2">
      <c r="A8" s="1">
        <v>4</v>
      </c>
      <c r="B8" s="13">
        <f>-Dados!B7*Dados!$F$70*Dados!$F$68/1000</f>
        <v>126.757244473398</v>
      </c>
      <c r="C8" s="13">
        <f>-Dados!E7*Dados!$F$71*Dados!$F$68/1000</f>
        <v>16.431307724033999</v>
      </c>
      <c r="D8" s="13">
        <f>-Dados!H7*Dados!$F$72*Dados!$F$68/1000</f>
        <v>338.01615746909999</v>
      </c>
      <c r="E8" s="13">
        <f>-Dados!K7*Dados!$F$73*Dados!$F$68/1000</f>
        <v>316.98451970819997</v>
      </c>
      <c r="F8" s="13">
        <f>Dados!B19*Dados!$F$67</f>
        <v>3.3059460882777332</v>
      </c>
      <c r="G8" s="13">
        <f>Dados!E46*Dados!$F$74*Dados!$F$69*(1-Dados!$F$75)</f>
        <v>2.2033102870622838</v>
      </c>
      <c r="H8" s="13">
        <f>Dados!B34*Dados!$F$74*Dados!$F$69*(1-Dados!$F$75)*Dados!$F$76</f>
        <v>0.2046483188935545</v>
      </c>
      <c r="I8" s="13">
        <f>Dados!E46*Dados!$F$74*Dados!$F$69*Dados!$F$75</f>
        <v>0.62144649122269546</v>
      </c>
      <c r="J8" s="13">
        <f>Dados!B34*Dados!$F$74*Dados!$F$69*Dados!$F$75*Dados!$F$76</f>
        <v>5.7721320713566664E-2</v>
      </c>
      <c r="K8" s="13">
        <f>SUM(B8:E8)/(1+Dados!$F$77)^A8</f>
        <v>709.18079208525432</v>
      </c>
      <c r="L8" s="13">
        <f>F8/(1+Dados!$F$77)^A8</f>
        <v>2.9372902805423027</v>
      </c>
      <c r="M8" s="13">
        <f>SUM(G8)/(1+Dados!$F$77)^A8</f>
        <v>1.9576126525942379</v>
      </c>
      <c r="N8" s="13">
        <f>SUM(H8)/(1+Dados!$F$77)^A8</f>
        <v>0.18182738071464274</v>
      </c>
      <c r="O8" s="13">
        <f>Dados!$F$67/(1+Dados!$F$77)^A8</f>
        <v>197.13357587532235</v>
      </c>
      <c r="P8" s="13">
        <f>SUM(I8:J8)/(1+Dados!$F$77)^A8</f>
        <v>0.60343180426660736</v>
      </c>
      <c r="R8" s="13">
        <f>SUM(B8:H8)/(1+Dados!$F$77)^A8</f>
        <v>714.25752239910548</v>
      </c>
      <c r="S8" s="13">
        <f>(Dados!$F$67-SUM(I8:J8))/(1+Dados!$F$77)^A8</f>
        <v>196.53014407105573</v>
      </c>
    </row>
    <row r="9" spans="1:19" x14ac:dyDescent="0.2">
      <c r="A9" s="1">
        <v>5</v>
      </c>
      <c r="B9" s="13">
        <f>-Dados!B8*Dados!$F$70*Dados!$F$68/1000</f>
        <v>172.433959989984</v>
      </c>
      <c r="C9" s="13">
        <f>-Dados!E8*Dados!$F$71*Dados!$F$68/1000</f>
        <v>23.052033096875999</v>
      </c>
      <c r="D9" s="13">
        <f>-Dados!H8*Dados!$F$72*Dados!$F$68/1000</f>
        <v>421.51356564641992</v>
      </c>
      <c r="E9" s="13">
        <f>-Dados!K8*Dados!$F$73*Dados!$F$68/1000</f>
        <v>344.63960716769998</v>
      </c>
      <c r="F9" s="13">
        <f>Dados!B20*Dados!$F$67</f>
        <v>3.8162599139850344</v>
      </c>
      <c r="G9" s="13">
        <f>Dados!E47*Dados!$F$74*Dados!$F$69*(1-Dados!$F$75)</f>
        <v>3.6887500545303404</v>
      </c>
      <c r="H9" s="13">
        <f>Dados!B35*Dados!$F$74*Dados!$F$69*(1-Dados!$F$75)*Dados!$F$76</f>
        <v>0.22436214777779603</v>
      </c>
      <c r="I9" s="13">
        <f>Dados!E47*Dados!$F$74*Dados!$F$69*Dados!$F$75</f>
        <v>1.0404166820470191</v>
      </c>
      <c r="J9" s="13">
        <f>Dados!B35*Dados!$F$74*Dados!$F$69*Dados!$F$75*Dados!$F$76</f>
        <v>6.3281631424506574E-2</v>
      </c>
      <c r="K9" s="13">
        <f>SUM(B9:E9)/(1+Dados!$F$77)^A9</f>
        <v>829.51839191404576</v>
      </c>
      <c r="L9" s="13">
        <f>F9/(1+Dados!$F$77)^A9</f>
        <v>3.2919393252966453</v>
      </c>
      <c r="M9" s="13">
        <f>SUM(G9)/(1+Dados!$F$77)^A9</f>
        <v>3.181948200435436</v>
      </c>
      <c r="N9" s="13">
        <f>SUM(H9)/(1+Dados!$F$77)^A9</f>
        <v>0.19353675955642483</v>
      </c>
      <c r="O9" s="13">
        <f>Dados!$F$67/(1+Dados!$F$77)^A9</f>
        <v>191.39182123817704</v>
      </c>
      <c r="P9" s="13">
        <f>SUM(I9:J9)/(1+Dados!$F$77)^A9</f>
        <v>0.95205986051052482</v>
      </c>
      <c r="R9" s="13">
        <f>SUM(B9:H9)/(1+Dados!$F$77)^A9</f>
        <v>836.18581619933434</v>
      </c>
      <c r="S9" s="13">
        <f>(Dados!$F$67-SUM(I9:J9))/(1+Dados!$F$77)^A9</f>
        <v>190.43976137766654</v>
      </c>
    </row>
    <row r="10" spans="1:19" x14ac:dyDescent="0.2">
      <c r="A10" s="1">
        <v>6</v>
      </c>
      <c r="B10" s="13">
        <f>-Dados!B9*Dados!$F$70*Dados!$F$68/1000</f>
        <v>215.14190105330999</v>
      </c>
      <c r="C10" s="13">
        <f>-Dados!E9*Dados!$F$71*Dados!$F$68/1000</f>
        <v>30.594272707908004</v>
      </c>
      <c r="D10" s="13">
        <f>-Dados!H9*Dados!$F$72*Dados!$F$68/1000</f>
        <v>559.89886397075986</v>
      </c>
      <c r="E10" s="13">
        <f>-Dados!K9*Dados!$F$73*Dados!$F$68/1000</f>
        <v>407.5787717307</v>
      </c>
      <c r="F10" s="13">
        <f>Dados!B21*Dados!$F$67</f>
        <v>4.3487612973317828</v>
      </c>
      <c r="G10" s="13">
        <f>Dados!E48*Dados!$F$74*Dados!$F$69*(1-Dados!$F$75)</f>
        <v>4.4287088978043903</v>
      </c>
      <c r="H10" s="13">
        <f>Dados!B36*Dados!$F$74*Dados!$F$69*(1-Dados!$F$75)*Dados!$F$76</f>
        <v>0.2628510517898866</v>
      </c>
      <c r="I10" s="13">
        <f>Dados!E48*Dados!$F$74*Dados!$F$69*Dados!$F$75</f>
        <v>1.2491230224576484</v>
      </c>
      <c r="J10" s="13">
        <f>Dados!B36*Dados!$F$74*Dados!$F$69*Dados!$F$75*Dados!$F$76</f>
        <v>7.4137476145865439E-2</v>
      </c>
      <c r="K10" s="13">
        <f>SUM(B10:E10)/(1+Dados!$F$77)^A10</f>
        <v>1016.0474654161955</v>
      </c>
      <c r="L10" s="13">
        <f>F10/(1+Dados!$F$77)^A10</f>
        <v>3.6420191225905527</v>
      </c>
      <c r="M10" s="13">
        <f>SUM(G10)/(1+Dados!$F$77)^A10</f>
        <v>3.7089739793459962</v>
      </c>
      <c r="N10" s="13">
        <f>SUM(H10)/(1+Dados!$F$77)^A10</f>
        <v>0.22013361772676993</v>
      </c>
      <c r="O10" s="13">
        <f>Dados!$F$67/(1+Dados!$F$77)^A10</f>
        <v>185.81730217298741</v>
      </c>
      <c r="P10" s="13">
        <f>SUM(I10:J10)/(1+Dados!$F$77)^A10</f>
        <v>1.1082098350718057</v>
      </c>
      <c r="R10" s="13">
        <f>SUM(B10:H10)/(1+Dados!$F$77)^A10</f>
        <v>1023.6185921358589</v>
      </c>
      <c r="S10" s="13">
        <f>(Dados!$F$67-SUM(I10:J10))/(1+Dados!$F$77)^A10</f>
        <v>184.70909233791562</v>
      </c>
    </row>
    <row r="11" spans="1:19" x14ac:dyDescent="0.2">
      <c r="A11" s="1">
        <v>7</v>
      </c>
      <c r="B11" s="13">
        <f>-Dados!B10*Dados!$F$70*Dados!$F$68/1000</f>
        <v>190.50578543165398</v>
      </c>
      <c r="C11" s="13">
        <f>-Dados!E10*Dados!$F$71*Dados!$F$68/1000</f>
        <v>30.622626992160004</v>
      </c>
      <c r="D11" s="13">
        <f>-Dados!H10*Dados!$F$72*Dados!$F$68/1000</f>
        <v>610.76022935795993</v>
      </c>
      <c r="E11" s="13">
        <f>-Dados!K10*Dados!$F$73*Dados!$F$68/1000</f>
        <v>481.92327581147998</v>
      </c>
      <c r="F11" s="13">
        <f>Dados!B22*Dados!$F$67</f>
        <v>4.8590751230390845</v>
      </c>
      <c r="G11" s="13">
        <f>Dados!E49*Dados!$F$74*Dados!$F$69*(1-Dados!$F$75)</f>
        <v>6.0356344455114703</v>
      </c>
      <c r="H11" s="13">
        <f>Dados!B37*Dados!$F$74*Dados!$F$69*(1-Dados!$F$75)*Dados!$F$76</f>
        <v>0.33889010605767517</v>
      </c>
      <c r="I11" s="13">
        <f>Dados!E49*Dados!$F$74*Dados!$F$69*Dados!$F$75</f>
        <v>1.7023584333493891</v>
      </c>
      <c r="J11" s="13">
        <f>Dados!B37*Dados!$F$74*Dados!$F$69*Dados!$F$75*Dados!$F$76</f>
        <v>9.5584388888062227E-2</v>
      </c>
      <c r="K11" s="13">
        <f>SUM(B11:E11)/(1+Dados!$F$77)^A11</f>
        <v>1068.2493176968085</v>
      </c>
      <c r="L11" s="13">
        <f>F11/(1+Dados!$F$77)^A11</f>
        <v>3.9508727355227418</v>
      </c>
      <c r="M11" s="13">
        <f>SUM(G11)/(1+Dados!$F$77)^A11</f>
        <v>4.9075231332169267</v>
      </c>
      <c r="N11" s="13">
        <f>SUM(H11)/(1+Dados!$F$77)^A11</f>
        <v>0.27554866851374454</v>
      </c>
      <c r="O11" s="13">
        <f>Dados!$F$67/(1+Dados!$F$77)^A11</f>
        <v>180.40514774076448</v>
      </c>
      <c r="P11" s="13">
        <f>SUM(I11:J11)/(1+Dados!$F$77)^A11</f>
        <v>1.4618920466419842</v>
      </c>
      <c r="R11" s="13">
        <f>SUM(B11:H11)/(1+Dados!$F$77)^A11</f>
        <v>1077.3832622340619</v>
      </c>
      <c r="S11" s="13">
        <f>(Dados!$F$67-SUM(I11:J11))/(1+Dados!$F$77)^A11</f>
        <v>178.94325569412248</v>
      </c>
    </row>
    <row r="12" spans="1:19" x14ac:dyDescent="0.2">
      <c r="A12" s="4">
        <v>8</v>
      </c>
      <c r="B12" s="14">
        <f>-Dados!B11*Dados!$F$70*Dados!$F$68/1000</f>
        <v>254.69257404729598</v>
      </c>
      <c r="C12" s="14">
        <f>-Dados!E11*Dados!$F$71*Dados!$F$68/1000</f>
        <v>36.293483842560001</v>
      </c>
      <c r="D12" s="14">
        <f>-Dados!H11*Dados!$F$72*Dados!$F$68/1000</f>
        <v>812.51031206051994</v>
      </c>
      <c r="E12" s="14">
        <f>-Dados!K11*Dados!$F$73*Dados!$F$68/1000</f>
        <v>462.08790273708001</v>
      </c>
      <c r="F12" s="14">
        <f>Dados!B23*Dados!$F$67</f>
        <v>5.347201391106938</v>
      </c>
      <c r="G12" s="14">
        <f>Dados!E50*Dados!$F$74*Dados!$F$69*(1-Dados!$F$75)</f>
        <v>6.2730839250695611</v>
      </c>
      <c r="H12" s="14">
        <f>Dados!B38*Dados!$F$74*Dados!$F$69*(1-Dados!$F$75)*Dados!$F$76</f>
        <v>0.42619420540217323</v>
      </c>
      <c r="I12" s="14">
        <f>Dados!E50*Dados!$F$74*Dados!$F$69*Dados!$F$75</f>
        <v>1.7693313634811583</v>
      </c>
      <c r="J12" s="14">
        <f>Dados!B38*Dados!$F$74*Dados!$F$69*Dados!$F$75*Dados!$F$76</f>
        <v>0.12020862203651041</v>
      </c>
      <c r="K12" s="20">
        <f>SUM(B12:E12)/(1+Dados!$F$77)^A12</f>
        <v>1235.8866819561447</v>
      </c>
      <c r="L12" s="20">
        <f>F12/(1+Dados!$F$77)^A12</f>
        <v>4.22113015587614</v>
      </c>
      <c r="M12" s="13">
        <f>SUM(G12)/(1+Dados!$F$77)^A12</f>
        <v>4.9520303780762207</v>
      </c>
      <c r="N12" s="13">
        <f>SUM(H12)/(1+Dados!$F$77)^A12</f>
        <v>0.33644164135556587</v>
      </c>
      <c r="O12" s="20">
        <f>Dados!$F$67/(1+Dados!$F$77)^A12</f>
        <v>175.15062887452862</v>
      </c>
      <c r="P12" s="20">
        <f>SUM(I12:J12)/(1+Dados!$F$77)^A12</f>
        <v>1.4916203131730681</v>
      </c>
      <c r="Q12" s="4"/>
      <c r="R12" s="14">
        <f>SUM(B12:H12)/(1+Dados!$F$77)^A12</f>
        <v>1245.3962841314526</v>
      </c>
      <c r="S12" s="14">
        <f>(Dados!$F$67-SUM(I12:J12))/(1+Dados!$F$77)^A12</f>
        <v>173.65900856135556</v>
      </c>
    </row>
    <row r="13" spans="1:19" x14ac:dyDescent="0.2">
      <c r="K13" s="21">
        <f t="shared" ref="K13:P13" si="0">SUM(K5:K12)</f>
        <v>5785.8455785549477</v>
      </c>
      <c r="L13" s="21">
        <f t="shared" si="0"/>
        <v>23.746445840914937</v>
      </c>
      <c r="M13" s="21">
        <f t="shared" si="0"/>
        <v>21.742812987731472</v>
      </c>
      <c r="N13" s="21">
        <f t="shared" si="0"/>
        <v>1.4582160678031113</v>
      </c>
      <c r="O13" s="22">
        <f t="shared" si="0"/>
        <v>1557.4982506650047</v>
      </c>
      <c r="P13" s="22">
        <f t="shared" si="0"/>
        <v>6.5438799900225764</v>
      </c>
      <c r="Q13" s="1" t="s">
        <v>70</v>
      </c>
      <c r="R13" s="13">
        <f t="shared" ref="R13:S13" si="1">SUM(R5:R12)</f>
        <v>5832.7930534513971</v>
      </c>
      <c r="S13" s="13">
        <f t="shared" si="1"/>
        <v>1550.9543706749819</v>
      </c>
    </row>
    <row r="14" spans="1:19" x14ac:dyDescent="0.2">
      <c r="O14" s="19"/>
      <c r="Q14" s="3" t="s">
        <v>71</v>
      </c>
      <c r="R14" s="15">
        <f>R13/S13</f>
        <v>3.7607766957792195</v>
      </c>
    </row>
    <row r="15" spans="1:19" x14ac:dyDescent="0.2">
      <c r="A15" s="3" t="s">
        <v>72</v>
      </c>
      <c r="K15" s="19"/>
    </row>
    <row r="16" spans="1:19" x14ac:dyDescent="0.2">
      <c r="B16" s="23" t="s">
        <v>56</v>
      </c>
      <c r="C16" s="24"/>
      <c r="D16" s="24"/>
      <c r="E16" s="24"/>
      <c r="F16" s="24"/>
      <c r="G16" s="24"/>
      <c r="H16" s="24"/>
      <c r="I16" s="24"/>
      <c r="J16" s="24"/>
      <c r="K16" s="18"/>
      <c r="L16" s="18"/>
      <c r="M16" s="18"/>
      <c r="N16" s="18"/>
      <c r="O16" s="18"/>
      <c r="P16" s="18"/>
    </row>
    <row r="17" spans="1:19" x14ac:dyDescent="0.2">
      <c r="A17" s="1"/>
      <c r="B17" s="23" t="s">
        <v>57</v>
      </c>
      <c r="C17" s="24"/>
      <c r="D17" s="24"/>
      <c r="E17" s="24"/>
      <c r="F17" s="26" t="s">
        <v>58</v>
      </c>
      <c r="G17" s="26" t="s">
        <v>59</v>
      </c>
      <c r="H17" s="26" t="s">
        <v>60</v>
      </c>
      <c r="I17" s="26" t="s">
        <v>61</v>
      </c>
      <c r="J17" s="26" t="s">
        <v>62</v>
      </c>
      <c r="K17" s="17"/>
      <c r="L17" s="17"/>
      <c r="M17" s="17"/>
      <c r="N17" s="17"/>
      <c r="O17" s="17"/>
      <c r="P17" s="17"/>
    </row>
    <row r="18" spans="1:19" x14ac:dyDescent="0.2">
      <c r="A18" s="4" t="s">
        <v>63</v>
      </c>
      <c r="B18" s="4" t="s">
        <v>64</v>
      </c>
      <c r="C18" s="4" t="s">
        <v>65</v>
      </c>
      <c r="D18" s="4" t="s">
        <v>66</v>
      </c>
      <c r="E18" s="4" t="s">
        <v>67</v>
      </c>
      <c r="F18" s="24"/>
      <c r="G18" s="24"/>
      <c r="H18" s="24"/>
      <c r="I18" s="24"/>
      <c r="J18" s="24"/>
      <c r="K18" s="18"/>
      <c r="L18" s="18"/>
      <c r="M18" s="18"/>
      <c r="N18" s="18"/>
      <c r="O18" s="18"/>
      <c r="P18" s="18"/>
      <c r="R18" s="4" t="s">
        <v>68</v>
      </c>
      <c r="S18" s="4" t="s">
        <v>69</v>
      </c>
    </row>
    <row r="19" spans="1:19" x14ac:dyDescent="0.2">
      <c r="A19" s="1">
        <v>1</v>
      </c>
      <c r="B19" s="13">
        <f>-(Dados!B4-1.96*Dados!C4)*Dados!$F$70*Dados!$F$68/1000</f>
        <v>51.760158481951912</v>
      </c>
      <c r="C19" s="13">
        <f>-(Dados!E4-1.96*Dados!F4)*Dados!$F$71*Dados!$F$68/1000</f>
        <v>8.8998427410177605</v>
      </c>
      <c r="D19" s="13">
        <f>-(Dados!H4-1.96*Dados!I4)*Dados!$F$72*Dados!$F$68/1000</f>
        <v>152.66886510391197</v>
      </c>
      <c r="E19" s="13">
        <f>-(Dados!K4-1.96*Dados!L4)*Dados!$F$73*Dados!$F$68/1000</f>
        <v>164.16517655337839</v>
      </c>
      <c r="F19" s="13">
        <f>(Dados!B16-1.96*Dados!B16)*Dados!$F$67</f>
        <v>-1.3653335469010643</v>
      </c>
      <c r="G19" s="13">
        <f>(Dados!E43+1.96*Dados!F43)*Dados!$F$74*Dados!$F$69*(1-Dados!$F$75)</f>
        <v>1.2113236706014603</v>
      </c>
      <c r="H19" s="13">
        <f>(Dados!B31+1.96*Dados!C31)*Dados!$F$74*Dados!$F$69*(1-Dados!$F$75)*Dados!$F$76</f>
        <v>0.14021226105477663</v>
      </c>
      <c r="I19" s="13">
        <f>(Dados!E43+1.96*Dados!F43)*Dados!$F$74*Dados!$F$69*Dados!$F$75</f>
        <v>0.34165539427220676</v>
      </c>
      <c r="J19" s="13">
        <f>(Dados!B31+1.96*Dados!C31)*Dados!$F$74*Dados!$F$69*Dados!$F$75*Dados!$F$76</f>
        <v>3.9547047989808792E-2</v>
      </c>
      <c r="K19" s="13"/>
      <c r="L19" s="13"/>
      <c r="M19" s="13"/>
      <c r="N19" s="13"/>
      <c r="O19" s="13"/>
      <c r="P19" s="13"/>
      <c r="R19" s="13">
        <f>SUM(B19:H19)/(1+Dados!$F$77)^A19</f>
        <v>366.48567501457791</v>
      </c>
      <c r="S19" s="13">
        <f>(Dados!$F$67-SUM(I19:J19))/(1+Dados!$F$77)^A19</f>
        <v>215.04308150700652</v>
      </c>
    </row>
    <row r="20" spans="1:19" x14ac:dyDescent="0.2">
      <c r="A20" s="1">
        <v>2</v>
      </c>
      <c r="B20" s="13">
        <f>-(Dados!B5-1.96*Dados!C5)*Dados!$F$70*Dados!$F$68/1000</f>
        <v>67.153489639125127</v>
      </c>
      <c r="C20" s="13">
        <f>-(Dados!E5-1.96*Dados!F5)*Dados!$F$71*Dados!$F$68/1000</f>
        <v>11.78290636376112</v>
      </c>
      <c r="D20" s="13">
        <f>-(Dados!H5-1.96*Dados!I5)*Dados!$F$72*Dados!$F$68/1000</f>
        <v>250.49222453195998</v>
      </c>
      <c r="E20" s="13">
        <f>-(Dados!K5-1.96*Dados!L5)*Dados!$F$73*Dados!$F$68/1000</f>
        <v>258.41829200914077</v>
      </c>
      <c r="F20" s="13">
        <f>(Dados!B17-1.96*Dados!B17)*Dados!$F$67</f>
        <v>-1.8999649357812003</v>
      </c>
      <c r="G20" s="13">
        <f>(Dados!E44+1.96*Dados!F44)*Dados!$F$74*Dados!$F$69*(1-Dados!$F$75)</f>
        <v>2.0858004050856294</v>
      </c>
      <c r="H20" s="13">
        <f>(Dados!B32+1.96*Dados!C32)*Dados!$F$74*Dados!$F$69*(1-Dados!$F$75)*Dados!$F$76</f>
        <v>0.15834898362827882</v>
      </c>
      <c r="I20" s="13">
        <f>(Dados!E44+1.96*Dados!F44)*Dados!$F$74*Dados!$F$69*Dados!$F$75</f>
        <v>0.58830267835748518</v>
      </c>
      <c r="J20" s="13">
        <f>(Dados!B32+1.96*Dados!C32)*Dados!$F$74*Dados!$F$69*Dados!$F$75*Dados!$F$76</f>
        <v>4.4662533843873517E-2</v>
      </c>
      <c r="K20" s="13"/>
      <c r="L20" s="13"/>
      <c r="M20" s="13"/>
      <c r="N20" s="13"/>
      <c r="O20" s="13"/>
      <c r="P20" s="13"/>
      <c r="R20" s="13">
        <f>SUM(B20:H20)/(1+Dados!$F$77)^A20</f>
        <v>554.42652181819176</v>
      </c>
      <c r="S20" s="13">
        <f>(Dados!$F$67-SUM(I20:J20))/(1+Dados!$F$77)^A20</f>
        <v>208.54238022648448</v>
      </c>
    </row>
    <row r="21" spans="1:19" x14ac:dyDescent="0.2">
      <c r="A21" s="1">
        <v>3</v>
      </c>
      <c r="B21" s="13">
        <f>-(Dados!B6-1.96*Dados!C6)*Dados!$F$70*Dados!$F$68/1000</f>
        <v>128.96620116023951</v>
      </c>
      <c r="C21" s="13">
        <f>-(Dados!E6-1.96*Dados!F6)*Dados!$F$71*Dados!$F$68/1000</f>
        <v>16.442082352049763</v>
      </c>
      <c r="D21" s="13">
        <f>-(Dados!H6-1.96*Dados!I6)*Dados!$F$72*Dados!$F$68/1000</f>
        <v>346.68802026761756</v>
      </c>
      <c r="E21" s="13">
        <f>-(Dados!K6-1.96*Dados!L6)*Dados!$F$73*Dados!$F$68/1000</f>
        <v>403.43012716229282</v>
      </c>
      <c r="F21" s="13">
        <f>(Dados!B18-1.96*Dados!B18)*Dados!$F$67</f>
        <v>-2.5773066953982644</v>
      </c>
      <c r="G21" s="13">
        <f>(Dados!E45+1.96*Dados!F45)*Dados!$F$74*Dados!$F$69*(1-Dados!$F$75)</f>
        <v>3.2295338052268332</v>
      </c>
      <c r="H21" s="13">
        <f>(Dados!B33+1.96*Dados!C33)*Dados!$F$74*Dados!$F$69*(1-Dados!$F$75)*Dados!$F$76</f>
        <v>0.29007491072526764</v>
      </c>
      <c r="I21" s="13">
        <f>(Dados!E45+1.96*Dados!F45)*Dados!$F$74*Dados!$F$69*Dados!$F$75</f>
        <v>0.91089415019218367</v>
      </c>
      <c r="J21" s="13">
        <f>(Dados!B33+1.96*Dados!C33)*Dados!$F$74*Dados!$F$69*Dados!$F$75*Dados!$F$76</f>
        <v>8.1816000460972912E-2</v>
      </c>
      <c r="K21" s="13"/>
      <c r="L21" s="13"/>
      <c r="M21" s="13"/>
      <c r="N21" s="13"/>
      <c r="O21" s="13"/>
      <c r="P21" s="13"/>
      <c r="R21" s="13">
        <f>SUM(B21:H21)/(1+Dados!$F$77)^A21</f>
        <v>820.39588384175875</v>
      </c>
      <c r="S21" s="13">
        <f>(Dados!$F$67-SUM(I21:J21))/(1+Dados!$F$77)^A21</f>
        <v>202.13911273705654</v>
      </c>
    </row>
    <row r="22" spans="1:19" x14ac:dyDescent="0.2">
      <c r="A22" s="1">
        <v>4</v>
      </c>
      <c r="B22" s="13">
        <f>-(Dados!B7-1.96*Dados!C7)*Dados!$F$70*Dados!$F$68/1000</f>
        <v>188.69511575558951</v>
      </c>
      <c r="C22" s="13">
        <f>-(Dados!E7-1.96*Dados!F7)*Dados!$F$71*Dados!$F$68/1000</f>
        <v>24.18393612421584</v>
      </c>
      <c r="D22" s="13">
        <f>-(Dados!H7-1.96*Dados!I7)*Dados!$F$72*Dados!$F$68/1000</f>
        <v>472.1799624663023</v>
      </c>
      <c r="E22" s="13">
        <f>-(Dados!K7-1.96*Dados!L7)*Dados!$F$73*Dados!$F$68/1000</f>
        <v>601.23762224778227</v>
      </c>
      <c r="F22" s="13">
        <f>(Dados!B19-1.96*Dados!B19)*Dados!$F$67</f>
        <v>-3.1737082447466243</v>
      </c>
      <c r="G22" s="13">
        <f>(Dados!E46+1.96*Dados!F46)*Dados!$F$74*Dados!$F$69*(1-Dados!$F$75)</f>
        <v>4.0973840426070547</v>
      </c>
      <c r="H22" s="13">
        <f>(Dados!B34+1.96*Dados!C34)*Dados!$F$74*Dados!$F$69*(1-Dados!$F$75)*Dados!$F$76</f>
        <v>0.38312418305888757</v>
      </c>
      <c r="I22" s="13">
        <f>(Dados!E46+1.96*Dados!F46)*Dados!$F$74*Dados!$F$69*Dados!$F$75</f>
        <v>1.1556724222737846</v>
      </c>
      <c r="J22" s="13">
        <f>(Dados!B34+1.96*Dados!C34)*Dados!$F$74*Dados!$F$69*Dados!$F$75*Dados!$F$76</f>
        <v>0.1080606670166093</v>
      </c>
      <c r="K22" s="13"/>
      <c r="L22" s="13"/>
      <c r="M22" s="13"/>
      <c r="N22" s="13"/>
      <c r="O22" s="13"/>
      <c r="P22" s="13"/>
      <c r="R22" s="13">
        <f>SUM(B22:H22)/(1+Dados!$F$77)^A22</f>
        <v>1144.0189762484486</v>
      </c>
      <c r="S22" s="13">
        <f>(Dados!$F$67-SUM(I22:J22))/(1+Dados!$F$77)^A22</f>
        <v>196.01076539346536</v>
      </c>
    </row>
    <row r="23" spans="1:19" x14ac:dyDescent="0.2">
      <c r="A23" s="1">
        <v>5</v>
      </c>
      <c r="B23" s="13">
        <f>-(Dados!B8-1.96*Dados!C8)*Dados!$F$70*Dados!$F$68/1000</f>
        <v>248.18916730530384</v>
      </c>
      <c r="C23" s="13">
        <f>-(Dados!E8-1.96*Dados!F8)*Dados!$F$71*Dados!$F$68/1000</f>
        <v>33.416658162352078</v>
      </c>
      <c r="D23" s="13">
        <f>-(Dados!H8-1.96*Dados!I8)*Dados!$F$72*Dados!$F$68/1000</f>
        <v>590.56826729924148</v>
      </c>
      <c r="E23" s="13">
        <f>-(Dados!K8-1.96*Dados!L8)*Dados!$F$73*Dados!$F$68/1000</f>
        <v>637.49058103607024</v>
      </c>
      <c r="F23" s="13">
        <f>(Dados!B20-1.96*Dados!B20)*Dados!$F$67</f>
        <v>-3.6636095174256327</v>
      </c>
      <c r="G23" s="13">
        <f>(Dados!E47+1.96*Dados!F47)*Dados!$F$74*Dados!$F$69*(1-Dados!$F$75)</f>
        <v>6.1131644616276466</v>
      </c>
      <c r="H23" s="13">
        <f>(Dados!B35+1.96*Dados!C35)*Dados!$F$74*Dados!$F$69*(1-Dados!$F$75)*Dados!$F$76</f>
        <v>0.44699698864382992</v>
      </c>
      <c r="I23" s="13">
        <f>(Dados!E47+1.96*Dados!F47)*Dados!$F$74*Dados!$F$69*Dados!$F$75</f>
        <v>1.7242258737924132</v>
      </c>
      <c r="J23" s="13">
        <f>(Dados!B35+1.96*Dados!C35)*Dados!$F$74*Dados!$F$69*Dados!$F$75*Dados!$F$76</f>
        <v>0.12607607372005458</v>
      </c>
      <c r="K23" s="13"/>
      <c r="L23" s="13"/>
      <c r="M23" s="13"/>
      <c r="N23" s="13"/>
      <c r="O23" s="13"/>
      <c r="P23" s="13"/>
      <c r="R23" s="13">
        <f>SUM(B23:H23)/(1+Dados!$F$77)^A23</f>
        <v>1304.7486002385913</v>
      </c>
      <c r="S23" s="13">
        <f>(Dados!$F$67-SUM(I23:J23))/(1+Dados!$F$77)^A23</f>
        <v>189.79573452448966</v>
      </c>
    </row>
    <row r="24" spans="1:19" x14ac:dyDescent="0.2">
      <c r="A24" s="1">
        <v>6</v>
      </c>
      <c r="B24" s="13">
        <f>-(Dados!B9-1.96*Dados!C9)*Dados!$F$70*Dados!$F$68/1000</f>
        <v>316.93392005137639</v>
      </c>
      <c r="C24" s="13">
        <f>-(Dados!E9-1.96*Dados!F9)*Dados!$F$71*Dados!$F$68/1000</f>
        <v>42.598342488834717</v>
      </c>
      <c r="D24" s="13">
        <f>-(Dados!H9-1.96*Dados!I9)*Dados!$F$72*Dados!$F$68/1000</f>
        <v>755.1217381152959</v>
      </c>
      <c r="E24" s="13">
        <f>-(Dados!K9-1.96*Dados!L9)*Dados!$F$73*Dados!$F$68/1000</f>
        <v>775.86672099687121</v>
      </c>
      <c r="F24" s="13">
        <f>(Dados!B21-1.96*Dados!B21)*Dados!$F$67</f>
        <v>-4.174810845438512</v>
      </c>
      <c r="G24" s="13">
        <f>(Dados!E48+1.96*Dados!F48)*Dados!$F$74*Dados!$F$69*(1-Dados!$F$75)</f>
        <v>7.513343299691587</v>
      </c>
      <c r="H24" s="13">
        <f>(Dados!B36+1.96*Dados!C36)*Dados!$F$74*Dados!$F$69*(1-Dados!$F$75)*Dados!$F$76</f>
        <v>0.53148482671915065</v>
      </c>
      <c r="I24" s="13">
        <f>(Dados!E48+1.96*Dados!F48)*Dados!$F$74*Dados!$F$69*Dados!$F$75</f>
        <v>2.1191481101694221</v>
      </c>
      <c r="J24" s="13">
        <f>(Dados!B36+1.96*Dados!C36)*Dados!$F$74*Dados!$F$69*Dados!$F$75*Dados!$F$76</f>
        <v>0.14990597676693992</v>
      </c>
      <c r="K24" s="13"/>
      <c r="L24" s="13"/>
      <c r="M24" s="13"/>
      <c r="N24" s="13"/>
      <c r="O24" s="13"/>
      <c r="P24" s="13"/>
      <c r="R24" s="13">
        <f>SUM(B24:H24)/(1+Dados!$F$77)^A24</f>
        <v>1586.5224198639958</v>
      </c>
      <c r="S24" s="13">
        <f>(Dados!$F$67-SUM(I24:J24))/(1+Dados!$F$77)^A24</f>
        <v>183.91700509761449</v>
      </c>
    </row>
    <row r="25" spans="1:19" x14ac:dyDescent="0.2">
      <c r="A25" s="1">
        <v>7</v>
      </c>
      <c r="B25" s="13">
        <f>-(Dados!B10-1.96*Dados!C10)*Dados!$F$70*Dados!$F$68/1000</f>
        <v>307.02952299445275</v>
      </c>
      <c r="C25" s="13">
        <f>-(Dados!E10-1.96*Dados!F10)*Dados!$F$71*Dados!$F$68/1000</f>
        <v>44.933034254144403</v>
      </c>
      <c r="D25" s="13">
        <f>-(Dados!H10-1.96*Dados!I10)*Dados!$F$72*Dados!$F$68/1000</f>
        <v>872.85732209243281</v>
      </c>
      <c r="E25" s="13">
        <f>-(Dados!K10-1.96*Dados!L10)*Dados!$F$73*Dados!$F$68/1000</f>
        <v>920.86329817073511</v>
      </c>
      <c r="F25" s="13">
        <f>(Dados!B22-1.96*Dados!B22)*Dados!$F$67</f>
        <v>-4.6647121181175208</v>
      </c>
      <c r="G25" s="13">
        <f>(Dados!E49+1.96*Dados!F49)*Dados!$F$74*Dados!$F$69*(1-Dados!$F$75)</f>
        <v>9.6397862203480909</v>
      </c>
      <c r="H25" s="13">
        <f>(Dados!B37+1.96*Dados!C37)*Dados!$F$74*Dados!$F$69*(1-Dados!$F$75)*Dados!$F$76</f>
        <v>0.59280422208670558</v>
      </c>
      <c r="I25" s="13">
        <f>(Dados!E49+1.96*Dados!F49)*Dados!$F$74*Dados!$F$69*Dados!$F$75</f>
        <v>2.7189140621494614</v>
      </c>
      <c r="J25" s="13">
        <f>(Dados!B37+1.96*Dados!C37)*Dados!$F$74*Dados!$F$69*Dados!$F$75*Dados!$F$76</f>
        <v>0.16720119084496823</v>
      </c>
      <c r="K25" s="13"/>
      <c r="L25" s="13"/>
      <c r="M25" s="13"/>
      <c r="N25" s="13"/>
      <c r="O25" s="13"/>
      <c r="P25" s="13"/>
      <c r="R25" s="13">
        <f>SUM(B25:H25)/(1+Dados!$F$77)^A25</f>
        <v>1749.1639722687457</v>
      </c>
      <c r="S25" s="13">
        <f>(Dados!$F$67-SUM(I25:J25))/(1+Dados!$F$77)^A25</f>
        <v>178.05847192779612</v>
      </c>
    </row>
    <row r="26" spans="1:19" x14ac:dyDescent="0.2">
      <c r="A26" s="4">
        <v>8</v>
      </c>
      <c r="B26" s="14">
        <f>-(Dados!B11-1.96*Dados!C11)*Dados!$F$70*Dados!$F$68/1000</f>
        <v>399.16501404074069</v>
      </c>
      <c r="C26" s="14">
        <f>-(Dados!E11-1.96*Dados!F11)*Dados!$F$71*Dados!$F$68/1000</f>
        <v>51.909889437191531</v>
      </c>
      <c r="D26" s="14">
        <f>-(Dados!H11-1.96*Dados!I11)*Dados!$F$72*Dados!$F$68/1000</f>
        <v>1104.0985198253375</v>
      </c>
      <c r="E26" s="14">
        <f>-(Dados!K11-1.96*Dados!L11)*Dados!$F$73*Dados!$F$68/1000</f>
        <v>998.14648906238392</v>
      </c>
      <c r="F26" s="14">
        <f>(Dados!B23-1.96*Dados!B23)*Dados!$F$67</f>
        <v>-5.1333133354626606</v>
      </c>
      <c r="G26" s="14">
        <f>(Dados!E50+1.96*Dados!F50)*Dados!$F$74*Dados!$F$69*(1-Dados!$F$75)</f>
        <v>10.710628152345882</v>
      </c>
      <c r="H26" s="14">
        <f>(Dados!B38+1.96*Dados!C38)*Dados!$F$74*Dados!$F$69*(1-Dados!$F$75)*Dados!$F$76</f>
        <v>0.61018994165509377</v>
      </c>
      <c r="I26" s="14">
        <f>(Dados!E50+1.96*Dados!F50)*Dados!$F$74*Dados!$F$69*Dados!$F$75</f>
        <v>3.0209464019437098</v>
      </c>
      <c r="J26" s="14">
        <f>(Dados!B38+1.96*Dados!C38)*Dados!$F$74*Dados!$F$69*Dados!$F$75*Dados!$F$76</f>
        <v>0.17210485533861619</v>
      </c>
      <c r="K26" s="14"/>
      <c r="L26" s="14"/>
      <c r="M26" s="14"/>
      <c r="N26" s="14"/>
      <c r="O26" s="14"/>
      <c r="P26" s="14"/>
      <c r="Q26" s="4"/>
      <c r="R26" s="14">
        <f>SUM(B26:H26)/(1+Dados!$F$77)^A26</f>
        <v>2020.4987903728477</v>
      </c>
      <c r="S26" s="14">
        <f>(Dados!$F$67-SUM(I26:J26))/(1+Dados!$F$77)^A26</f>
        <v>172.63000472639223</v>
      </c>
    </row>
    <row r="27" spans="1:19" x14ac:dyDescent="0.2">
      <c r="Q27" s="1" t="s">
        <v>70</v>
      </c>
      <c r="R27" s="13">
        <f t="shared" ref="R27:S27" si="2">SUM(R19:R26)</f>
        <v>9546.2608396671585</v>
      </c>
      <c r="S27" s="13">
        <f t="shared" si="2"/>
        <v>1546.1365561403052</v>
      </c>
    </row>
    <row r="28" spans="1:19" x14ac:dyDescent="0.2">
      <c r="Q28" s="3" t="s">
        <v>71</v>
      </c>
      <c r="R28" s="15">
        <f>R27/S27</f>
        <v>6.174267597357602</v>
      </c>
    </row>
    <row r="29" spans="1:19" x14ac:dyDescent="0.2">
      <c r="A29" s="3" t="s">
        <v>73</v>
      </c>
    </row>
    <row r="30" spans="1:19" x14ac:dyDescent="0.2">
      <c r="B30" s="23" t="s">
        <v>56</v>
      </c>
      <c r="C30" s="24"/>
      <c r="D30" s="24"/>
      <c r="E30" s="24"/>
      <c r="F30" s="24"/>
      <c r="G30" s="24"/>
      <c r="H30" s="24"/>
      <c r="I30" s="24"/>
      <c r="J30" s="24"/>
      <c r="K30" s="18"/>
      <c r="L30" s="18"/>
      <c r="M30" s="18"/>
      <c r="N30" s="18"/>
      <c r="O30" s="18"/>
      <c r="P30" s="18"/>
    </row>
    <row r="31" spans="1:19" x14ac:dyDescent="0.2">
      <c r="A31" s="1"/>
      <c r="B31" s="23" t="s">
        <v>57</v>
      </c>
      <c r="C31" s="24"/>
      <c r="D31" s="24"/>
      <c r="E31" s="24"/>
      <c r="F31" s="26" t="s">
        <v>58</v>
      </c>
      <c r="G31" s="26" t="s">
        <v>59</v>
      </c>
      <c r="H31" s="26" t="s">
        <v>60</v>
      </c>
      <c r="I31" s="26" t="s">
        <v>61</v>
      </c>
      <c r="J31" s="26" t="s">
        <v>62</v>
      </c>
      <c r="K31" s="17"/>
      <c r="L31" s="17"/>
      <c r="M31" s="17"/>
      <c r="N31" s="17"/>
      <c r="O31" s="17"/>
      <c r="P31" s="17"/>
    </row>
    <row r="32" spans="1:19" x14ac:dyDescent="0.2">
      <c r="A32" s="4" t="s">
        <v>63</v>
      </c>
      <c r="B32" s="4" t="s">
        <v>64</v>
      </c>
      <c r="C32" s="4" t="s">
        <v>65</v>
      </c>
      <c r="D32" s="4" t="s">
        <v>66</v>
      </c>
      <c r="E32" s="4" t="s">
        <v>67</v>
      </c>
      <c r="F32" s="24"/>
      <c r="G32" s="24"/>
      <c r="H32" s="24"/>
      <c r="I32" s="24"/>
      <c r="J32" s="24"/>
      <c r="K32" s="18"/>
      <c r="L32" s="18"/>
      <c r="M32" s="18"/>
      <c r="N32" s="18"/>
      <c r="O32" s="18"/>
      <c r="P32" s="18"/>
      <c r="R32" s="4" t="s">
        <v>68</v>
      </c>
      <c r="S32" s="4" t="s">
        <v>69</v>
      </c>
    </row>
    <row r="33" spans="1:19" x14ac:dyDescent="0.2">
      <c r="A33" s="1">
        <v>1</v>
      </c>
      <c r="B33" s="13">
        <f>-(Dados!B4+1.96*Dados!C4)*Dados!$F$70*Dados!$F$68/1000</f>
        <v>1.866275292808079</v>
      </c>
      <c r="C33" s="13">
        <f>-(Dados!E4+1.96*Dados!F4)*Dados!$F$71*Dados!$F$68/1000</f>
        <v>0.23023678812624007</v>
      </c>
      <c r="D33" s="13">
        <f>-(Dados!H4+1.96*Dados!I4)*Dados!$F$72*Dados!$F$68/1000</f>
        <v>15.597485385407996</v>
      </c>
      <c r="E33" s="13">
        <f>-(Dados!K4+1.96*Dados!L4)*Dados!$F$73*Dados!$F$68/1000</f>
        <v>-109.77048039165841</v>
      </c>
      <c r="F33" s="13">
        <f>(Dados!B16+1.96*Dados!B16)*Dados!$F$67</f>
        <v>4.209778436278282</v>
      </c>
      <c r="G33" s="13">
        <f>(Dados!E43-1.96*Dados!F43)*Dados!$F$74*Dados!$F$69*(1-Dados!$F$75)</f>
        <v>-0.21734910500945243</v>
      </c>
      <c r="H33" s="13">
        <f>(Dados!B31-1.96*Dados!C31)*Dados!$F$74*Dados!$F$69*(1-Dados!$F$75)*Dados!$F$76</f>
        <v>-1.0664242672618252E-2</v>
      </c>
      <c r="I33" s="13">
        <f>(Dados!E43-1.96*Dados!F43)*Dados!$F$74*Dados!$F$69*Dados!$F$75</f>
        <v>-6.1303593720614787E-2</v>
      </c>
      <c r="J33" s="13">
        <f>(Dados!B31-1.96*Dados!C31)*Dados!$F$74*Dados!$F$69*Dados!$F$75*Dados!$F$76</f>
        <v>-3.0078633179179688E-3</v>
      </c>
      <c r="K33" s="13"/>
      <c r="L33" s="13"/>
      <c r="M33" s="13"/>
      <c r="N33" s="13"/>
      <c r="O33" s="13"/>
      <c r="P33" s="13"/>
      <c r="R33" s="13">
        <f>SUM(B33:H33)/(1+Dados!$F$77)^A33</f>
        <v>-85.528852268660074</v>
      </c>
      <c r="S33" s="13">
        <f>(Dados!$F$67-SUM(I33:J33))/(1+Dados!$F$77)^A33</f>
        <v>215.47561927331773</v>
      </c>
    </row>
    <row r="34" spans="1:19" x14ac:dyDescent="0.2">
      <c r="A34" s="1">
        <v>2</v>
      </c>
      <c r="B34" s="13">
        <f>-(Dados!B5+1.96*Dados!C5)*Dados!$F$70*Dados!$F$68/1000</f>
        <v>4.6060300025308774</v>
      </c>
      <c r="C34" s="13">
        <f>-(Dados!E5+1.96*Dados!F5)*Dados!$F$71*Dados!$F$68/1000</f>
        <v>2.2241100567268801</v>
      </c>
      <c r="D34" s="13">
        <f>-(Dados!H5+1.96*Dados!I5)*Dados!$F$72*Dados!$F$68/1000</f>
        <v>84.345097600439999</v>
      </c>
      <c r="E34" s="13">
        <f>-(Dados!K5+1.96*Dados!L5)*Dados!$F$73*Dados!$F$68/1000</f>
        <v>-75.627700138900778</v>
      </c>
      <c r="F34" s="13">
        <f>(Dados!B17+1.96*Dados!B17)*Dados!$F$67</f>
        <v>5.8582252186587018</v>
      </c>
      <c r="G34" s="13">
        <f>(Dados!E44-1.96*Dados!F44)*Dados!$F$74*Dados!$F$69*(1-Dados!$F$75)</f>
        <v>-0.23038121598054756</v>
      </c>
      <c r="H34" s="13">
        <f>(Dados!B32-1.96*Dados!C32)*Dados!$F$74*Dados!$F$69*(1-Dados!$F$75)*Dados!$F$76</f>
        <v>-5.5086070425109088E-2</v>
      </c>
      <c r="I34" s="13">
        <f>(Dados!E44-1.96*Dados!F44)*Dados!$F$74*Dados!$F$69*Dados!$F$75</f>
        <v>-6.4979317327846745E-2</v>
      </c>
      <c r="J34" s="13">
        <f>(Dados!B32-1.96*Dados!C32)*Dados!$F$74*Dados!$F$69*Dados!$F$75*Dados!$F$76</f>
        <v>-1.5537096786569227E-2</v>
      </c>
      <c r="K34" s="13"/>
      <c r="L34" s="13"/>
      <c r="M34" s="13"/>
      <c r="N34" s="13"/>
      <c r="O34" s="13"/>
      <c r="P34" s="13"/>
      <c r="R34" s="13">
        <f>SUM(B34:H34)/(1+Dados!$F$77)^A34</f>
        <v>19.907904093741188</v>
      </c>
      <c r="S34" s="13">
        <f>(Dados!$F$67-SUM(I34:J34))/(1+Dados!$F$77)^A34</f>
        <v>209.21490508869184</v>
      </c>
    </row>
    <row r="35" spans="1:19" x14ac:dyDescent="0.2">
      <c r="A35" s="1">
        <v>3</v>
      </c>
      <c r="B35" s="13">
        <f>-(Dados!B6+1.96*Dados!C6)*Dados!$F$70*Dados!$F$68/1000</f>
        <v>42.035207347536485</v>
      </c>
      <c r="C35" s="13">
        <f>-(Dados!E6+1.96*Dados!F6)*Dados!$F$71*Dados!$F$68/1000</f>
        <v>3.6043966141142407</v>
      </c>
      <c r="D35" s="13">
        <f>-(Dados!H6+1.96*Dados!I6)*Dados!$F$72*Dados!$F$68/1000</f>
        <v>137.34264033390241</v>
      </c>
      <c r="E35" s="13">
        <f>-(Dados!K6+1.96*Dados!L6)*Dados!$F$73*Dados!$F$68/1000</f>
        <v>23.030393937307217</v>
      </c>
      <c r="F35" s="13">
        <f>(Dados!B18+1.96*Dados!B18)*Dados!$F$67</f>
        <v>7.9466956441446506</v>
      </c>
      <c r="G35" s="13">
        <f>(Dados!E45-1.96*Dados!F45)*Dados!$F$74*Dados!$F$69*(1-Dados!$F$75)</f>
        <v>0.43712792562368519</v>
      </c>
      <c r="H35" s="13">
        <f>(Dados!B33-1.96*Dados!C33)*Dados!$F$74*Dados!$F$69*(1-Dados!$F$75)*Dados!$F$76</f>
        <v>1.4081306345886778E-2</v>
      </c>
      <c r="I35" s="13">
        <f>(Dados!E45-1.96*Dados!F45)*Dados!$F$74*Dados!$F$69*Dados!$F$75</f>
        <v>0.12329249184257787</v>
      </c>
      <c r="J35" s="13">
        <f>(Dados!B33-1.96*Dados!C33)*Dados!$F$74*Dados!$F$69*Dados!$F$75*Dados!$F$76</f>
        <v>3.9716505078142188E-3</v>
      </c>
      <c r="K35" s="13"/>
      <c r="L35" s="13"/>
      <c r="M35" s="13"/>
      <c r="N35" s="13"/>
      <c r="O35" s="13"/>
      <c r="P35" s="13"/>
      <c r="R35" s="13">
        <f>SUM(B35:H35)/(1+Dados!$F$77)^A35</f>
        <v>196.21602020355917</v>
      </c>
      <c r="S35" s="13">
        <f>(Dados!$F$67-SUM(I35:J35))/(1+Dados!$F$77)^A35</f>
        <v>202.9311184331753</v>
      </c>
    </row>
    <row r="36" spans="1:19" x14ac:dyDescent="0.2">
      <c r="A36" s="1">
        <v>4</v>
      </c>
      <c r="B36" s="13">
        <f>-(Dados!B7+1.96*Dados!C7)*Dados!$F$70*Dados!$F$68/1000</f>
        <v>64.819373191206495</v>
      </c>
      <c r="C36" s="13">
        <f>-(Dados!E7+1.96*Dados!F7)*Dados!$F$71*Dados!$F$68/1000</f>
        <v>8.67867932385216</v>
      </c>
      <c r="D36" s="13">
        <f>-(Dados!H7+1.96*Dados!I7)*Dados!$F$72*Dados!$F$68/1000</f>
        <v>203.85235247189758</v>
      </c>
      <c r="E36" s="13">
        <f>-(Dados!K7+1.96*Dados!L7)*Dados!$F$73*Dados!$F$68/1000</f>
        <v>32.731417168617597</v>
      </c>
      <c r="F36" s="13">
        <f>(Dados!B19+1.96*Dados!B19)*Dados!$F$67</f>
        <v>9.7856004213020906</v>
      </c>
      <c r="G36" s="13">
        <f>(Dados!E46-1.96*Dados!F46)*Dados!$F$74*Dados!$F$69*(1-Dados!$F$75)</f>
        <v>0.30923653151751318</v>
      </c>
      <c r="H36" s="13">
        <f>(Dados!B34-1.96*Dados!C34)*Dados!$F$74*Dados!$F$69*(1-Dados!$F$75)*Dados!$F$76</f>
        <v>2.617245472822155E-2</v>
      </c>
      <c r="I36" s="13">
        <f>(Dados!E46-1.96*Dados!F46)*Dados!$F$74*Dados!$F$69*Dados!$F$75</f>
        <v>8.7220560171606287E-2</v>
      </c>
      <c r="J36" s="13">
        <f>(Dados!B34-1.96*Dados!C34)*Dados!$F$74*Dados!$F$69*Dados!$F$75*Dados!$F$76</f>
        <v>7.3819744105240266E-3</v>
      </c>
      <c r="K36" s="13"/>
      <c r="L36" s="13"/>
      <c r="M36" s="13"/>
      <c r="N36" s="13"/>
      <c r="O36" s="13"/>
      <c r="P36" s="13"/>
      <c r="R36" s="13">
        <f>SUM(B36:H36)/(1+Dados!$F$77)^A36</f>
        <v>284.49606854976258</v>
      </c>
      <c r="S36" s="13">
        <f>(Dados!$F$67-SUM(I36:J36))/(1+Dados!$F$77)^A36</f>
        <v>197.04952274864613</v>
      </c>
    </row>
    <row r="37" spans="1:19" x14ac:dyDescent="0.2">
      <c r="A37" s="1">
        <v>5</v>
      </c>
      <c r="B37" s="13">
        <f>-(Dados!B8+1.96*Dados!C8)*Dados!$F$70*Dados!$F$68/1000</f>
        <v>96.678752674664153</v>
      </c>
      <c r="C37" s="13">
        <f>-(Dados!E8+1.96*Dados!F8)*Dados!$F$71*Dados!$F$68/1000</f>
        <v>12.68740803139992</v>
      </c>
      <c r="D37" s="13">
        <f>-(Dados!H8+1.96*Dados!I8)*Dados!$F$72*Dados!$F$68/1000</f>
        <v>252.45886399359838</v>
      </c>
      <c r="E37" s="13">
        <f>-(Dados!K8+1.96*Dados!L8)*Dados!$F$73*Dados!$F$68/1000</f>
        <v>51.788633299329597</v>
      </c>
      <c r="F37" s="13">
        <f>(Dados!B20+1.96*Dados!B20)*Dados!$F$67</f>
        <v>11.296129345395702</v>
      </c>
      <c r="G37" s="13">
        <f>(Dados!E47-1.96*Dados!F47)*Dados!$F$74*Dados!$F$69*(1-Dados!$F$75)</f>
        <v>1.2643356474330341</v>
      </c>
      <c r="H37" s="13">
        <f>(Dados!B35-1.96*Dados!C35)*Dados!$F$74*Dados!$F$69*(1-Dados!$F$75)*Dados!$F$76</f>
        <v>1.7273069117621452E-3</v>
      </c>
      <c r="I37" s="13">
        <f>(Dados!E47-1.96*Dados!F47)*Dados!$F$74*Dados!$F$69*Dados!$F$75</f>
        <v>0.35660749030162497</v>
      </c>
      <c r="J37" s="13">
        <f>(Dados!B35-1.96*Dados!C35)*Dados!$F$74*Dados!$F$69*Dados!$F$75*Dados!$F$76</f>
        <v>4.8718912895855376E-4</v>
      </c>
      <c r="K37" s="13"/>
      <c r="L37" s="13"/>
      <c r="M37" s="13"/>
      <c r="N37" s="13"/>
      <c r="O37" s="13"/>
      <c r="P37" s="13"/>
      <c r="R37" s="13">
        <f>SUM(B37:H37)/(1+Dados!$F$77)^A37</f>
        <v>367.62303216007717</v>
      </c>
      <c r="S37" s="13">
        <f>(Dados!$F$67-SUM(I37:J37))/(1+Dados!$F$77)^A37</f>
        <v>191.08378823084337</v>
      </c>
    </row>
    <row r="38" spans="1:19" x14ac:dyDescent="0.2">
      <c r="A38" s="1">
        <v>6</v>
      </c>
      <c r="B38" s="13">
        <f>-(Dados!B9+1.96*Dados!C9)*Dados!$F$70*Dados!$F$68/1000</f>
        <v>113.34988205524368</v>
      </c>
      <c r="C38" s="13">
        <f>-(Dados!E9+1.96*Dados!F9)*Dados!$F$71*Dados!$F$68/1000</f>
        <v>18.590202926981281</v>
      </c>
      <c r="D38" s="13">
        <f>-(Dados!H9+1.96*Dados!I9)*Dados!$F$72*Dados!$F$68/1000</f>
        <v>364.675989826224</v>
      </c>
      <c r="E38" s="13">
        <f>-(Dados!K9+1.96*Dados!L9)*Dados!$F$73*Dados!$F$68/1000</f>
        <v>39.290822464528837</v>
      </c>
      <c r="F38" s="13">
        <f>(Dados!B21+1.96*Dados!B21)*Dados!$F$67</f>
        <v>12.872333440102079</v>
      </c>
      <c r="G38" s="13">
        <f>(Dados!E48-1.96*Dados!F48)*Dados!$F$74*Dados!$F$69*(1-Dados!$F$75)</f>
        <v>1.3440744959171926</v>
      </c>
      <c r="H38" s="13">
        <f>(Dados!B36-1.96*Dados!C36)*Dados!$F$74*Dados!$F$69*(1-Dados!$F$75)*Dados!$F$76</f>
        <v>-5.7827231393774896E-3</v>
      </c>
      <c r="I38" s="13">
        <f>(Dados!E48-1.96*Dados!F48)*Dados!$F$74*Dados!$F$69*Dados!$F$75</f>
        <v>0.37909793474587483</v>
      </c>
      <c r="J38" s="13">
        <f>(Dados!B36-1.96*Dados!C36)*Dados!$F$74*Dados!$F$69*Dados!$F$75*Dados!$F$76</f>
        <v>-1.6310244752090355E-3</v>
      </c>
      <c r="K38" s="13"/>
      <c r="L38" s="13"/>
      <c r="M38" s="13"/>
      <c r="N38" s="13"/>
      <c r="O38" s="13"/>
      <c r="P38" s="13"/>
      <c r="R38" s="13">
        <f>SUM(B38:H38)/(1+Dados!$F$77)^A38</f>
        <v>460.71476440772204</v>
      </c>
      <c r="S38" s="13">
        <f>(Dados!$F$67-SUM(I38:J38))/(1+Dados!$F$77)^A38</f>
        <v>185.50117957821669</v>
      </c>
    </row>
    <row r="39" spans="1:19" x14ac:dyDescent="0.2">
      <c r="A39" s="1">
        <v>7</v>
      </c>
      <c r="B39" s="13">
        <f>-(Dados!B10+1.96*Dados!C10)*Dados!$F$70*Dados!$F$68/1000</f>
        <v>73.982047868855275</v>
      </c>
      <c r="C39" s="13">
        <f>-(Dados!E10+1.96*Dados!F10)*Dados!$F$71*Dados!$F$68/1000</f>
        <v>16.312219730175602</v>
      </c>
      <c r="D39" s="13">
        <f>-(Dados!H10+1.96*Dados!I10)*Dados!$F$72*Dados!$F$68/1000</f>
        <v>348.66313662348716</v>
      </c>
      <c r="E39" s="13">
        <f>-(Dados!K10+1.96*Dados!L10)*Dados!$F$73*Dados!$F$68/1000</f>
        <v>42.983253452224879</v>
      </c>
      <c r="F39" s="13">
        <f>(Dados!B22+1.96*Dados!B22)*Dados!$F$67</f>
        <v>14.382862364195688</v>
      </c>
      <c r="G39" s="13">
        <f>(Dados!E49-1.96*Dados!F49)*Dados!$F$74*Dados!$F$69*(1-Dados!$F$75)</f>
        <v>2.4314826706748489</v>
      </c>
      <c r="H39" s="13">
        <f>(Dados!B37-1.96*Dados!C37)*Dados!$F$74*Dados!$F$69*(1-Dados!$F$75)*Dados!$F$76</f>
        <v>8.4975990028644754E-2</v>
      </c>
      <c r="I39" s="13">
        <f>(Dados!E49-1.96*Dados!F49)*Dados!$F$74*Dados!$F$69*Dados!$F$75</f>
        <v>0.6858028045493163</v>
      </c>
      <c r="J39" s="13">
        <f>(Dados!B37-1.96*Dados!C37)*Dados!$F$74*Dados!$F$69*Dados!$F$75*Dados!$F$76</f>
        <v>2.3967586931156214E-2</v>
      </c>
      <c r="K39" s="13"/>
      <c r="L39" s="13"/>
      <c r="M39" s="13"/>
      <c r="N39" s="13"/>
      <c r="O39" s="13"/>
      <c r="P39" s="13"/>
      <c r="R39" s="13">
        <f>SUM(B39:H39)/(1+Dados!$F$77)^A39</f>
        <v>405.60255219937829</v>
      </c>
      <c r="S39" s="13">
        <f>(Dados!$F$67-SUM(I39:J39))/(1+Dados!$F$77)^A39</f>
        <v>179.82803946044885</v>
      </c>
    </row>
    <row r="40" spans="1:19" x14ac:dyDescent="0.2">
      <c r="A40" s="4">
        <v>8</v>
      </c>
      <c r="B40" s="14">
        <f>-(Dados!B11+1.96*Dados!C11)*Dados!$F$70*Dados!$F$68/1000</f>
        <v>110.22013405385135</v>
      </c>
      <c r="C40" s="14">
        <f>-(Dados!E11+1.96*Dados!F11)*Dados!$F$71*Dados!$F$68/1000</f>
        <v>20.677078247928481</v>
      </c>
      <c r="D40" s="14">
        <f>-(Dados!H11+1.96*Dados!I11)*Dados!$F$72*Dados!$F$68/1000</f>
        <v>520.92210429570241</v>
      </c>
      <c r="E40" s="14">
        <f>-(Dados!K11+1.96*Dados!L11)*Dados!$F$73*Dados!$F$68/1000</f>
        <v>-73.970683588223949</v>
      </c>
      <c r="F40" s="14">
        <f>(Dados!B23+1.96*Dados!B23)*Dados!$F$67</f>
        <v>15.827716117676534</v>
      </c>
      <c r="G40" s="14">
        <f>(Dados!E50-1.96*Dados!F50)*Dados!$F$74*Dados!$F$69*(1-Dados!$F$75)</f>
        <v>1.8355396977932414</v>
      </c>
      <c r="H40" s="14">
        <f>(Dados!B38-1.96*Dados!C38)*Dados!$F$74*Dados!$F$69*(1-Dados!$F$75)*Dados!$F$76</f>
        <v>0.24219846914925264</v>
      </c>
      <c r="I40" s="14">
        <f>(Dados!E50-1.96*Dados!F50)*Dados!$F$74*Dados!$F$69*Dados!$F$75</f>
        <v>0.51771632501860654</v>
      </c>
      <c r="J40" s="14">
        <f>(Dados!B38-1.96*Dados!C38)*Dados!$F$74*Dados!$F$69*Dados!$F$75*Dados!$F$76</f>
        <v>6.8312388734404594E-2</v>
      </c>
      <c r="K40" s="14"/>
      <c r="L40" s="14"/>
      <c r="M40" s="14"/>
      <c r="N40" s="14"/>
      <c r="O40" s="14"/>
      <c r="P40" s="14"/>
      <c r="Q40" s="4"/>
      <c r="R40" s="14">
        <f>SUM(B40:H40)/(1+Dados!$F$77)^A40</f>
        <v>470.29377789005736</v>
      </c>
      <c r="S40" s="14">
        <f>(Dados!$F$67-SUM(I40:J40))/(1+Dados!$F$77)^A40</f>
        <v>174.68801239631887</v>
      </c>
    </row>
    <row r="41" spans="1:19" x14ac:dyDescent="0.2">
      <c r="Q41" s="1" t="s">
        <v>70</v>
      </c>
      <c r="R41" s="13">
        <f t="shared" ref="R41:S41" si="3">SUM(R33:R40)</f>
        <v>2119.325267235638</v>
      </c>
      <c r="S41" s="13">
        <f t="shared" si="3"/>
        <v>1555.7721852096588</v>
      </c>
    </row>
    <row r="42" spans="1:19" x14ac:dyDescent="0.2">
      <c r="Q42" s="3" t="s">
        <v>71</v>
      </c>
      <c r="R42" s="15">
        <f>R41/S41</f>
        <v>1.3622336788017801</v>
      </c>
    </row>
  </sheetData>
  <mergeCells count="21">
    <mergeCell ref="B16:J16"/>
    <mergeCell ref="B17:E17"/>
    <mergeCell ref="F17:F18"/>
    <mergeCell ref="G17:G18"/>
    <mergeCell ref="H17:H18"/>
    <mergeCell ref="I17:I18"/>
    <mergeCell ref="J17:J18"/>
    <mergeCell ref="B30:J30"/>
    <mergeCell ref="B31:E31"/>
    <mergeCell ref="F31:F32"/>
    <mergeCell ref="G31:G32"/>
    <mergeCell ref="H31:H32"/>
    <mergeCell ref="I31:I32"/>
    <mergeCell ref="J31:J32"/>
    <mergeCell ref="B2:J2"/>
    <mergeCell ref="B3:E3"/>
    <mergeCell ref="F3:F4"/>
    <mergeCell ref="G3:G4"/>
    <mergeCell ref="H3:H4"/>
    <mergeCell ref="I3:I4"/>
    <mergeCell ref="J3:J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selection activeCell="C8" sqref="C8"/>
    </sheetView>
  </sheetViews>
  <sheetFormatPr defaultColWidth="12.5703125" defaultRowHeight="15.75" customHeight="1" x14ac:dyDescent="0.2"/>
  <sheetData>
    <row r="1" spans="1:3" x14ac:dyDescent="0.2">
      <c r="A1" s="1" t="s">
        <v>74</v>
      </c>
      <c r="C1" s="16">
        <f>Cálculos!R14</f>
        <v>3.7607766957792195</v>
      </c>
    </row>
    <row r="2" spans="1:3" x14ac:dyDescent="0.2">
      <c r="A2" s="1" t="s">
        <v>75</v>
      </c>
      <c r="B2" s="16">
        <f>Cálculos!R42</f>
        <v>1.3622336788017801</v>
      </c>
      <c r="C2" s="16">
        <f>Cálculos!R28</f>
        <v>6.174267597357602</v>
      </c>
    </row>
    <row r="4" spans="1:3" x14ac:dyDescent="0.2">
      <c r="A4" s="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Referências</vt:lpstr>
      <vt:lpstr>Dados</vt:lpstr>
      <vt:lpstr>Cálculos</vt:lpstr>
      <vt:lpstr>MVPF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Emilly de Meneses | Tendências Consultoria</cp:lastModifiedBy>
  <dcterms:modified xsi:type="dcterms:W3CDTF">2024-08-03T21:46:32Z</dcterms:modified>
</cp:coreProperties>
</file>