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wr_paper\"/>
    </mc:Choice>
  </mc:AlternateContent>
  <xr:revisionPtr revIDLastSave="0" documentId="13_ncr:1_{B657FC12-6DED-48FC-9DC4-07306278BCE2}" xr6:coauthVersionLast="47" xr6:coauthVersionMax="47" xr10:uidLastSave="{00000000-0000-0000-0000-000000000000}"/>
  <bookViews>
    <workbookView xWindow="-108" yWindow="-108" windowWidth="23256" windowHeight="12576" activeTab="3" xr2:uid="{01508E01-6237-474A-A4D0-2EBA6EE2F153}"/>
  </bookViews>
  <sheets>
    <sheet name="data_uban_supply" sheetId="3" r:id="rId1"/>
    <sheet name="Urban_Supply_Hyc" sheetId="4" r:id="rId2"/>
    <sheet name="Yc-Ky" sheetId="2" r:id="rId3"/>
    <sheet name="Hyc_curv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7" i="4"/>
  <c r="I21" i="2"/>
  <c r="K6" i="5" s="1"/>
  <c r="I22" i="2"/>
  <c r="K7" i="5" s="1"/>
  <c r="I23" i="2"/>
  <c r="K23" i="2" s="1"/>
  <c r="I24" i="2"/>
  <c r="I25" i="2"/>
  <c r="I26" i="2"/>
  <c r="I27" i="2"/>
  <c r="I28" i="2"/>
  <c r="I29" i="2"/>
  <c r="K14" i="5" s="1"/>
  <c r="I30" i="2"/>
  <c r="K15" i="5" s="1"/>
  <c r="I31" i="2"/>
  <c r="K16" i="5" s="1"/>
  <c r="I32" i="2"/>
  <c r="I20" i="2"/>
  <c r="K20" i="2" s="1"/>
  <c r="N20" i="2"/>
  <c r="N21" i="2"/>
  <c r="N22" i="2"/>
  <c r="M21" i="2"/>
  <c r="M22" i="2"/>
  <c r="M23" i="2"/>
  <c r="N23" i="2" s="1"/>
  <c r="M24" i="2"/>
  <c r="M25" i="2"/>
  <c r="M26" i="2"/>
  <c r="N26" i="2" s="1"/>
  <c r="M27" i="2"/>
  <c r="M28" i="2"/>
  <c r="M29" i="2"/>
  <c r="M30" i="2"/>
  <c r="N30" i="2" s="1"/>
  <c r="M31" i="2"/>
  <c r="N31" i="2" s="1"/>
  <c r="M32" i="2"/>
  <c r="M20" i="2"/>
  <c r="N32" i="2"/>
  <c r="N29" i="2"/>
  <c r="N28" i="2"/>
  <c r="N27" i="2"/>
  <c r="N25" i="2"/>
  <c r="N24" i="2"/>
  <c r="I7" i="2"/>
  <c r="C9" i="5" s="1"/>
  <c r="I8" i="2"/>
  <c r="I9" i="2"/>
  <c r="I10" i="2"/>
  <c r="G12" i="5" s="1"/>
  <c r="I11" i="2"/>
  <c r="I12" i="2"/>
  <c r="I13" i="2"/>
  <c r="C15" i="5" s="1"/>
  <c r="I14" i="2"/>
  <c r="C16" i="5" s="1"/>
  <c r="I15" i="2"/>
  <c r="C17" i="5" s="1"/>
  <c r="C18" i="5" s="1"/>
  <c r="I6" i="2"/>
  <c r="N7" i="2"/>
  <c r="N8" i="2"/>
  <c r="N9" i="2"/>
  <c r="N10" i="2"/>
  <c r="N11" i="2"/>
  <c r="N12" i="2"/>
  <c r="N13" i="2"/>
  <c r="N14" i="2"/>
  <c r="N15" i="2"/>
  <c r="N6" i="2"/>
  <c r="Q4" i="2"/>
  <c r="Q5" i="2"/>
  <c r="Q6" i="2"/>
  <c r="Q7" i="2"/>
  <c r="Q8" i="2"/>
  <c r="Q9" i="2"/>
  <c r="Q3" i="2"/>
  <c r="M4" i="2"/>
  <c r="M5" i="2"/>
  <c r="M6" i="2"/>
  <c r="M7" i="2"/>
  <c r="M8" i="2"/>
  <c r="M9" i="2"/>
  <c r="M10" i="2"/>
  <c r="M11" i="2"/>
  <c r="M12" i="2"/>
  <c r="M13" i="2"/>
  <c r="M14" i="2"/>
  <c r="M15" i="2"/>
  <c r="M3" i="2"/>
  <c r="K9" i="5"/>
  <c r="K10" i="5"/>
  <c r="K11" i="5"/>
  <c r="K12" i="5"/>
  <c r="K13" i="5"/>
  <c r="K17" i="5"/>
  <c r="K18" i="5" s="1"/>
  <c r="G6" i="5"/>
  <c r="G7" i="5"/>
  <c r="G8" i="5"/>
  <c r="G9" i="5"/>
  <c r="G10" i="5"/>
  <c r="G11" i="5"/>
  <c r="G13" i="5"/>
  <c r="G14" i="5"/>
  <c r="G16" i="5"/>
  <c r="G5" i="5"/>
  <c r="C6" i="5"/>
  <c r="C7" i="5"/>
  <c r="C8" i="5"/>
  <c r="C10" i="5"/>
  <c r="C11" i="5"/>
  <c r="C13" i="5"/>
  <c r="C14" i="5"/>
  <c r="C5" i="5"/>
  <c r="J2" i="5"/>
  <c r="F2" i="5"/>
  <c r="B2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A6" i="5"/>
  <c r="A7" i="5"/>
  <c r="A8" i="5"/>
  <c r="A9" i="5"/>
  <c r="A10" i="5"/>
  <c r="A11" i="5"/>
  <c r="A12" i="5"/>
  <c r="A13" i="5"/>
  <c r="A14" i="5"/>
  <c r="A15" i="5"/>
  <c r="A16" i="5"/>
  <c r="A17" i="5"/>
  <c r="A5" i="5"/>
  <c r="B5" i="5" s="1"/>
  <c r="K21" i="2"/>
  <c r="K25" i="2"/>
  <c r="K26" i="2"/>
  <c r="K29" i="2"/>
  <c r="K31" i="2"/>
  <c r="H21" i="2"/>
  <c r="H22" i="2"/>
  <c r="H23" i="2"/>
  <c r="H24" i="2"/>
  <c r="H25" i="2"/>
  <c r="H26" i="2"/>
  <c r="H27" i="2"/>
  <c r="H28" i="2"/>
  <c r="H29" i="2"/>
  <c r="H30" i="2"/>
  <c r="H31" i="2"/>
  <c r="H32" i="2"/>
  <c r="H20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H15" i="2"/>
  <c r="H4" i="2"/>
  <c r="H5" i="2"/>
  <c r="H6" i="2"/>
  <c r="H7" i="2"/>
  <c r="H8" i="2"/>
  <c r="K8" i="2" s="1"/>
  <c r="H9" i="2"/>
  <c r="H10" i="2"/>
  <c r="H11" i="2"/>
  <c r="H12" i="2"/>
  <c r="H13" i="2"/>
  <c r="H14" i="2"/>
  <c r="H3" i="2"/>
  <c r="K3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B24" i="2"/>
  <c r="C24" i="2"/>
  <c r="B3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7" i="4"/>
  <c r="B14" i="4"/>
  <c r="E14" i="4" s="1"/>
  <c r="B21" i="4"/>
  <c r="B7" i="4"/>
  <c r="B1" i="4"/>
  <c r="B12" i="4" s="1"/>
  <c r="C17" i="2"/>
  <c r="B17" i="2"/>
  <c r="B16" i="2"/>
  <c r="B15" i="2"/>
  <c r="K30" i="2" l="1"/>
  <c r="K8" i="5"/>
  <c r="K22" i="2"/>
  <c r="K5" i="5"/>
  <c r="G17" i="5"/>
  <c r="G18" i="5" s="1"/>
  <c r="C12" i="5"/>
  <c r="G15" i="5"/>
  <c r="K7" i="2"/>
  <c r="K28" i="2"/>
  <c r="K27" i="2"/>
  <c r="K32" i="2"/>
  <c r="K24" i="2"/>
  <c r="K14" i="2"/>
  <c r="K6" i="2"/>
  <c r="K13" i="2"/>
  <c r="K5" i="2"/>
  <c r="K12" i="2"/>
  <c r="K4" i="2"/>
  <c r="K11" i="2"/>
  <c r="K15" i="2"/>
  <c r="K10" i="2"/>
  <c r="K9" i="2"/>
  <c r="E12" i="4"/>
  <c r="E7" i="4"/>
  <c r="B19" i="4"/>
  <c r="E19" i="4" s="1"/>
  <c r="B18" i="4"/>
  <c r="E18" i="4" s="1"/>
  <c r="B13" i="4"/>
  <c r="E13" i="4" s="1"/>
  <c r="B11" i="4"/>
  <c r="E11" i="4" s="1"/>
  <c r="B10" i="4"/>
  <c r="E10" i="4" s="1"/>
  <c r="D18" i="4"/>
  <c r="D16" i="4"/>
  <c r="D19" i="4"/>
  <c r="D12" i="4"/>
  <c r="D13" i="4"/>
  <c r="D7" i="4"/>
  <c r="D15" i="4"/>
  <c r="E21" i="4"/>
  <c r="D14" i="4"/>
  <c r="B17" i="4"/>
  <c r="E17" i="4" s="1"/>
  <c r="B9" i="4"/>
  <c r="E9" i="4" s="1"/>
  <c r="B16" i="4"/>
  <c r="E16" i="4" s="1"/>
  <c r="B8" i="4"/>
  <c r="E8" i="4" s="1"/>
  <c r="B15" i="4"/>
  <c r="E15" i="4" s="1"/>
  <c r="B20" i="4"/>
  <c r="E20" i="4" s="1"/>
  <c r="D10" i="4" l="1"/>
  <c r="D11" i="4"/>
  <c r="D9" i="4"/>
  <c r="D8" i="4"/>
  <c r="D20" i="4"/>
  <c r="D17" i="4"/>
</calcChain>
</file>

<file path=xl/sharedStrings.xml><?xml version="1.0" encoding="utf-8"?>
<sst xmlns="http://schemas.openxmlformats.org/spreadsheetml/2006/main" count="1033" uniqueCount="636">
  <si>
    <t>Citrus</t>
  </si>
  <si>
    <t>Mín</t>
  </si>
  <si>
    <t>Máx</t>
  </si>
  <si>
    <t>Yc</t>
  </si>
  <si>
    <t>https://ourworldindata.org/grapher/sugar-cane-yields?time=latest</t>
  </si>
  <si>
    <t>Sugar cane (t/ha)</t>
  </si>
  <si>
    <t>Código do Município</t>
  </si>
  <si>
    <t>Município</t>
  </si>
  <si>
    <t>Estado</t>
  </si>
  <si>
    <t>Ano de Referência</t>
  </si>
  <si>
    <t>Código do Prestador</t>
  </si>
  <si>
    <t>Prestador</t>
  </si>
  <si>
    <t>Sigla do Prestador</t>
  </si>
  <si>
    <t>Abrangência</t>
  </si>
  <si>
    <t>Tipo de serviço</t>
  </si>
  <si>
    <t>Natureza jurídica</t>
  </si>
  <si>
    <t>POP_TOT - População total do município do ano de referência (Fonte: IBGE):</t>
  </si>
  <si>
    <t>POP_URB - População urbana do município do ano de referência (Fonte: IBGE):</t>
  </si>
  <si>
    <t>FN001 - Receita operacional direta total</t>
  </si>
  <si>
    <t>FN002 - Receita operacional direta de água</t>
  </si>
  <si>
    <t>FN003 - Receita operacional direta de esgoto</t>
  </si>
  <si>
    <t>FN004 - Receita operacional indireta</t>
  </si>
  <si>
    <t>FN005 - Receita operacional total (direta + indireta)</t>
  </si>
  <si>
    <t>FN006 - Arrecadação total</t>
  </si>
  <si>
    <t>FN007 - Receita operacional direta de água exportada (bruta ou tratada)</t>
  </si>
  <si>
    <t>FN015 - Despesas de Exploração (DEX)</t>
  </si>
  <si>
    <t>FN017 - Despesas totais com os serviços (DTS)</t>
  </si>
  <si>
    <t>FN023 - Investimento realizado em abastecimento de água pelo prestador de serviços</t>
  </si>
  <si>
    <t>IN001 - Densidade de economias de água por ligação</t>
  </si>
  <si>
    <t>IN009 - Índice de hidrometração</t>
  </si>
  <si>
    <t>IN010 - Índice de micromedição relativo ao volume disponibilizado</t>
  </si>
  <si>
    <t>IN011 - Índice de macromedição</t>
  </si>
  <si>
    <t>IN013 - Índice de perdas faturamento</t>
  </si>
  <si>
    <t>IN014 - Consumo micromedido por economia</t>
  </si>
  <si>
    <t>IN017 - Consumo de água faturado por economia</t>
  </si>
  <si>
    <t>IN020 - Extensão da rede de água por ligação</t>
  </si>
  <si>
    <t>IN022 - Consumo médio percapita de água</t>
  </si>
  <si>
    <t>IN023 - Índice de atendimento urbano de água</t>
  </si>
  <si>
    <t>IN025 - Volume de água disponibilizado por economia</t>
  </si>
  <si>
    <t>IN044 - Índice de micromedição relativo ao consumo</t>
  </si>
  <si>
    <t>IN049 - Índice de perdas na distribuição</t>
  </si>
  <si>
    <t>IN050 - Índice bruto de perdas lineares</t>
  </si>
  <si>
    <t>IN051 - Índice de perdas por ligação</t>
  </si>
  <si>
    <t>IN052 - Índice de consumo de água</t>
  </si>
  <si>
    <t>IN053 - Consumo médio de água por economia</t>
  </si>
  <si>
    <t>IN055 - Índice de atendimento total de água</t>
  </si>
  <si>
    <t>IN058 - Índice de consumo de energia elétrica em sistemas de abastecimento de água</t>
  </si>
  <si>
    <t>Bauru</t>
  </si>
  <si>
    <t>SP</t>
  </si>
  <si>
    <t>Departamento de Água e Esgoto</t>
  </si>
  <si>
    <t>DAE</t>
  </si>
  <si>
    <t>Local</t>
  </si>
  <si>
    <t>Água e Esgoto</t>
  </si>
  <si>
    <t>Autarquia</t>
  </si>
  <si>
    <t>130.709.223,46</t>
  </si>
  <si>
    <t>56.257.089,76</t>
  </si>
  <si>
    <t>18.516.581,67</t>
  </si>
  <si>
    <t>149.225.805,13</t>
  </si>
  <si>
    <t>0,00</t>
  </si>
  <si>
    <t>110.130.761,60</t>
  </si>
  <si>
    <t>113.442.242,66</t>
  </si>
  <si>
    <t>5.002.779,53</t>
  </si>
  <si>
    <t>1,33</t>
  </si>
  <si>
    <t>100,00</t>
  </si>
  <si>
    <t>52,29</t>
  </si>
  <si>
    <t>47,71</t>
  </si>
  <si>
    <t>11,92</t>
  </si>
  <si>
    <t>12,20</t>
  </si>
  <si>
    <t>175,03</t>
  </si>
  <si>
    <t>22,80</t>
  </si>
  <si>
    <t>35,09</t>
  </si>
  <si>
    <t>474,88</t>
  </si>
  <si>
    <t>0,97</t>
  </si>
  <si>
    <t>131.417.671,66</t>
  </si>
  <si>
    <t>56.067.675,68</t>
  </si>
  <si>
    <t>14.337.183,88</t>
  </si>
  <si>
    <t>145.754.855,54</t>
  </si>
  <si>
    <t>91.746.667,04</t>
  </si>
  <si>
    <t>93.845.947,17</t>
  </si>
  <si>
    <t>1.254.102,86</t>
  </si>
  <si>
    <t>1,36</t>
  </si>
  <si>
    <t>50,78</t>
  </si>
  <si>
    <t>82,69</t>
  </si>
  <si>
    <t>49,22</t>
  </si>
  <si>
    <t>12,00</t>
  </si>
  <si>
    <t>12,38</t>
  </si>
  <si>
    <t>176,03</t>
  </si>
  <si>
    <t>23,62</t>
  </si>
  <si>
    <t>37,27</t>
  </si>
  <si>
    <t>519,50</t>
  </si>
  <si>
    <t>0,95</t>
  </si>
  <si>
    <t>133.747.806,24</t>
  </si>
  <si>
    <t>58.833.535,40</t>
  </si>
  <si>
    <t>25.999.392,32</t>
  </si>
  <si>
    <t>159.747.198,56</t>
  </si>
  <si>
    <t>88.386.981,71</t>
  </si>
  <si>
    <t>94.733.330,05</t>
  </si>
  <si>
    <t>7.765,56</t>
  </si>
  <si>
    <t>1,35</t>
  </si>
  <si>
    <t>51,43</t>
  </si>
  <si>
    <t>47,91</t>
  </si>
  <si>
    <t>11,76</t>
  </si>
  <si>
    <t>11,91</t>
  </si>
  <si>
    <t>12,33</t>
  </si>
  <si>
    <t>178,70</t>
  </si>
  <si>
    <t>99,95</t>
  </si>
  <si>
    <t>22,87</t>
  </si>
  <si>
    <t>96,08</t>
  </si>
  <si>
    <t>46,47</t>
  </si>
  <si>
    <t>33,82</t>
  </si>
  <si>
    <t>469,95</t>
  </si>
  <si>
    <t>53,53</t>
  </si>
  <si>
    <t>12,24</t>
  </si>
  <si>
    <t>98,28</t>
  </si>
  <si>
    <t>1,14</t>
  </si>
  <si>
    <t>131.241.677,47</t>
  </si>
  <si>
    <t>62.866.257,91</t>
  </si>
  <si>
    <t>68.375.419,56</t>
  </si>
  <si>
    <t>22.508.740,16</t>
  </si>
  <si>
    <t>153.750.417,63</t>
  </si>
  <si>
    <t>81.152.411,68</t>
  </si>
  <si>
    <t>81.195.894,06</t>
  </si>
  <si>
    <t>1.033.725,65</t>
  </si>
  <si>
    <t>53,37</t>
  </si>
  <si>
    <t>46,63</t>
  </si>
  <si>
    <t>12,70</t>
  </si>
  <si>
    <t>12,29</t>
  </si>
  <si>
    <t>226,52</t>
  </si>
  <si>
    <t>23,81</t>
  </si>
  <si>
    <t>80,77</t>
  </si>
  <si>
    <t>33,92</t>
  </si>
  <si>
    <t>25,41</t>
  </si>
  <si>
    <t>351,78</t>
  </si>
  <si>
    <t>66,08</t>
  </si>
  <si>
    <t>15,73</t>
  </si>
  <si>
    <t>1,05</t>
  </si>
  <si>
    <t>126.338.332,65</t>
  </si>
  <si>
    <t>60.641.362,56</t>
  </si>
  <si>
    <t>65.696.970,09</t>
  </si>
  <si>
    <t>24.675.822,51</t>
  </si>
  <si>
    <t>151.014.155,16</t>
  </si>
  <si>
    <t>87.758.592,89</t>
  </si>
  <si>
    <t>87.846.593,11</t>
  </si>
  <si>
    <t>303.400,00</t>
  </si>
  <si>
    <t>1,32</t>
  </si>
  <si>
    <t>51,46</t>
  </si>
  <si>
    <t>47,46</t>
  </si>
  <si>
    <t>12,31</t>
  </si>
  <si>
    <t>12,57</t>
  </si>
  <si>
    <t>12,34</t>
  </si>
  <si>
    <t>178,29</t>
  </si>
  <si>
    <t>99,86</t>
  </si>
  <si>
    <t>23,93</t>
  </si>
  <si>
    <t>98,40</t>
  </si>
  <si>
    <t>47,70</t>
  </si>
  <si>
    <t>35,49</t>
  </si>
  <si>
    <t>495,99</t>
  </si>
  <si>
    <t>52,30</t>
  </si>
  <si>
    <t>12,51</t>
  </si>
  <si>
    <t>98,19</t>
  </si>
  <si>
    <t>116.609.497,10</t>
  </si>
  <si>
    <t>54.602.729,73</t>
  </si>
  <si>
    <t>62.006.767,37</t>
  </si>
  <si>
    <t>28.870.573,33</t>
  </si>
  <si>
    <t>145.480.070,43</t>
  </si>
  <si>
    <t>94.391.963,25</t>
  </si>
  <si>
    <t>94.517.585,12</t>
  </si>
  <si>
    <t>673.307,78</t>
  </si>
  <si>
    <t>1,38</t>
  </si>
  <si>
    <t>48,48</t>
  </si>
  <si>
    <t>53,91</t>
  </si>
  <si>
    <t>11,40</t>
  </si>
  <si>
    <t>10,84</t>
  </si>
  <si>
    <t>12,79</t>
  </si>
  <si>
    <t>168,32</t>
  </si>
  <si>
    <t>99,90</t>
  </si>
  <si>
    <t>23,51</t>
  </si>
  <si>
    <t>51,52</t>
  </si>
  <si>
    <t>37,95</t>
  </si>
  <si>
    <t>547,68</t>
  </si>
  <si>
    <t>98,23</t>
  </si>
  <si>
    <t>1,01</t>
  </si>
  <si>
    <t>86.988.373,98</t>
  </si>
  <si>
    <t>39.532.400,64</t>
  </si>
  <si>
    <t>47.455.973,34</t>
  </si>
  <si>
    <t>30.449.482,63</t>
  </si>
  <si>
    <t>117.437.856,61</t>
  </si>
  <si>
    <t>60.836.076,13</t>
  </si>
  <si>
    <t>60.964.970,17</t>
  </si>
  <si>
    <t>422.715,20</t>
  </si>
  <si>
    <t>49,67</t>
  </si>
  <si>
    <t>48,16</t>
  </si>
  <si>
    <t>11,38</t>
  </si>
  <si>
    <t>11,88</t>
  </si>
  <si>
    <t>13,23</t>
  </si>
  <si>
    <t>167,42</t>
  </si>
  <si>
    <t>22,91</t>
  </si>
  <si>
    <t>50,33</t>
  </si>
  <si>
    <t>34,92</t>
  </si>
  <si>
    <t>517,24</t>
  </si>
  <si>
    <t>85.507.820,04</t>
  </si>
  <si>
    <t>41.468.677,36</t>
  </si>
  <si>
    <t>44.039.142,68</t>
  </si>
  <si>
    <t>21.639.370,72</t>
  </si>
  <si>
    <t>107.147.190,76</t>
  </si>
  <si>
    <t>71.144.896,03</t>
  </si>
  <si>
    <t>73.036.909,69</t>
  </si>
  <si>
    <t>1.520.400,55</t>
  </si>
  <si>
    <t>1,25</t>
  </si>
  <si>
    <t>55,13</t>
  </si>
  <si>
    <t>41,95</t>
  </si>
  <si>
    <t>13,00</t>
  </si>
  <si>
    <t>13,69</t>
  </si>
  <si>
    <t>186,04</t>
  </si>
  <si>
    <t>99,18</t>
  </si>
  <si>
    <t>23,59</t>
  </si>
  <si>
    <t>44,87</t>
  </si>
  <si>
    <t>17,40</t>
  </si>
  <si>
    <t>436,18</t>
  </si>
  <si>
    <t>97,52</t>
  </si>
  <si>
    <t>1,10</t>
  </si>
  <si>
    <t>80.771.220,23</t>
  </si>
  <si>
    <t>39.553.656,34</t>
  </si>
  <si>
    <t>41.217.563,89</t>
  </si>
  <si>
    <t>1.860.384,21</t>
  </si>
  <si>
    <t>82.631.604,44</t>
  </si>
  <si>
    <t>99.135.048,53</t>
  </si>
  <si>
    <t>57.492.454,94</t>
  </si>
  <si>
    <t>70.829.211,88</t>
  </si>
  <si>
    <t>3.584.434,91</t>
  </si>
  <si>
    <t>1,24</t>
  </si>
  <si>
    <t>97,88</t>
  </si>
  <si>
    <t>53,85</t>
  </si>
  <si>
    <t>42,53</t>
  </si>
  <si>
    <t>13,45</t>
  </si>
  <si>
    <t>13,98</t>
  </si>
  <si>
    <t>185,27</t>
  </si>
  <si>
    <t>99,19</t>
  </si>
  <si>
    <t>24,33</t>
  </si>
  <si>
    <t>46,15</t>
  </si>
  <si>
    <t>18,34</t>
  </si>
  <si>
    <t>456,61</t>
  </si>
  <si>
    <t>13,10</t>
  </si>
  <si>
    <t>97,53</t>
  </si>
  <si>
    <t>1,08</t>
  </si>
  <si>
    <t>72.873.708,17</t>
  </si>
  <si>
    <t>35.413.343,01</t>
  </si>
  <si>
    <t>37.460.365,16</t>
  </si>
  <si>
    <t>1.550.173,26</t>
  </si>
  <si>
    <t>74.423.881,43</t>
  </si>
  <si>
    <t>88.409.217,69</t>
  </si>
  <si>
    <t>67.046.102,64</t>
  </si>
  <si>
    <t>70.914.957,10</t>
  </si>
  <si>
    <t>6.123.065,54</t>
  </si>
  <si>
    <t>1,23</t>
  </si>
  <si>
    <t>97,54</t>
  </si>
  <si>
    <t>45,56</t>
  </si>
  <si>
    <t>52,21</t>
  </si>
  <si>
    <t>12,10</t>
  </si>
  <si>
    <t>12,40</t>
  </si>
  <si>
    <t>172,10</t>
  </si>
  <si>
    <t>25,90</t>
  </si>
  <si>
    <t>95,34</t>
  </si>
  <si>
    <t>39,96</t>
  </si>
  <si>
    <t>547,77</t>
  </si>
  <si>
    <t>47,79</t>
  </si>
  <si>
    <t>98,33</t>
  </si>
  <si>
    <t>1,00</t>
  </si>
  <si>
    <t>63.196.585,21</t>
  </si>
  <si>
    <t>30.376.087,76</t>
  </si>
  <si>
    <t>32.820.497,45</t>
  </si>
  <si>
    <t>1.468.364,01</t>
  </si>
  <si>
    <t>64.664.949,22</t>
  </si>
  <si>
    <t>74.566.757,64</t>
  </si>
  <si>
    <t>63.039.658,87</t>
  </si>
  <si>
    <t>73.155.130,94</t>
  </si>
  <si>
    <t>185.783,50</t>
  </si>
  <si>
    <t>1,20</t>
  </si>
  <si>
    <t>99,44</t>
  </si>
  <si>
    <t>55,50</t>
  </si>
  <si>
    <t>44,50</t>
  </si>
  <si>
    <t>12,80</t>
  </si>
  <si>
    <t>13,40</t>
  </si>
  <si>
    <t>179,50</t>
  </si>
  <si>
    <t>22,90</t>
  </si>
  <si>
    <t>30,03</t>
  </si>
  <si>
    <t>403,01</t>
  </si>
  <si>
    <t>99,39</t>
  </si>
  <si>
    <t>0,84</t>
  </si>
  <si>
    <t>63.351.065,37</t>
  </si>
  <si>
    <t>30.953.799,42</t>
  </si>
  <si>
    <t>32.397.265,95</t>
  </si>
  <si>
    <t>1.682.452,88</t>
  </si>
  <si>
    <t>65.033.518,25</t>
  </si>
  <si>
    <t>73.039.684,75</t>
  </si>
  <si>
    <t>53.860.014,59</t>
  </si>
  <si>
    <t>60.956.376,43</t>
  </si>
  <si>
    <t>1.443.409,04</t>
  </si>
  <si>
    <t>99,57</t>
  </si>
  <si>
    <t>57,45</t>
  </si>
  <si>
    <t>42,54</t>
  </si>
  <si>
    <t>13,20</t>
  </si>
  <si>
    <t>179,10</t>
  </si>
  <si>
    <t>28,38</t>
  </si>
  <si>
    <t>383,88</t>
  </si>
  <si>
    <t>98,32</t>
  </si>
  <si>
    <t>1,02</t>
  </si>
  <si>
    <t>56.236.144,00</t>
  </si>
  <si>
    <t>27.409.967,00</t>
  </si>
  <si>
    <t>28.826.177,00</t>
  </si>
  <si>
    <t>794.440,00</t>
  </si>
  <si>
    <t>57.030.584,00</t>
  </si>
  <si>
    <t>63.748.623,00</t>
  </si>
  <si>
    <t>50.217.924,00</t>
  </si>
  <si>
    <t>57.908.243,00</t>
  </si>
  <si>
    <t>718.784,00</t>
  </si>
  <si>
    <t>99,72</t>
  </si>
  <si>
    <t>63,01</t>
  </si>
  <si>
    <t>36,98</t>
  </si>
  <si>
    <t>168,70</t>
  </si>
  <si>
    <t>20,20</t>
  </si>
  <si>
    <t>21,77</t>
  </si>
  <si>
    <t>295,41</t>
  </si>
  <si>
    <t>98,22</t>
  </si>
  <si>
    <t>1,11</t>
  </si>
  <si>
    <t>54.138.798,19</t>
  </si>
  <si>
    <t>26.527.492,50</t>
  </si>
  <si>
    <t>27.611.305,69</t>
  </si>
  <si>
    <t>985.200,10</t>
  </si>
  <si>
    <t>55.123.998,29</t>
  </si>
  <si>
    <t>61.632.634,11</t>
  </si>
  <si>
    <t>47.442.940,87</t>
  </si>
  <si>
    <t>52.152.116,65</t>
  </si>
  <si>
    <t>561.865,78</t>
  </si>
  <si>
    <t>1,19</t>
  </si>
  <si>
    <t>99,36</t>
  </si>
  <si>
    <t>62,29</t>
  </si>
  <si>
    <t>37,70</t>
  </si>
  <si>
    <t>13,90</t>
  </si>
  <si>
    <t>13,80</t>
  </si>
  <si>
    <t>13,60</t>
  </si>
  <si>
    <t>181,10</t>
  </si>
  <si>
    <t>22,10</t>
  </si>
  <si>
    <t>24,11</t>
  </si>
  <si>
    <t>328,86</t>
  </si>
  <si>
    <t>98,20</t>
  </si>
  <si>
    <t>53.356.129,46</t>
  </si>
  <si>
    <t>25.777.306,72</t>
  </si>
  <si>
    <t>27.578.822,74</t>
  </si>
  <si>
    <t>5.385.084,74</t>
  </si>
  <si>
    <t>58.741.214,20</t>
  </si>
  <si>
    <t>40.888.400,22</t>
  </si>
  <si>
    <t>51.060.093,74</t>
  </si>
  <si>
    <t>1.127.283,27</t>
  </si>
  <si>
    <t>99,30</t>
  </si>
  <si>
    <t>56,43</t>
  </si>
  <si>
    <t>43,57</t>
  </si>
  <si>
    <t>12,90</t>
  </si>
  <si>
    <t>13,70</t>
  </si>
  <si>
    <t>165,30</t>
  </si>
  <si>
    <t>43,56</t>
  </si>
  <si>
    <t>28,67</t>
  </si>
  <si>
    <t>395,56</t>
  </si>
  <si>
    <t>99,73</t>
  </si>
  <si>
    <t>41.421.346,78</t>
  </si>
  <si>
    <t>25.711.109,29</t>
  </si>
  <si>
    <t>15.710.237,49</t>
  </si>
  <si>
    <t>770.422,72</t>
  </si>
  <si>
    <t>42.191.769,51</t>
  </si>
  <si>
    <t>43.571.304,57</t>
  </si>
  <si>
    <t>40.253.527,78</t>
  </si>
  <si>
    <t>44.050.862,87</t>
  </si>
  <si>
    <t>1,21</t>
  </si>
  <si>
    <t>99,52</t>
  </si>
  <si>
    <t>56,38</t>
  </si>
  <si>
    <t>98,75</t>
  </si>
  <si>
    <t>43,61</t>
  </si>
  <si>
    <t>13,30</t>
  </si>
  <si>
    <t>167,20</t>
  </si>
  <si>
    <t>23,40</t>
  </si>
  <si>
    <t>29,26</t>
  </si>
  <si>
    <t>406,33</t>
  </si>
  <si>
    <t>0,99</t>
  </si>
  <si>
    <t>39.114.833,14</t>
  </si>
  <si>
    <t>24.286.596,23</t>
  </si>
  <si>
    <t>14.828.236,91</t>
  </si>
  <si>
    <t>776.000,11</t>
  </si>
  <si>
    <t>39.890.833,26</t>
  </si>
  <si>
    <t>40.925.012,71</t>
  </si>
  <si>
    <t>29.982.434,04</t>
  </si>
  <si>
    <t>39.141.753,02</t>
  </si>
  <si>
    <t>111.648,14</t>
  </si>
  <si>
    <t>99,89</t>
  </si>
  <si>
    <t>62,20</t>
  </si>
  <si>
    <t>39,50</t>
  </si>
  <si>
    <t>14,20</t>
  </si>
  <si>
    <t>182,60</t>
  </si>
  <si>
    <t>22,60</t>
  </si>
  <si>
    <t>99,01</t>
  </si>
  <si>
    <t>37,17</t>
  </si>
  <si>
    <t>24,06</t>
  </si>
  <si>
    <t>333,36</t>
  </si>
  <si>
    <t>62,82</t>
  </si>
  <si>
    <t>98,45</t>
  </si>
  <si>
    <t>34.563.557,69</t>
  </si>
  <si>
    <t>21.379.840,42</t>
  </si>
  <si>
    <t>13.183.717,27</t>
  </si>
  <si>
    <t>797.670,85</t>
  </si>
  <si>
    <t>35.361.228,55</t>
  </si>
  <si>
    <t>36.920.437,00</t>
  </si>
  <si>
    <t>29.079.525,41</t>
  </si>
  <si>
    <t>35.134.593,87</t>
  </si>
  <si>
    <t>1.682.467,96</t>
  </si>
  <si>
    <t>99,66</t>
  </si>
  <si>
    <t>62,58</t>
  </si>
  <si>
    <t>39,38</t>
  </si>
  <si>
    <t>22,50</t>
  </si>
  <si>
    <t>99,68</t>
  </si>
  <si>
    <t>37,21</t>
  </si>
  <si>
    <t>330,90</t>
  </si>
  <si>
    <t>62,78</t>
  </si>
  <si>
    <t>14,10</t>
  </si>
  <si>
    <t>42.565.204,00</t>
  </si>
  <si>
    <t>26.603.253,00</t>
  </si>
  <si>
    <t>15.961.951,00</t>
  </si>
  <si>
    <t>1.648.281,00</t>
  </si>
  <si>
    <t>44.213.485,00</t>
  </si>
  <si>
    <t>34.525.938,38</t>
  </si>
  <si>
    <t>24.885.834,34</t>
  </si>
  <si>
    <t>33.520.418,43</t>
  </si>
  <si>
    <t>1.325.574,00</t>
  </si>
  <si>
    <t>61,21</t>
  </si>
  <si>
    <t>41,20</t>
  </si>
  <si>
    <t>14,30</t>
  </si>
  <si>
    <t>183,30</t>
  </si>
  <si>
    <t>23,20</t>
  </si>
  <si>
    <t>38,78</t>
  </si>
  <si>
    <t>24,84</t>
  </si>
  <si>
    <t>352,92</t>
  </si>
  <si>
    <t>98,25</t>
  </si>
  <si>
    <t>31.360.074,00</t>
  </si>
  <si>
    <t>19.600.042,00</t>
  </si>
  <si>
    <t>11.760.032,00</t>
  </si>
  <si>
    <t>3.029.706,00</t>
  </si>
  <si>
    <t>34.389.780,00</t>
  </si>
  <si>
    <t>26.222.845,00</t>
  </si>
  <si>
    <t>25.571.162,00</t>
  </si>
  <si>
    <t>25.923.325,00</t>
  </si>
  <si>
    <t>384.799,00</t>
  </si>
  <si>
    <t>1,18</t>
  </si>
  <si>
    <t>99,16</t>
  </si>
  <si>
    <t>56,56</t>
  </si>
  <si>
    <t>44,93</t>
  </si>
  <si>
    <t>14,00</t>
  </si>
  <si>
    <t>13,50</t>
  </si>
  <si>
    <t>179,80</t>
  </si>
  <si>
    <t>99,70</t>
  </si>
  <si>
    <t>24,50</t>
  </si>
  <si>
    <t>99,42</t>
  </si>
  <si>
    <t>43,10</t>
  </si>
  <si>
    <t>28,92</t>
  </si>
  <si>
    <t>413,79</t>
  </si>
  <si>
    <t>56,89</t>
  </si>
  <si>
    <t>98,04</t>
  </si>
  <si>
    <t>25.252.269,00</t>
  </si>
  <si>
    <t>15.782.668,00</t>
  </si>
  <si>
    <t>9.469.601,00</t>
  </si>
  <si>
    <t>2.439.622,00</t>
  </si>
  <si>
    <t>27.691.891,00</t>
  </si>
  <si>
    <t>22.185.961,00</t>
  </si>
  <si>
    <t>20.608.272,00</t>
  </si>
  <si>
    <t>21.396.106,00</t>
  </si>
  <si>
    <t>28.663,00</t>
  </si>
  <si>
    <t>99,21</t>
  </si>
  <si>
    <t>56,96</t>
  </si>
  <si>
    <t>44,74</t>
  </si>
  <si>
    <t>179,70</t>
  </si>
  <si>
    <t>99,80</t>
  </si>
  <si>
    <t>23,90</t>
  </si>
  <si>
    <t>96,62</t>
  </si>
  <si>
    <t>41,04</t>
  </si>
  <si>
    <t>26,32</t>
  </si>
  <si>
    <t>381,79</t>
  </si>
  <si>
    <t>58,95</t>
  </si>
  <si>
    <t>98,29</t>
  </si>
  <si>
    <t>30.008.992,00</t>
  </si>
  <si>
    <t>18.755.620,00</t>
  </si>
  <si>
    <t>11.253.372,00</t>
  </si>
  <si>
    <t>1.579.421,00</t>
  </si>
  <si>
    <t>31.588.413,00</t>
  </si>
  <si>
    <t>23.893.554,00</t>
  </si>
  <si>
    <t>19.742.725,00</t>
  </si>
  <si>
    <t>21.247.610,00</t>
  </si>
  <si>
    <t>800.358,00</t>
  </si>
  <si>
    <t>1,17</t>
  </si>
  <si>
    <t>98,92</t>
  </si>
  <si>
    <t>65,79</t>
  </si>
  <si>
    <t>35,26</t>
  </si>
  <si>
    <t>16,20</t>
  </si>
  <si>
    <t>15,80</t>
  </si>
  <si>
    <t>14,40</t>
  </si>
  <si>
    <t>206,80</t>
  </si>
  <si>
    <t>24,40</t>
  </si>
  <si>
    <t>96,68</t>
  </si>
  <si>
    <t>31,95</t>
  </si>
  <si>
    <t>20,45</t>
  </si>
  <si>
    <t>302,27</t>
  </si>
  <si>
    <t>68,04</t>
  </si>
  <si>
    <t>16,60</t>
  </si>
  <si>
    <t>23.000.656,00</t>
  </si>
  <si>
    <t>14.409.254,00</t>
  </si>
  <si>
    <t>8.591.402,00</t>
  </si>
  <si>
    <t>918.983,00</t>
  </si>
  <si>
    <t>23.919.639,00</t>
  </si>
  <si>
    <t>20.564.305,00</t>
  </si>
  <si>
    <t>18.007.561,00</t>
  </si>
  <si>
    <t>20.985.936,00</t>
  </si>
  <si>
    <t>782.353,00</t>
  </si>
  <si>
    <t>99,00</t>
  </si>
  <si>
    <t>72,20</t>
  </si>
  <si>
    <t>28,69</t>
  </si>
  <si>
    <t>19,10</t>
  </si>
  <si>
    <t>18,60</t>
  </si>
  <si>
    <t>14,80</t>
  </si>
  <si>
    <t>228,90</t>
  </si>
  <si>
    <t>26,10</t>
  </si>
  <si>
    <t>99,17</t>
  </si>
  <si>
    <t>27,20</t>
  </si>
  <si>
    <t>18,31</t>
  </si>
  <si>
    <t>276,13</t>
  </si>
  <si>
    <t>72,79</t>
  </si>
  <si>
    <t>19,00</t>
  </si>
  <si>
    <t>24.020.768,00</t>
  </si>
  <si>
    <t>15.012.980,00</t>
  </si>
  <si>
    <t>9.007.788,00</t>
  </si>
  <si>
    <t>616.174,00</t>
  </si>
  <si>
    <t>24.636.942,00</t>
  </si>
  <si>
    <t>19.398.501,00</t>
  </si>
  <si>
    <t>17.847.081,00</t>
  </si>
  <si>
    <t>19.415.878,00</t>
  </si>
  <si>
    <t>836.798,00</t>
  </si>
  <si>
    <t>99,59</t>
  </si>
  <si>
    <t>69,46</t>
  </si>
  <si>
    <t>35,72</t>
  </si>
  <si>
    <t>20,50</t>
  </si>
  <si>
    <t>17,60</t>
  </si>
  <si>
    <t>15,00</t>
  </si>
  <si>
    <t>220,20</t>
  </si>
  <si>
    <t>27,30</t>
  </si>
  <si>
    <t>99,96</t>
  </si>
  <si>
    <t>30,51</t>
  </si>
  <si>
    <t>21,02</t>
  </si>
  <si>
    <t>321,65</t>
  </si>
  <si>
    <t>69,48</t>
  </si>
  <si>
    <t>22.602.961,56</t>
  </si>
  <si>
    <t>14.539.723,43</t>
  </si>
  <si>
    <t>8.063.238,13</t>
  </si>
  <si>
    <t>2.816.435,10</t>
  </si>
  <si>
    <t>25.419.396,66</t>
  </si>
  <si>
    <t>19.603.515,60</t>
  </si>
  <si>
    <t>16.803.536,90</t>
  </si>
  <si>
    <t>20.013.206,48</t>
  </si>
  <si>
    <t>1.050.313,13</t>
  </si>
  <si>
    <t>1,16</t>
  </si>
  <si>
    <t>69,15</t>
  </si>
  <si>
    <t>31,98</t>
  </si>
  <si>
    <t>23,30</t>
  </si>
  <si>
    <t>19,50</t>
  </si>
  <si>
    <t>15,40</t>
  </si>
  <si>
    <t>227,10</t>
  </si>
  <si>
    <t>28,70</t>
  </si>
  <si>
    <t>14.603.000,00</t>
  </si>
  <si>
    <t>9.718.000,00</t>
  </si>
  <si>
    <t>4.885.000,00</t>
  </si>
  <si>
    <t>2.516.000,00</t>
  </si>
  <si>
    <t>17.119.000,00</t>
  </si>
  <si>
    <t>14.893.000,00</t>
  </si>
  <si>
    <t>16.090.000,00</t>
  </si>
  <si>
    <t>16.364.000,00</t>
  </si>
  <si>
    <t>344.000,00</t>
  </si>
  <si>
    <t>99,55</t>
  </si>
  <si>
    <t>69,59</t>
  </si>
  <si>
    <t>31,23</t>
  </si>
  <si>
    <t>23,10</t>
  </si>
  <si>
    <t>11,60</t>
  </si>
  <si>
    <t>256,20</t>
  </si>
  <si>
    <t>28,40</t>
  </si>
  <si>
    <t>83,33</t>
  </si>
  <si>
    <t>TOTAL da AMOSTRA:</t>
  </si>
  <si>
    <t>---</t>
  </si>
  <si>
    <t>1.714.997.715,40</t>
  </si>
  <si>
    <t>905.638.567,84</t>
  </si>
  <si>
    <t>809.359.147,56</t>
  </si>
  <si>
    <t>218.631.962,20</t>
  </si>
  <si>
    <t>1.933.629.677,63</t>
  </si>
  <si>
    <t>1.951.535.104</t>
  </si>
  <si>
    <t>1.324.407.505,93</t>
  </si>
  <si>
    <t>1.433.753.291,44</t>
  </si>
  <si>
    <t>31.309.797,40</t>
  </si>
  <si>
    <t>Ratio</t>
  </si>
  <si>
    <t>Receita</t>
  </si>
  <si>
    <t>R$</t>
  </si>
  <si>
    <t>US$ (2021)</t>
  </si>
  <si>
    <t>Hyc-curve</t>
  </si>
  <si>
    <t>Pywr_curve</t>
  </si>
  <si>
    <t>Vday</t>
  </si>
  <si>
    <t>m³/s</t>
  </si>
  <si>
    <t>US$/R$</t>
  </si>
  <si>
    <t>R$/ton</t>
  </si>
  <si>
    <t>US/ton</t>
  </si>
  <si>
    <t>Ky</t>
  </si>
  <si>
    <t>Citrus (t/ha)</t>
  </si>
  <si>
    <t>Yx</t>
  </si>
  <si>
    <t>Eta/Etx</t>
  </si>
  <si>
    <t>1-Eta/Etp</t>
  </si>
  <si>
    <t>Ky *</t>
  </si>
  <si>
    <t>Cond</t>
  </si>
  <si>
    <t>Área</t>
  </si>
  <si>
    <t>Valor US$</t>
  </si>
  <si>
    <t>Vmonth</t>
  </si>
  <si>
    <t>Sugar Cane</t>
  </si>
  <si>
    <t>ratio</t>
  </si>
  <si>
    <t>Area 1</t>
  </si>
  <si>
    <t>m³</t>
  </si>
  <si>
    <t xml:space="preserve"> ha</t>
  </si>
  <si>
    <t>crop</t>
  </si>
  <si>
    <t>citrus</t>
  </si>
  <si>
    <t>Values (US$)</t>
  </si>
  <si>
    <t>Area 2</t>
  </si>
  <si>
    <t>Area 3</t>
  </si>
  <si>
    <t>sugar cane</t>
  </si>
  <si>
    <t xml:space="preserve">Méd </t>
  </si>
  <si>
    <t>Ya/Yx</t>
  </si>
  <si>
    <t>Etx</t>
  </si>
  <si>
    <t>Eta</t>
  </si>
  <si>
    <t>1-Ya/Yx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</si>
</sst>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B5CEA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4" fontId="0" fillId="5" borderId="0" xfId="0" applyNumberFormat="1" applyFill="1"/>
    <xf numFmtId="0" fontId="0" fillId="5" borderId="0" xfId="0" applyFill="1"/>
    <xf numFmtId="0" fontId="1" fillId="5" borderId="0" xfId="0" applyFont="1" applyFill="1" applyAlignment="1">
      <alignment horizontal="center"/>
    </xf>
    <xf numFmtId="3" fontId="0" fillId="5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165" fontId="0" fillId="0" borderId="0" xfId="0" applyNumberFormat="1"/>
    <xf numFmtId="165" fontId="0" fillId="5" borderId="0" xfId="0" applyNumberFormat="1" applyFill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Urban_Supply_Hyc!$A$7:$A$21</c:f>
              <c:numCache>
                <c:formatCode>General</c:formatCode>
                <c:ptCount val="15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0.98</c:v>
                </c:pt>
                <c:pt idx="13">
                  <c:v>1</c:v>
                </c:pt>
                <c:pt idx="14">
                  <c:v>1.0009999999999999</c:v>
                </c:pt>
              </c:numCache>
            </c:numRef>
          </c:xVal>
          <c:yVal>
            <c:numRef>
              <c:f>Urban_Supply_Hyc!$C$7:$C$21</c:f>
              <c:numCache>
                <c:formatCode>#,##0</c:formatCode>
                <c:ptCount val="15"/>
                <c:pt idx="0">
                  <c:v>13884.23852455978</c:v>
                </c:pt>
                <c:pt idx="1">
                  <c:v>694211.92622798902</c:v>
                </c:pt>
                <c:pt idx="2">
                  <c:v>1388423.852455978</c:v>
                </c:pt>
                <c:pt idx="3">
                  <c:v>2776847.7049119561</c:v>
                </c:pt>
                <c:pt idx="4">
                  <c:v>4165271.5573679339</c:v>
                </c:pt>
                <c:pt idx="5">
                  <c:v>5553695.4098239122</c:v>
                </c:pt>
                <c:pt idx="6">
                  <c:v>6942119.2622798895</c:v>
                </c:pt>
                <c:pt idx="7">
                  <c:v>8330543.1147358678</c:v>
                </c:pt>
                <c:pt idx="8">
                  <c:v>9718966.9671918452</c:v>
                </c:pt>
                <c:pt idx="9">
                  <c:v>11107390.819647824</c:v>
                </c:pt>
                <c:pt idx="10">
                  <c:v>12495814.672103802</c:v>
                </c:pt>
                <c:pt idx="11">
                  <c:v>13190026.598331789</c:v>
                </c:pt>
                <c:pt idx="12">
                  <c:v>13606553.754068585</c:v>
                </c:pt>
                <c:pt idx="13">
                  <c:v>13884238.524559779</c:v>
                </c:pt>
                <c:pt idx="14">
                  <c:v>13898122.763084339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0-42AA-A1E3-E397EC23D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85247"/>
        <c:axId val="1712760671"/>
      </c:scatterChart>
      <c:valAx>
        <c:axId val="170098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60671"/>
        <c:crosses val="autoZero"/>
        <c:crossBetween val="midCat"/>
      </c:valAx>
      <c:valAx>
        <c:axId val="17127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98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891540</xdr:colOff>
      <xdr:row>24</xdr:row>
      <xdr:rowOff>179070</xdr:rowOff>
    </xdr:from>
    <xdr:to>
      <xdr:col>12</xdr:col>
      <xdr:colOff>213360</xdr:colOff>
      <xdr:row>39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8E680-F808-496F-5BB8-78026EB90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441960</xdr:colOff>
      <xdr:row>0</xdr:row>
      <xdr:rowOff>22860</xdr:rowOff>
    </xdr:from>
    <xdr:to>
      <xdr:col>26</xdr:col>
      <xdr:colOff>524889</xdr:colOff>
      <xdr:row>8</xdr:row>
      <xdr:rowOff>76379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21D112-7B78-2D95-8AF5-EA072ED6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0740" y="22860"/>
          <a:ext cx="4350129" cy="1516559"/>
        </a:xfrm>
        <a:prstGeom prst="rect">
          <a:avLst/>
        </a:prstGeom>
      </xdr:spPr>
    </xdr:pic>
    <xdr:clientData/>
  </xdr:twoCellAnchor>
  <xdr:twoCellAnchor editAs="oneCell">
    <xdr:from>
      <xdr:col>19</xdr:col>
      <xdr:colOff>435878</xdr:colOff>
      <xdr:row>9</xdr:row>
      <xdr:rowOff>129540</xdr:rowOff>
    </xdr:from>
    <xdr:to>
      <xdr:col>26</xdr:col>
      <xdr:colOff>300171</xdr:colOff>
      <xdr:row>18</xdr:row>
      <xdr:rowOff>61375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A8D127E-C1FE-947F-AE6E-01CE75942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4658" y="1775460"/>
          <a:ext cx="4131493" cy="1577755"/>
        </a:xfrm>
        <a:prstGeom prst="rect">
          <a:avLst/>
        </a:prstGeom>
      </xdr:spPr>
    </xdr:pic>
    <xdr:clientData/>
  </xdr:twoCellAnchor>
  <xdr:twoCellAnchor editAs="oneCell">
    <xdr:from>
      <xdr:col>19</xdr:col>
      <xdr:colOff>427043</xdr:colOff>
      <xdr:row>17</xdr:row>
      <xdr:rowOff>167640</xdr:rowOff>
    </xdr:from>
    <xdr:to>
      <xdr:col>26</xdr:col>
      <xdr:colOff>375427</xdr:colOff>
      <xdr:row>42</xdr:row>
      <xdr:rowOff>162995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180992D-C3AE-3FE8-2ABD-52FF0A643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5823" y="3276600"/>
          <a:ext cx="4215584" cy="4567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FCDF-2E53-44D8-A67C-894DD30E94E9}">
  <dimension ref="A1:AP28"/>
  <sheetViews>
    <sheetView workbookViewId="0">
      <selection activeCell="N2" sqref="N2"/>
    </sheetView>
  </sheetViews>
  <sheetFormatPr defaultRowHeight="14.4" outlineLevelCol="2" x14ac:dyDescent="0.3"/>
  <cols>
    <col min="4" max="4" width="16" bestFit="1" customWidth="1"/>
    <col min="5" max="5" width="17.77734375" customWidth="1" outlineLevel="1"/>
    <col min="6" max="6" width="27.6640625" customWidth="1" outlineLevel="1"/>
    <col min="7" max="7" width="15.6640625" customWidth="1" outlineLevel="1"/>
    <col min="8" max="8" width="11" customWidth="1" outlineLevel="1"/>
    <col min="9" max="9" width="13.33203125" customWidth="1" outlineLevel="1"/>
    <col min="10" max="10" width="14.88671875" customWidth="1" outlineLevel="1"/>
    <col min="11" max="11" width="64.44140625" customWidth="1" outlineLevel="1"/>
    <col min="12" max="12" width="66.5546875" customWidth="1" outlineLevel="1"/>
    <col min="13" max="13" width="34.21875" customWidth="1" outlineLevel="1"/>
    <col min="14" max="14" width="36.6640625" bestFit="1" customWidth="1"/>
    <col min="15" max="15" width="38.44140625" customWidth="1" outlineLevel="2"/>
    <col min="16" max="16" width="31.21875" customWidth="1" outlineLevel="2"/>
    <col min="17" max="17" width="43.6640625" customWidth="1" outlineLevel="2"/>
    <col min="18" max="18" width="22.77734375" customWidth="1" outlineLevel="2"/>
    <col min="19" max="19" width="61" customWidth="1" outlineLevel="2"/>
    <col min="20" max="20" width="32.6640625" customWidth="1" outlineLevel="2"/>
    <col min="21" max="21" width="39.21875" customWidth="1" outlineLevel="2"/>
    <col min="22" max="22" width="72.109375" customWidth="1" outlineLevel="2"/>
    <col min="23" max="23" width="44.77734375" customWidth="1" outlineLevel="2"/>
    <col min="24" max="24" width="27.77734375" customWidth="1" outlineLevel="2"/>
    <col min="25" max="25" width="56.21875" customWidth="1" outlineLevel="2"/>
    <col min="26" max="26" width="27.88671875" customWidth="1" outlineLevel="2"/>
    <col min="27" max="27" width="32" customWidth="1" outlineLevel="2"/>
    <col min="28" max="28" width="38.88671875" customWidth="1" outlineLevel="2"/>
    <col min="29" max="29" width="42.109375" customWidth="1" outlineLevel="2"/>
    <col min="30" max="30" width="38.44140625" customWidth="1" outlineLevel="2"/>
    <col min="31" max="31" width="36.21875" bestFit="1" customWidth="1"/>
    <col min="32" max="32" width="39.44140625" bestFit="1" customWidth="1"/>
    <col min="33" max="33" width="45.5546875" hidden="1" customWidth="1" outlineLevel="1"/>
    <col min="34" max="34" width="44.88671875" hidden="1" customWidth="1" outlineLevel="1"/>
    <col min="35" max="35" width="33.6640625" bestFit="1" customWidth="1" collapsed="1"/>
    <col min="36" max="36" width="32.88671875" hidden="1" customWidth="1" outlineLevel="1"/>
    <col min="37" max="37" width="30.6640625" hidden="1" customWidth="1" outlineLevel="1"/>
    <col min="38" max="38" width="30" hidden="1" customWidth="1" outlineLevel="1"/>
    <col min="39" max="39" width="40" hidden="1" customWidth="1" outlineLevel="1"/>
    <col min="40" max="40" width="37.44140625" hidden="1" customWidth="1" outlineLevel="1"/>
    <col min="41" max="41" width="72" hidden="1" customWidth="1" outlineLevel="1"/>
    <col min="42" max="42" width="8.88671875" collapsed="1"/>
  </cols>
  <sheetData>
    <row r="1" spans="1:41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</row>
    <row r="2" spans="1:41" s="2" customFormat="1" x14ac:dyDescent="0.3">
      <c r="A2" s="2">
        <v>350600</v>
      </c>
      <c r="B2" s="2" t="s">
        <v>47</v>
      </c>
      <c r="C2" s="2" t="s">
        <v>48</v>
      </c>
      <c r="D2" s="2">
        <v>2021</v>
      </c>
      <c r="E2" s="2">
        <v>35060011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>
        <v>381.70600000000002</v>
      </c>
      <c r="L2" s="2">
        <v>375.32100000000003</v>
      </c>
      <c r="M2" s="2" t="s">
        <v>54</v>
      </c>
      <c r="N2" s="4">
        <v>74452133.700000003</v>
      </c>
      <c r="O2" s="2" t="s">
        <v>55</v>
      </c>
      <c r="P2" s="2" t="s">
        <v>56</v>
      </c>
      <c r="Q2" s="2" t="s">
        <v>57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63</v>
      </c>
      <c r="AA2" s="2" t="s">
        <v>65</v>
      </c>
      <c r="AB2" s="2" t="s">
        <v>66</v>
      </c>
      <c r="AC2" s="2" t="s">
        <v>66</v>
      </c>
      <c r="AD2" s="2" t="s">
        <v>67</v>
      </c>
      <c r="AE2" s="4" t="s">
        <v>68</v>
      </c>
      <c r="AF2" s="2" t="s">
        <v>63</v>
      </c>
      <c r="AG2" s="2" t="s">
        <v>69</v>
      </c>
      <c r="AH2" s="2" t="s">
        <v>63</v>
      </c>
      <c r="AI2" s="2" t="s">
        <v>65</v>
      </c>
      <c r="AJ2" s="2" t="s">
        <v>70</v>
      </c>
      <c r="AK2" s="2" t="s">
        <v>71</v>
      </c>
      <c r="AL2" s="2" t="s">
        <v>64</v>
      </c>
      <c r="AM2" s="2" t="s">
        <v>66</v>
      </c>
      <c r="AN2" s="2" t="s">
        <v>63</v>
      </c>
      <c r="AO2" s="2" t="s">
        <v>72</v>
      </c>
    </row>
    <row r="3" spans="1:41" s="2" customFormat="1" x14ac:dyDescent="0.3">
      <c r="A3" s="2">
        <v>350600</v>
      </c>
      <c r="B3" s="2" t="s">
        <v>47</v>
      </c>
      <c r="C3" s="2" t="s">
        <v>48</v>
      </c>
      <c r="D3" s="2">
        <v>2020</v>
      </c>
      <c r="E3" s="2">
        <v>35060011</v>
      </c>
      <c r="F3" s="2" t="s">
        <v>49</v>
      </c>
      <c r="G3" s="2" t="s">
        <v>50</v>
      </c>
      <c r="H3" s="2" t="s">
        <v>51</v>
      </c>
      <c r="I3" s="2" t="s">
        <v>52</v>
      </c>
      <c r="J3" s="2" t="s">
        <v>53</v>
      </c>
      <c r="K3" s="2">
        <v>379.29700000000003</v>
      </c>
      <c r="L3" s="2">
        <v>372.95299999999997</v>
      </c>
      <c r="M3" s="2" t="s">
        <v>73</v>
      </c>
      <c r="N3" s="4">
        <v>75349995.980000004</v>
      </c>
      <c r="O3" s="2" t="s">
        <v>74</v>
      </c>
      <c r="P3" s="2" t="s">
        <v>75</v>
      </c>
      <c r="Q3" s="2" t="s">
        <v>76</v>
      </c>
      <c r="R3" s="2" t="s">
        <v>76</v>
      </c>
      <c r="S3" s="2" t="s">
        <v>58</v>
      </c>
      <c r="T3" s="2" t="s">
        <v>77</v>
      </c>
      <c r="U3" s="2" t="s">
        <v>78</v>
      </c>
      <c r="V3" s="2" t="s">
        <v>79</v>
      </c>
      <c r="W3" s="2" t="s">
        <v>80</v>
      </c>
      <c r="X3" s="2" t="s">
        <v>63</v>
      </c>
      <c r="Y3" s="2" t="s">
        <v>81</v>
      </c>
      <c r="Z3" s="2" t="s">
        <v>82</v>
      </c>
      <c r="AA3" s="2" t="s">
        <v>83</v>
      </c>
      <c r="AB3" s="2" t="s">
        <v>84</v>
      </c>
      <c r="AC3" s="2" t="s">
        <v>84</v>
      </c>
      <c r="AD3" s="2" t="s">
        <v>85</v>
      </c>
      <c r="AE3" s="4" t="s">
        <v>86</v>
      </c>
      <c r="AF3" s="2" t="s">
        <v>63</v>
      </c>
      <c r="AG3" s="2" t="s">
        <v>87</v>
      </c>
      <c r="AH3" s="2" t="s">
        <v>63</v>
      </c>
      <c r="AI3" s="2" t="s">
        <v>83</v>
      </c>
      <c r="AJ3" s="2" t="s">
        <v>88</v>
      </c>
      <c r="AK3" s="2" t="s">
        <v>89</v>
      </c>
      <c r="AL3" s="2" t="s">
        <v>81</v>
      </c>
      <c r="AM3" s="2" t="s">
        <v>84</v>
      </c>
      <c r="AN3" s="2" t="s">
        <v>63</v>
      </c>
      <c r="AO3" s="2" t="s">
        <v>90</v>
      </c>
    </row>
    <row r="4" spans="1:41" s="2" customFormat="1" x14ac:dyDescent="0.3">
      <c r="A4" s="2">
        <v>350600</v>
      </c>
      <c r="B4" s="2" t="s">
        <v>47</v>
      </c>
      <c r="C4" s="2" t="s">
        <v>48</v>
      </c>
      <c r="D4" s="2">
        <v>2019</v>
      </c>
      <c r="E4" s="2">
        <v>35060011</v>
      </c>
      <c r="F4" s="2" t="s">
        <v>49</v>
      </c>
      <c r="G4" s="2" t="s">
        <v>50</v>
      </c>
      <c r="H4" s="2" t="s">
        <v>51</v>
      </c>
      <c r="I4" s="2" t="s">
        <v>52</v>
      </c>
      <c r="J4" s="2" t="s">
        <v>53</v>
      </c>
      <c r="K4" s="2">
        <v>376.81799999999998</v>
      </c>
      <c r="L4" s="2">
        <v>370.51499999999999</v>
      </c>
      <c r="M4" s="2" t="s">
        <v>91</v>
      </c>
      <c r="N4" s="4">
        <v>74914270.840000004</v>
      </c>
      <c r="O4" s="2" t="s">
        <v>92</v>
      </c>
      <c r="P4" s="2" t="s">
        <v>93</v>
      </c>
      <c r="Q4" s="2" t="s">
        <v>94</v>
      </c>
      <c r="R4" s="2" t="s">
        <v>94</v>
      </c>
      <c r="S4" s="2" t="s">
        <v>58</v>
      </c>
      <c r="T4" s="2" t="s">
        <v>95</v>
      </c>
      <c r="U4" s="2" t="s">
        <v>96</v>
      </c>
      <c r="V4" s="2" t="s">
        <v>97</v>
      </c>
      <c r="W4" s="2" t="s">
        <v>98</v>
      </c>
      <c r="X4" s="2" t="s">
        <v>63</v>
      </c>
      <c r="Y4" s="2" t="s">
        <v>99</v>
      </c>
      <c r="Z4" s="2" t="s">
        <v>63</v>
      </c>
      <c r="AA4" s="2" t="s">
        <v>100</v>
      </c>
      <c r="AB4" s="2" t="s">
        <v>101</v>
      </c>
      <c r="AC4" s="2" t="s">
        <v>102</v>
      </c>
      <c r="AD4" s="2" t="s">
        <v>103</v>
      </c>
      <c r="AE4" s="4" t="s">
        <v>104</v>
      </c>
      <c r="AF4" s="2" t="s">
        <v>105</v>
      </c>
      <c r="AG4" s="2" t="s">
        <v>106</v>
      </c>
      <c r="AH4" s="2" t="s">
        <v>107</v>
      </c>
      <c r="AI4" s="2" t="s">
        <v>108</v>
      </c>
      <c r="AJ4" s="2" t="s">
        <v>109</v>
      </c>
      <c r="AK4" s="2" t="s">
        <v>110</v>
      </c>
      <c r="AL4" s="2" t="s">
        <v>111</v>
      </c>
      <c r="AM4" s="2" t="s">
        <v>112</v>
      </c>
      <c r="AN4" s="2" t="s">
        <v>113</v>
      </c>
      <c r="AO4" s="2" t="s">
        <v>114</v>
      </c>
    </row>
    <row r="5" spans="1:41" s="2" customFormat="1" x14ac:dyDescent="0.3">
      <c r="A5" s="2">
        <v>350600</v>
      </c>
      <c r="B5" s="2" t="s">
        <v>47</v>
      </c>
      <c r="C5" s="2" t="s">
        <v>48</v>
      </c>
      <c r="D5" s="2">
        <v>2018</v>
      </c>
      <c r="E5" s="2">
        <v>35060011</v>
      </c>
      <c r="F5" s="2" t="s">
        <v>49</v>
      </c>
      <c r="G5" s="2" t="s">
        <v>50</v>
      </c>
      <c r="H5" s="2" t="s">
        <v>51</v>
      </c>
      <c r="I5" s="2" t="s">
        <v>52</v>
      </c>
      <c r="J5" s="2" t="s">
        <v>53</v>
      </c>
      <c r="K5" s="2">
        <v>374.27199999999999</v>
      </c>
      <c r="L5" s="2">
        <v>368.012</v>
      </c>
      <c r="M5" s="2" t="s">
        <v>115</v>
      </c>
      <c r="N5" s="4" t="s">
        <v>116</v>
      </c>
      <c r="O5" s="2" t="s">
        <v>117</v>
      </c>
      <c r="P5" s="2" t="s">
        <v>118</v>
      </c>
      <c r="Q5" s="2" t="s">
        <v>119</v>
      </c>
      <c r="R5" s="2" t="s">
        <v>119</v>
      </c>
      <c r="S5" s="2" t="s">
        <v>58</v>
      </c>
      <c r="T5" s="2" t="s">
        <v>120</v>
      </c>
      <c r="U5" s="2" t="s">
        <v>121</v>
      </c>
      <c r="V5" s="2" t="s">
        <v>122</v>
      </c>
      <c r="W5" s="2" t="s">
        <v>62</v>
      </c>
      <c r="X5" s="2" t="s">
        <v>63</v>
      </c>
      <c r="Y5" s="2" t="s">
        <v>123</v>
      </c>
      <c r="Z5" s="2" t="s">
        <v>63</v>
      </c>
      <c r="AA5" s="2" t="s">
        <v>124</v>
      </c>
      <c r="AB5" s="2" t="s">
        <v>125</v>
      </c>
      <c r="AC5" s="2" t="s">
        <v>125</v>
      </c>
      <c r="AD5" s="2" t="s">
        <v>126</v>
      </c>
      <c r="AE5" s="4" t="s">
        <v>127</v>
      </c>
      <c r="AF5" s="2" t="s">
        <v>105</v>
      </c>
      <c r="AG5" s="2" t="s">
        <v>128</v>
      </c>
      <c r="AH5" s="2" t="s">
        <v>129</v>
      </c>
      <c r="AI5" s="2" t="s">
        <v>130</v>
      </c>
      <c r="AJ5" s="2" t="s">
        <v>131</v>
      </c>
      <c r="AK5" s="2" t="s">
        <v>132</v>
      </c>
      <c r="AL5" s="2" t="s">
        <v>133</v>
      </c>
      <c r="AM5" s="2" t="s">
        <v>134</v>
      </c>
      <c r="AN5" s="2" t="s">
        <v>113</v>
      </c>
      <c r="AO5" s="2" t="s">
        <v>135</v>
      </c>
    </row>
    <row r="6" spans="1:41" s="2" customFormat="1" x14ac:dyDescent="0.3">
      <c r="A6" s="2">
        <v>350600</v>
      </c>
      <c r="B6" s="2" t="s">
        <v>47</v>
      </c>
      <c r="C6" s="2" t="s">
        <v>48</v>
      </c>
      <c r="D6" s="2">
        <v>2017</v>
      </c>
      <c r="E6" s="2">
        <v>35060011</v>
      </c>
      <c r="F6" s="2" t="s">
        <v>49</v>
      </c>
      <c r="G6" s="2" t="s">
        <v>50</v>
      </c>
      <c r="H6" s="2" t="s">
        <v>51</v>
      </c>
      <c r="I6" s="2" t="s">
        <v>52</v>
      </c>
      <c r="J6" s="2" t="s">
        <v>53</v>
      </c>
      <c r="K6" s="2">
        <v>371.69</v>
      </c>
      <c r="L6" s="2">
        <v>365.47300000000001</v>
      </c>
      <c r="M6" s="2" t="s">
        <v>136</v>
      </c>
      <c r="N6" s="4" t="s">
        <v>137</v>
      </c>
      <c r="O6" s="2" t="s">
        <v>138</v>
      </c>
      <c r="P6" s="2" t="s">
        <v>139</v>
      </c>
      <c r="Q6" s="2" t="s">
        <v>140</v>
      </c>
      <c r="R6" s="2" t="s">
        <v>140</v>
      </c>
      <c r="S6" s="2" t="s">
        <v>58</v>
      </c>
      <c r="T6" s="2" t="s">
        <v>141</v>
      </c>
      <c r="U6" s="2" t="s">
        <v>142</v>
      </c>
      <c r="V6" s="2" t="s">
        <v>143</v>
      </c>
      <c r="W6" s="2" t="s">
        <v>144</v>
      </c>
      <c r="X6" s="2" t="s">
        <v>63</v>
      </c>
      <c r="Y6" s="2" t="s">
        <v>145</v>
      </c>
      <c r="Z6" s="2" t="s">
        <v>63</v>
      </c>
      <c r="AA6" s="2" t="s">
        <v>146</v>
      </c>
      <c r="AB6" s="2" t="s">
        <v>147</v>
      </c>
      <c r="AC6" s="2" t="s">
        <v>148</v>
      </c>
      <c r="AD6" s="2" t="s">
        <v>149</v>
      </c>
      <c r="AE6" s="4" t="s">
        <v>150</v>
      </c>
      <c r="AF6" s="2" t="s">
        <v>151</v>
      </c>
      <c r="AG6" s="2" t="s">
        <v>152</v>
      </c>
      <c r="AH6" s="2" t="s">
        <v>153</v>
      </c>
      <c r="AI6" s="2" t="s">
        <v>154</v>
      </c>
      <c r="AJ6" s="2" t="s">
        <v>155</v>
      </c>
      <c r="AK6" s="2" t="s">
        <v>156</v>
      </c>
      <c r="AL6" s="2" t="s">
        <v>157</v>
      </c>
      <c r="AM6" s="2" t="s">
        <v>158</v>
      </c>
      <c r="AN6" s="2" t="s">
        <v>159</v>
      </c>
      <c r="AO6" s="2" t="s">
        <v>135</v>
      </c>
    </row>
    <row r="7" spans="1:41" x14ac:dyDescent="0.3">
      <c r="A7">
        <v>350600</v>
      </c>
      <c r="B7" t="s">
        <v>47</v>
      </c>
      <c r="C7" t="s">
        <v>48</v>
      </c>
      <c r="D7">
        <v>2016</v>
      </c>
      <c r="E7">
        <v>35060011</v>
      </c>
      <c r="F7" t="s">
        <v>49</v>
      </c>
      <c r="G7" t="s">
        <v>50</v>
      </c>
      <c r="H7" t="s">
        <v>51</v>
      </c>
      <c r="I7" t="s">
        <v>52</v>
      </c>
      <c r="J7" t="s">
        <v>53</v>
      </c>
      <c r="K7">
        <v>369.36799999999999</v>
      </c>
      <c r="L7">
        <v>363.19</v>
      </c>
      <c r="M7" t="s">
        <v>160</v>
      </c>
      <c r="N7" t="s">
        <v>161</v>
      </c>
      <c r="O7" t="s">
        <v>162</v>
      </c>
      <c r="P7" t="s">
        <v>163</v>
      </c>
      <c r="Q7" t="s">
        <v>164</v>
      </c>
      <c r="R7" t="s">
        <v>164</v>
      </c>
      <c r="S7" t="s">
        <v>58</v>
      </c>
      <c r="T7" t="s">
        <v>165</v>
      </c>
      <c r="U7" t="s">
        <v>166</v>
      </c>
      <c r="V7" t="s">
        <v>167</v>
      </c>
      <c r="W7" t="s">
        <v>168</v>
      </c>
      <c r="X7" t="s">
        <v>63</v>
      </c>
      <c r="Y7" t="s">
        <v>169</v>
      </c>
      <c r="Z7" t="s">
        <v>63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  <c r="AF7" t="s">
        <v>175</v>
      </c>
      <c r="AG7" t="s">
        <v>176</v>
      </c>
      <c r="AH7" t="s">
        <v>63</v>
      </c>
      <c r="AI7" t="s">
        <v>177</v>
      </c>
      <c r="AJ7" t="s">
        <v>178</v>
      </c>
      <c r="AK7" t="s">
        <v>179</v>
      </c>
      <c r="AL7" t="s">
        <v>169</v>
      </c>
      <c r="AM7" t="s">
        <v>171</v>
      </c>
      <c r="AN7" t="s">
        <v>180</v>
      </c>
      <c r="AO7" t="s">
        <v>181</v>
      </c>
    </row>
    <row r="8" spans="1:41" x14ac:dyDescent="0.3">
      <c r="A8">
        <v>350600</v>
      </c>
      <c r="B8" t="s">
        <v>47</v>
      </c>
      <c r="C8" t="s">
        <v>48</v>
      </c>
      <c r="D8">
        <v>2015</v>
      </c>
      <c r="E8">
        <v>35060011</v>
      </c>
      <c r="F8" t="s">
        <v>49</v>
      </c>
      <c r="G8" t="s">
        <v>50</v>
      </c>
      <c r="H8" t="s">
        <v>51</v>
      </c>
      <c r="I8" t="s">
        <v>52</v>
      </c>
      <c r="J8" t="s">
        <v>53</v>
      </c>
      <c r="K8">
        <v>366.99200000000002</v>
      </c>
      <c r="L8">
        <v>360.85300000000001</v>
      </c>
      <c r="M8" t="s">
        <v>182</v>
      </c>
      <c r="N8" t="s">
        <v>183</v>
      </c>
      <c r="O8" t="s">
        <v>184</v>
      </c>
      <c r="P8" t="s">
        <v>185</v>
      </c>
      <c r="Q8" t="s">
        <v>186</v>
      </c>
      <c r="R8" t="s">
        <v>186</v>
      </c>
      <c r="S8" t="s">
        <v>58</v>
      </c>
      <c r="T8" t="s">
        <v>187</v>
      </c>
      <c r="U8" t="s">
        <v>188</v>
      </c>
      <c r="V8" t="s">
        <v>189</v>
      </c>
      <c r="W8" t="s">
        <v>80</v>
      </c>
      <c r="X8" t="s">
        <v>63</v>
      </c>
      <c r="Y8" t="s">
        <v>190</v>
      </c>
      <c r="Z8" t="s">
        <v>63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175</v>
      </c>
      <c r="AG8" t="s">
        <v>196</v>
      </c>
      <c r="AH8" t="s">
        <v>63</v>
      </c>
      <c r="AI8" t="s">
        <v>197</v>
      </c>
      <c r="AJ8" t="s">
        <v>198</v>
      </c>
      <c r="AK8" t="s">
        <v>199</v>
      </c>
      <c r="AL8" t="s">
        <v>190</v>
      </c>
      <c r="AM8" t="s">
        <v>192</v>
      </c>
      <c r="AN8" t="s">
        <v>180</v>
      </c>
      <c r="AO8" t="s">
        <v>135</v>
      </c>
    </row>
    <row r="9" spans="1:41" x14ac:dyDescent="0.3">
      <c r="A9">
        <v>350600</v>
      </c>
      <c r="B9" t="s">
        <v>47</v>
      </c>
      <c r="C9" t="s">
        <v>48</v>
      </c>
      <c r="D9">
        <v>2014</v>
      </c>
      <c r="E9">
        <v>35060011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>
        <v>364.56200000000001</v>
      </c>
      <c r="L9">
        <v>358.464</v>
      </c>
      <c r="M9" t="s">
        <v>200</v>
      </c>
      <c r="N9" t="s">
        <v>201</v>
      </c>
      <c r="O9" t="s">
        <v>202</v>
      </c>
      <c r="P9" t="s">
        <v>203</v>
      </c>
      <c r="Q9" t="s">
        <v>204</v>
      </c>
      <c r="R9" t="s">
        <v>204</v>
      </c>
      <c r="S9" t="s">
        <v>58</v>
      </c>
      <c r="T9" t="s">
        <v>205</v>
      </c>
      <c r="U9" t="s">
        <v>206</v>
      </c>
      <c r="V9" t="s">
        <v>207</v>
      </c>
      <c r="W9" t="s">
        <v>208</v>
      </c>
      <c r="X9" t="s">
        <v>63</v>
      </c>
      <c r="Y9" t="s">
        <v>209</v>
      </c>
      <c r="Z9" t="s">
        <v>63</v>
      </c>
      <c r="AA9" t="s">
        <v>210</v>
      </c>
      <c r="AB9" t="s">
        <v>211</v>
      </c>
      <c r="AC9" t="s">
        <v>212</v>
      </c>
      <c r="AD9" t="s">
        <v>87</v>
      </c>
      <c r="AE9" t="s">
        <v>213</v>
      </c>
      <c r="AF9" t="s">
        <v>214</v>
      </c>
      <c r="AG9" t="s">
        <v>215</v>
      </c>
      <c r="AH9" t="s">
        <v>63</v>
      </c>
      <c r="AI9" t="s">
        <v>216</v>
      </c>
      <c r="AJ9" t="s">
        <v>217</v>
      </c>
      <c r="AK9" t="s">
        <v>218</v>
      </c>
      <c r="AL9" t="s">
        <v>209</v>
      </c>
      <c r="AM9" t="s">
        <v>211</v>
      </c>
      <c r="AN9" t="s">
        <v>219</v>
      </c>
      <c r="AO9" t="s">
        <v>220</v>
      </c>
    </row>
    <row r="10" spans="1:41" x14ac:dyDescent="0.3">
      <c r="A10">
        <v>350600</v>
      </c>
      <c r="B10" t="s">
        <v>47</v>
      </c>
      <c r="C10" t="s">
        <v>48</v>
      </c>
      <c r="D10">
        <v>2013</v>
      </c>
      <c r="E10">
        <v>35060011</v>
      </c>
      <c r="F10" t="s">
        <v>49</v>
      </c>
      <c r="G10" t="s">
        <v>50</v>
      </c>
      <c r="H10" t="s">
        <v>51</v>
      </c>
      <c r="I10" t="s">
        <v>52</v>
      </c>
      <c r="J10" t="s">
        <v>53</v>
      </c>
      <c r="K10">
        <v>362.06200000000001</v>
      </c>
      <c r="L10">
        <v>356.00599999999997</v>
      </c>
      <c r="M10" t="s">
        <v>221</v>
      </c>
      <c r="N10" t="s">
        <v>222</v>
      </c>
      <c r="O10" t="s">
        <v>223</v>
      </c>
      <c r="P10" t="s">
        <v>224</v>
      </c>
      <c r="Q10" t="s">
        <v>225</v>
      </c>
      <c r="R10" t="s">
        <v>226</v>
      </c>
      <c r="S10" t="s">
        <v>58</v>
      </c>
      <c r="T10" t="s">
        <v>227</v>
      </c>
      <c r="U10" t="s">
        <v>228</v>
      </c>
      <c r="V10" t="s">
        <v>229</v>
      </c>
      <c r="W10" t="s">
        <v>230</v>
      </c>
      <c r="X10" t="s">
        <v>231</v>
      </c>
      <c r="Y10" t="s">
        <v>232</v>
      </c>
      <c r="Z10" t="s">
        <v>63</v>
      </c>
      <c r="AA10" t="s">
        <v>233</v>
      </c>
      <c r="AB10" t="s">
        <v>234</v>
      </c>
      <c r="AC10" t="s">
        <v>235</v>
      </c>
      <c r="AD10" t="s">
        <v>176</v>
      </c>
      <c r="AE10" t="s">
        <v>236</v>
      </c>
      <c r="AF10" t="s">
        <v>237</v>
      </c>
      <c r="AG10" t="s">
        <v>238</v>
      </c>
      <c r="AH10" t="s">
        <v>63</v>
      </c>
      <c r="AI10" t="s">
        <v>239</v>
      </c>
      <c r="AJ10" t="s">
        <v>240</v>
      </c>
      <c r="AK10" t="s">
        <v>241</v>
      </c>
      <c r="AL10" t="s">
        <v>232</v>
      </c>
      <c r="AM10" t="s">
        <v>242</v>
      </c>
      <c r="AN10" t="s">
        <v>243</v>
      </c>
      <c r="AO10" t="s">
        <v>244</v>
      </c>
    </row>
    <row r="11" spans="1:41" x14ac:dyDescent="0.3">
      <c r="A11">
        <v>350600</v>
      </c>
      <c r="B11" t="s">
        <v>47</v>
      </c>
      <c r="C11" t="s">
        <v>48</v>
      </c>
      <c r="D11">
        <v>2012</v>
      </c>
      <c r="E11">
        <v>35060011</v>
      </c>
      <c r="F11" t="s">
        <v>49</v>
      </c>
      <c r="G11" t="s">
        <v>50</v>
      </c>
      <c r="H11" t="s">
        <v>51</v>
      </c>
      <c r="I11" t="s">
        <v>52</v>
      </c>
      <c r="J11" t="s">
        <v>53</v>
      </c>
      <c r="K11">
        <v>348.14600000000002</v>
      </c>
      <c r="L11">
        <v>342.32299999999998</v>
      </c>
      <c r="M11" t="s">
        <v>245</v>
      </c>
      <c r="N11" t="s">
        <v>246</v>
      </c>
      <c r="O11" t="s">
        <v>247</v>
      </c>
      <c r="P11" t="s">
        <v>248</v>
      </c>
      <c r="Q11" t="s">
        <v>249</v>
      </c>
      <c r="R11" t="s">
        <v>250</v>
      </c>
      <c r="S11" t="s">
        <v>58</v>
      </c>
      <c r="T11" t="s">
        <v>251</v>
      </c>
      <c r="U11" t="s">
        <v>252</v>
      </c>
      <c r="V11" t="s">
        <v>253</v>
      </c>
      <c r="W11" t="s">
        <v>254</v>
      </c>
      <c r="X11" t="s">
        <v>255</v>
      </c>
      <c r="Y11" t="s">
        <v>256</v>
      </c>
      <c r="Z11" t="s">
        <v>63</v>
      </c>
      <c r="AA11" t="s">
        <v>257</v>
      </c>
      <c r="AB11" t="s">
        <v>258</v>
      </c>
      <c r="AC11" t="s">
        <v>259</v>
      </c>
      <c r="AD11" t="s">
        <v>211</v>
      </c>
      <c r="AE11" t="s">
        <v>260</v>
      </c>
      <c r="AF11" t="s">
        <v>63</v>
      </c>
      <c r="AG11" t="s">
        <v>261</v>
      </c>
      <c r="AH11" t="s">
        <v>262</v>
      </c>
      <c r="AI11" t="s">
        <v>257</v>
      </c>
      <c r="AJ11" t="s">
        <v>263</v>
      </c>
      <c r="AK11" t="s">
        <v>264</v>
      </c>
      <c r="AL11" t="s">
        <v>265</v>
      </c>
      <c r="AM11" t="s">
        <v>259</v>
      </c>
      <c r="AN11" t="s">
        <v>266</v>
      </c>
      <c r="AO11" t="s">
        <v>267</v>
      </c>
    </row>
    <row r="12" spans="1:41" x14ac:dyDescent="0.3">
      <c r="A12">
        <v>350600</v>
      </c>
      <c r="B12" t="s">
        <v>47</v>
      </c>
      <c r="C12" t="s">
        <v>48</v>
      </c>
      <c r="D12">
        <v>2011</v>
      </c>
      <c r="E12">
        <v>35060011</v>
      </c>
      <c r="F12" t="s">
        <v>49</v>
      </c>
      <c r="G12" t="s">
        <v>50</v>
      </c>
      <c r="H12" t="s">
        <v>51</v>
      </c>
      <c r="I12" t="s">
        <v>52</v>
      </c>
      <c r="J12" t="s">
        <v>53</v>
      </c>
      <c r="K12">
        <v>346.077</v>
      </c>
      <c r="L12">
        <v>340.28800000000001</v>
      </c>
      <c r="M12" t="s">
        <v>268</v>
      </c>
      <c r="N12" t="s">
        <v>269</v>
      </c>
      <c r="O12" t="s">
        <v>270</v>
      </c>
      <c r="P12" t="s">
        <v>271</v>
      </c>
      <c r="Q12" t="s">
        <v>272</v>
      </c>
      <c r="R12" t="s">
        <v>273</v>
      </c>
      <c r="S12" t="s">
        <v>58</v>
      </c>
      <c r="T12" t="s">
        <v>274</v>
      </c>
      <c r="U12" t="s">
        <v>275</v>
      </c>
      <c r="V12" t="s">
        <v>276</v>
      </c>
      <c r="W12" t="s">
        <v>277</v>
      </c>
      <c r="X12" t="s">
        <v>278</v>
      </c>
      <c r="Y12" t="s">
        <v>279</v>
      </c>
      <c r="Z12" t="s">
        <v>63</v>
      </c>
      <c r="AA12" t="s">
        <v>280</v>
      </c>
      <c r="AB12" t="s">
        <v>281</v>
      </c>
      <c r="AC12" t="s">
        <v>125</v>
      </c>
      <c r="AD12" t="s">
        <v>282</v>
      </c>
      <c r="AE12" t="s">
        <v>283</v>
      </c>
      <c r="AF12" t="s">
        <v>175</v>
      </c>
      <c r="AG12" t="s">
        <v>284</v>
      </c>
      <c r="AH12" t="s">
        <v>63</v>
      </c>
      <c r="AI12" t="s">
        <v>280</v>
      </c>
      <c r="AJ12" t="s">
        <v>285</v>
      </c>
      <c r="AK12" t="s">
        <v>286</v>
      </c>
      <c r="AL12" t="s">
        <v>279</v>
      </c>
      <c r="AM12" t="s">
        <v>125</v>
      </c>
      <c r="AN12" t="s">
        <v>287</v>
      </c>
      <c r="AO12" t="s">
        <v>288</v>
      </c>
    </row>
    <row r="13" spans="1:41" x14ac:dyDescent="0.3">
      <c r="A13">
        <v>350600</v>
      </c>
      <c r="B13" t="s">
        <v>47</v>
      </c>
      <c r="C13" t="s">
        <v>48</v>
      </c>
      <c r="D13">
        <v>2010</v>
      </c>
      <c r="E13">
        <v>35060011</v>
      </c>
      <c r="F13" t="s">
        <v>49</v>
      </c>
      <c r="G13" t="s">
        <v>50</v>
      </c>
      <c r="H13" t="s">
        <v>51</v>
      </c>
      <c r="I13" t="s">
        <v>52</v>
      </c>
      <c r="J13" t="s">
        <v>53</v>
      </c>
      <c r="K13">
        <v>343.93700000000001</v>
      </c>
      <c r="L13">
        <v>338.18400000000003</v>
      </c>
      <c r="M13" t="s">
        <v>289</v>
      </c>
      <c r="N13" t="s">
        <v>290</v>
      </c>
      <c r="O13" t="s">
        <v>291</v>
      </c>
      <c r="P13" t="s">
        <v>292</v>
      </c>
      <c r="Q13" t="s">
        <v>293</v>
      </c>
      <c r="R13" t="s">
        <v>294</v>
      </c>
      <c r="S13" t="s">
        <v>58</v>
      </c>
      <c r="T13" t="s">
        <v>295</v>
      </c>
      <c r="U13" t="s">
        <v>296</v>
      </c>
      <c r="V13" t="s">
        <v>297</v>
      </c>
      <c r="W13" t="s">
        <v>277</v>
      </c>
      <c r="X13" t="s">
        <v>298</v>
      </c>
      <c r="Y13" t="s">
        <v>299</v>
      </c>
      <c r="Z13" t="s">
        <v>63</v>
      </c>
      <c r="AA13" t="s">
        <v>300</v>
      </c>
      <c r="AB13" t="s">
        <v>301</v>
      </c>
      <c r="AC13" t="s">
        <v>242</v>
      </c>
      <c r="AD13" t="s">
        <v>282</v>
      </c>
      <c r="AE13" t="s">
        <v>302</v>
      </c>
      <c r="AF13" t="s">
        <v>63</v>
      </c>
      <c r="AG13" t="s">
        <v>69</v>
      </c>
      <c r="AH13" t="s">
        <v>63</v>
      </c>
      <c r="AI13" t="s">
        <v>300</v>
      </c>
      <c r="AJ13" t="s">
        <v>303</v>
      </c>
      <c r="AK13" t="s">
        <v>304</v>
      </c>
      <c r="AL13" t="s">
        <v>299</v>
      </c>
      <c r="AM13" t="s">
        <v>242</v>
      </c>
      <c r="AN13" t="s">
        <v>305</v>
      </c>
      <c r="AO13" t="s">
        <v>306</v>
      </c>
    </row>
    <row r="14" spans="1:41" x14ac:dyDescent="0.3">
      <c r="A14">
        <v>350600</v>
      </c>
      <c r="B14" t="s">
        <v>47</v>
      </c>
      <c r="C14" t="s">
        <v>48</v>
      </c>
      <c r="D14">
        <v>2009</v>
      </c>
      <c r="E14">
        <v>35060011</v>
      </c>
      <c r="F14" t="s">
        <v>49</v>
      </c>
      <c r="G14" t="s">
        <v>50</v>
      </c>
      <c r="H14" t="s">
        <v>51</v>
      </c>
      <c r="I14" t="s">
        <v>52</v>
      </c>
      <c r="J14" t="s">
        <v>53</v>
      </c>
      <c r="K14">
        <v>359.42899999999997</v>
      </c>
      <c r="L14">
        <v>353.036</v>
      </c>
      <c r="M14" t="s">
        <v>307</v>
      </c>
      <c r="N14" t="s">
        <v>308</v>
      </c>
      <c r="O14" t="s">
        <v>309</v>
      </c>
      <c r="P14" t="s">
        <v>310</v>
      </c>
      <c r="Q14" t="s">
        <v>311</v>
      </c>
      <c r="R14" t="s">
        <v>312</v>
      </c>
      <c r="S14" t="s">
        <v>58</v>
      </c>
      <c r="T14" t="s">
        <v>313</v>
      </c>
      <c r="U14" t="s">
        <v>314</v>
      </c>
      <c r="V14" t="s">
        <v>315</v>
      </c>
      <c r="W14" t="s">
        <v>277</v>
      </c>
      <c r="X14" t="s">
        <v>316</v>
      </c>
      <c r="Y14" t="s">
        <v>317</v>
      </c>
      <c r="Z14" t="s">
        <v>63</v>
      </c>
      <c r="AA14" t="s">
        <v>318</v>
      </c>
      <c r="AB14" t="s">
        <v>281</v>
      </c>
      <c r="AC14" t="s">
        <v>125</v>
      </c>
      <c r="AD14" t="s">
        <v>282</v>
      </c>
      <c r="AE14" t="s">
        <v>319</v>
      </c>
      <c r="AF14" t="s">
        <v>63</v>
      </c>
      <c r="AG14" t="s">
        <v>320</v>
      </c>
      <c r="AH14" t="s">
        <v>63</v>
      </c>
      <c r="AI14" t="s">
        <v>318</v>
      </c>
      <c r="AJ14" t="s">
        <v>321</v>
      </c>
      <c r="AK14" t="s">
        <v>322</v>
      </c>
      <c r="AL14" t="s">
        <v>317</v>
      </c>
      <c r="AM14" t="s">
        <v>125</v>
      </c>
      <c r="AN14" t="s">
        <v>323</v>
      </c>
      <c r="AO14" t="s">
        <v>324</v>
      </c>
    </row>
    <row r="15" spans="1:41" x14ac:dyDescent="0.3">
      <c r="A15">
        <v>350600</v>
      </c>
      <c r="B15" t="s">
        <v>47</v>
      </c>
      <c r="C15" t="s">
        <v>48</v>
      </c>
      <c r="D15">
        <v>2008</v>
      </c>
      <c r="E15">
        <v>35060011</v>
      </c>
      <c r="F15" t="s">
        <v>49</v>
      </c>
      <c r="G15" t="s">
        <v>50</v>
      </c>
      <c r="H15" t="s">
        <v>51</v>
      </c>
      <c r="I15" t="s">
        <v>52</v>
      </c>
      <c r="J15" t="s">
        <v>53</v>
      </c>
      <c r="K15">
        <v>355.67500000000001</v>
      </c>
      <c r="L15">
        <v>349.34800000000001</v>
      </c>
      <c r="M15" t="s">
        <v>325</v>
      </c>
      <c r="N15" t="s">
        <v>326</v>
      </c>
      <c r="O15" t="s">
        <v>327</v>
      </c>
      <c r="P15" t="s">
        <v>328</v>
      </c>
      <c r="Q15" t="s">
        <v>329</v>
      </c>
      <c r="R15" t="s">
        <v>330</v>
      </c>
      <c r="S15" t="s">
        <v>58</v>
      </c>
      <c r="T15" t="s">
        <v>331</v>
      </c>
      <c r="U15" t="s">
        <v>332</v>
      </c>
      <c r="V15" t="s">
        <v>333</v>
      </c>
      <c r="W15" t="s">
        <v>334</v>
      </c>
      <c r="X15" t="s">
        <v>335</v>
      </c>
      <c r="Y15" t="s">
        <v>336</v>
      </c>
      <c r="Z15" t="s">
        <v>63</v>
      </c>
      <c r="AA15" t="s">
        <v>337</v>
      </c>
      <c r="AB15" t="s">
        <v>338</v>
      </c>
      <c r="AC15" t="s">
        <v>339</v>
      </c>
      <c r="AD15" t="s">
        <v>340</v>
      </c>
      <c r="AE15" t="s">
        <v>341</v>
      </c>
      <c r="AF15" t="s">
        <v>63</v>
      </c>
      <c r="AG15" t="s">
        <v>342</v>
      </c>
      <c r="AH15" t="s">
        <v>63</v>
      </c>
      <c r="AI15" t="s">
        <v>337</v>
      </c>
      <c r="AJ15" t="s">
        <v>343</v>
      </c>
      <c r="AK15" t="s">
        <v>344</v>
      </c>
      <c r="AL15" t="s">
        <v>336</v>
      </c>
      <c r="AM15" t="s">
        <v>339</v>
      </c>
      <c r="AN15" t="s">
        <v>345</v>
      </c>
      <c r="AO15" t="s">
        <v>181</v>
      </c>
    </row>
    <row r="16" spans="1:41" x14ac:dyDescent="0.3">
      <c r="A16">
        <v>350600</v>
      </c>
      <c r="B16" t="s">
        <v>47</v>
      </c>
      <c r="C16" t="s">
        <v>48</v>
      </c>
      <c r="D16">
        <v>2007</v>
      </c>
      <c r="E16">
        <v>35060011</v>
      </c>
      <c r="F16" t="s">
        <v>49</v>
      </c>
      <c r="G16" t="s">
        <v>50</v>
      </c>
      <c r="H16" t="s">
        <v>51</v>
      </c>
      <c r="I16" t="s">
        <v>52</v>
      </c>
      <c r="J16" t="s">
        <v>53</v>
      </c>
      <c r="K16">
        <v>347.601</v>
      </c>
      <c r="L16">
        <v>341.41800000000001</v>
      </c>
      <c r="M16" t="s">
        <v>346</v>
      </c>
      <c r="N16" t="s">
        <v>347</v>
      </c>
      <c r="O16" t="s">
        <v>348</v>
      </c>
      <c r="P16" t="s">
        <v>349</v>
      </c>
      <c r="Q16" t="s">
        <v>350</v>
      </c>
      <c r="R16" t="s">
        <v>350</v>
      </c>
      <c r="S16" t="s">
        <v>58</v>
      </c>
      <c r="T16" t="s">
        <v>351</v>
      </c>
      <c r="U16" t="s">
        <v>352</v>
      </c>
      <c r="V16" t="s">
        <v>353</v>
      </c>
      <c r="W16" t="s">
        <v>277</v>
      </c>
      <c r="X16" t="s">
        <v>354</v>
      </c>
      <c r="Y16" t="s">
        <v>355</v>
      </c>
      <c r="Z16" t="s">
        <v>63</v>
      </c>
      <c r="AA16" t="s">
        <v>356</v>
      </c>
      <c r="AB16" t="s">
        <v>211</v>
      </c>
      <c r="AC16" t="s">
        <v>357</v>
      </c>
      <c r="AD16" t="s">
        <v>358</v>
      </c>
      <c r="AE16" t="s">
        <v>359</v>
      </c>
      <c r="AF16" t="s">
        <v>63</v>
      </c>
      <c r="AG16" t="s">
        <v>284</v>
      </c>
      <c r="AH16" t="s">
        <v>63</v>
      </c>
      <c r="AI16" t="s">
        <v>360</v>
      </c>
      <c r="AJ16" t="s">
        <v>361</v>
      </c>
      <c r="AK16" t="s">
        <v>362</v>
      </c>
      <c r="AL16" t="s">
        <v>355</v>
      </c>
      <c r="AM16" t="s">
        <v>357</v>
      </c>
      <c r="AN16" t="s">
        <v>363</v>
      </c>
    </row>
    <row r="17" spans="1:41" x14ac:dyDescent="0.3">
      <c r="A17">
        <v>350600</v>
      </c>
      <c r="B17" t="s">
        <v>47</v>
      </c>
      <c r="C17" t="s">
        <v>48</v>
      </c>
      <c r="D17">
        <v>2006</v>
      </c>
      <c r="E17">
        <v>35060011</v>
      </c>
      <c r="F17" t="s">
        <v>49</v>
      </c>
      <c r="G17" t="s">
        <v>50</v>
      </c>
      <c r="H17" t="s">
        <v>51</v>
      </c>
      <c r="I17" t="s">
        <v>52</v>
      </c>
      <c r="J17" t="s">
        <v>53</v>
      </c>
      <c r="K17">
        <v>356.68</v>
      </c>
      <c r="L17">
        <v>350.33600000000001</v>
      </c>
      <c r="M17" t="s">
        <v>364</v>
      </c>
      <c r="N17" t="s">
        <v>365</v>
      </c>
      <c r="O17" t="s">
        <v>366</v>
      </c>
      <c r="P17" t="s">
        <v>367</v>
      </c>
      <c r="Q17" t="s">
        <v>368</v>
      </c>
      <c r="R17" t="s">
        <v>369</v>
      </c>
      <c r="S17" t="s">
        <v>58</v>
      </c>
      <c r="T17" t="s">
        <v>370</v>
      </c>
      <c r="U17" t="s">
        <v>371</v>
      </c>
      <c r="W17" t="s">
        <v>372</v>
      </c>
      <c r="X17" t="s">
        <v>373</v>
      </c>
      <c r="Y17" t="s">
        <v>374</v>
      </c>
      <c r="Z17" t="s">
        <v>375</v>
      </c>
      <c r="AA17" t="s">
        <v>376</v>
      </c>
      <c r="AB17" t="s">
        <v>377</v>
      </c>
      <c r="AC17" t="s">
        <v>301</v>
      </c>
      <c r="AD17" t="s">
        <v>339</v>
      </c>
      <c r="AE17" t="s">
        <v>378</v>
      </c>
      <c r="AF17" t="s">
        <v>63</v>
      </c>
      <c r="AG17" t="s">
        <v>379</v>
      </c>
      <c r="AH17" t="s">
        <v>63</v>
      </c>
      <c r="AI17" t="s">
        <v>376</v>
      </c>
      <c r="AJ17" t="s">
        <v>380</v>
      </c>
      <c r="AK17" t="s">
        <v>381</v>
      </c>
      <c r="AL17" t="s">
        <v>374</v>
      </c>
      <c r="AM17" t="s">
        <v>301</v>
      </c>
      <c r="AN17" t="s">
        <v>63</v>
      </c>
      <c r="AO17" t="s">
        <v>382</v>
      </c>
    </row>
    <row r="18" spans="1:41" x14ac:dyDescent="0.3">
      <c r="A18">
        <v>350600</v>
      </c>
      <c r="B18" t="s">
        <v>47</v>
      </c>
      <c r="C18" t="s">
        <v>48</v>
      </c>
      <c r="D18">
        <v>2005</v>
      </c>
      <c r="E18">
        <v>35060011</v>
      </c>
      <c r="F18" t="s">
        <v>49</v>
      </c>
      <c r="G18" t="s">
        <v>50</v>
      </c>
      <c r="H18" t="s">
        <v>51</v>
      </c>
      <c r="I18" t="s">
        <v>52</v>
      </c>
      <c r="J18" t="s">
        <v>53</v>
      </c>
      <c r="K18">
        <v>350.49200000000002</v>
      </c>
      <c r="L18">
        <v>344.25799999999998</v>
      </c>
      <c r="M18" t="s">
        <v>383</v>
      </c>
      <c r="N18" t="s">
        <v>384</v>
      </c>
      <c r="O18" t="s">
        <v>385</v>
      </c>
      <c r="P18" t="s">
        <v>386</v>
      </c>
      <c r="Q18" t="s">
        <v>387</v>
      </c>
      <c r="R18" t="s">
        <v>388</v>
      </c>
      <c r="S18" t="s">
        <v>58</v>
      </c>
      <c r="T18" t="s">
        <v>389</v>
      </c>
      <c r="U18" t="s">
        <v>390</v>
      </c>
      <c r="V18" t="s">
        <v>391</v>
      </c>
      <c r="W18" t="s">
        <v>277</v>
      </c>
      <c r="X18" t="s">
        <v>392</v>
      </c>
      <c r="Y18" t="s">
        <v>393</v>
      </c>
      <c r="Z18" t="s">
        <v>63</v>
      </c>
      <c r="AA18" t="s">
        <v>394</v>
      </c>
      <c r="AB18" t="s">
        <v>395</v>
      </c>
      <c r="AC18" t="s">
        <v>358</v>
      </c>
      <c r="AD18" t="s">
        <v>358</v>
      </c>
      <c r="AE18" t="s">
        <v>396</v>
      </c>
      <c r="AF18" t="s">
        <v>63</v>
      </c>
      <c r="AG18" t="s">
        <v>397</v>
      </c>
      <c r="AH18" t="s">
        <v>398</v>
      </c>
      <c r="AI18" t="s">
        <v>399</v>
      </c>
      <c r="AJ18" t="s">
        <v>400</v>
      </c>
      <c r="AK18" t="s">
        <v>401</v>
      </c>
      <c r="AL18" t="s">
        <v>402</v>
      </c>
      <c r="AM18" t="s">
        <v>395</v>
      </c>
      <c r="AN18" t="s">
        <v>403</v>
      </c>
      <c r="AO18" t="s">
        <v>230</v>
      </c>
    </row>
    <row r="19" spans="1:41" x14ac:dyDescent="0.3">
      <c r="A19">
        <v>350600</v>
      </c>
      <c r="B19" t="s">
        <v>47</v>
      </c>
      <c r="C19" t="s">
        <v>48</v>
      </c>
      <c r="D19">
        <v>2004</v>
      </c>
      <c r="E19">
        <v>35060011</v>
      </c>
      <c r="F19" t="s">
        <v>49</v>
      </c>
      <c r="G19" t="s">
        <v>50</v>
      </c>
      <c r="H19" t="s">
        <v>51</v>
      </c>
      <c r="I19" t="s">
        <v>52</v>
      </c>
      <c r="J19" t="s">
        <v>53</v>
      </c>
      <c r="K19">
        <v>344.25799999999998</v>
      </c>
      <c r="L19">
        <v>338.13400000000001</v>
      </c>
      <c r="M19" t="s">
        <v>404</v>
      </c>
      <c r="N19" t="s">
        <v>405</v>
      </c>
      <c r="O19" t="s">
        <v>406</v>
      </c>
      <c r="P19" t="s">
        <v>407</v>
      </c>
      <c r="Q19" t="s">
        <v>408</v>
      </c>
      <c r="R19" t="s">
        <v>409</v>
      </c>
      <c r="S19" t="s">
        <v>58</v>
      </c>
      <c r="T19" t="s">
        <v>410</v>
      </c>
      <c r="U19" t="s">
        <v>411</v>
      </c>
      <c r="V19" t="s">
        <v>412</v>
      </c>
      <c r="W19" t="s">
        <v>277</v>
      </c>
      <c r="X19" t="s">
        <v>413</v>
      </c>
      <c r="Y19" t="s">
        <v>414</v>
      </c>
      <c r="Z19" t="s">
        <v>63</v>
      </c>
      <c r="AA19" t="s">
        <v>415</v>
      </c>
      <c r="AB19" t="s">
        <v>395</v>
      </c>
      <c r="AC19" t="s">
        <v>340</v>
      </c>
      <c r="AD19" t="s">
        <v>339</v>
      </c>
      <c r="AE19" t="s">
        <v>396</v>
      </c>
      <c r="AF19" t="s">
        <v>63</v>
      </c>
      <c r="AG19" t="s">
        <v>416</v>
      </c>
      <c r="AH19" t="s">
        <v>417</v>
      </c>
      <c r="AI19" t="s">
        <v>418</v>
      </c>
      <c r="AJ19" t="s">
        <v>87</v>
      </c>
      <c r="AK19" t="s">
        <v>419</v>
      </c>
      <c r="AL19" t="s">
        <v>420</v>
      </c>
      <c r="AM19" t="s">
        <v>421</v>
      </c>
      <c r="AN19" t="s">
        <v>153</v>
      </c>
      <c r="AO19" t="s">
        <v>372</v>
      </c>
    </row>
    <row r="20" spans="1:41" x14ac:dyDescent="0.3">
      <c r="A20">
        <v>350600</v>
      </c>
      <c r="B20" t="s">
        <v>47</v>
      </c>
      <c r="C20" t="s">
        <v>48</v>
      </c>
      <c r="D20">
        <v>2003</v>
      </c>
      <c r="E20">
        <v>35060011</v>
      </c>
      <c r="F20" t="s">
        <v>49</v>
      </c>
      <c r="G20" t="s">
        <v>50</v>
      </c>
      <c r="H20" t="s">
        <v>51</v>
      </c>
      <c r="I20" t="s">
        <v>52</v>
      </c>
      <c r="J20" t="s">
        <v>53</v>
      </c>
      <c r="K20">
        <v>332.99299999999999</v>
      </c>
      <c r="L20">
        <v>327.07</v>
      </c>
      <c r="M20" t="s">
        <v>422</v>
      </c>
      <c r="N20" t="s">
        <v>423</v>
      </c>
      <c r="O20" t="s">
        <v>424</v>
      </c>
      <c r="P20" t="s">
        <v>425</v>
      </c>
      <c r="Q20" t="s">
        <v>426</v>
      </c>
      <c r="R20" t="s">
        <v>427</v>
      </c>
      <c r="S20" t="s">
        <v>58</v>
      </c>
      <c r="T20" t="s">
        <v>428</v>
      </c>
      <c r="U20" t="s">
        <v>429</v>
      </c>
      <c r="V20" t="s">
        <v>430</v>
      </c>
      <c r="W20" t="s">
        <v>334</v>
      </c>
      <c r="X20" t="s">
        <v>354</v>
      </c>
      <c r="Y20" t="s">
        <v>431</v>
      </c>
      <c r="Z20" t="s">
        <v>63</v>
      </c>
      <c r="AA20" t="s">
        <v>432</v>
      </c>
      <c r="AB20" t="s">
        <v>433</v>
      </c>
      <c r="AC20" t="s">
        <v>340</v>
      </c>
      <c r="AD20" t="s">
        <v>338</v>
      </c>
      <c r="AE20" t="s">
        <v>434</v>
      </c>
      <c r="AF20" t="s">
        <v>63</v>
      </c>
      <c r="AG20" t="s">
        <v>435</v>
      </c>
      <c r="AH20" t="s">
        <v>63</v>
      </c>
      <c r="AI20" t="s">
        <v>436</v>
      </c>
      <c r="AJ20" t="s">
        <v>437</v>
      </c>
      <c r="AK20" t="s">
        <v>438</v>
      </c>
      <c r="AL20" t="s">
        <v>431</v>
      </c>
      <c r="AM20" t="s">
        <v>395</v>
      </c>
      <c r="AN20" t="s">
        <v>439</v>
      </c>
    </row>
    <row r="21" spans="1:41" x14ac:dyDescent="0.3">
      <c r="A21">
        <v>350600</v>
      </c>
      <c r="B21" t="s">
        <v>47</v>
      </c>
      <c r="C21" t="s">
        <v>48</v>
      </c>
      <c r="D21">
        <v>2002</v>
      </c>
      <c r="E21">
        <v>35060011</v>
      </c>
      <c r="F21" t="s">
        <v>49</v>
      </c>
      <c r="G21" t="s">
        <v>50</v>
      </c>
      <c r="H21" t="s">
        <v>51</v>
      </c>
      <c r="I21" t="s">
        <v>52</v>
      </c>
      <c r="J21" t="s">
        <v>53</v>
      </c>
      <c r="K21">
        <v>327.62599999999998</v>
      </c>
      <c r="L21">
        <v>321.798</v>
      </c>
      <c r="M21" t="s">
        <v>440</v>
      </c>
      <c r="N21" t="s">
        <v>441</v>
      </c>
      <c r="O21" t="s">
        <v>442</v>
      </c>
      <c r="P21" t="s">
        <v>443</v>
      </c>
      <c r="Q21" t="s">
        <v>444</v>
      </c>
      <c r="R21" t="s">
        <v>445</v>
      </c>
      <c r="S21" t="s">
        <v>58</v>
      </c>
      <c r="T21" t="s">
        <v>446</v>
      </c>
      <c r="U21" t="s">
        <v>447</v>
      </c>
      <c r="V21" t="s">
        <v>448</v>
      </c>
      <c r="W21" t="s">
        <v>449</v>
      </c>
      <c r="X21" t="s">
        <v>450</v>
      </c>
      <c r="Y21" t="s">
        <v>451</v>
      </c>
      <c r="Z21" t="s">
        <v>63</v>
      </c>
      <c r="AA21" t="s">
        <v>452</v>
      </c>
      <c r="AB21" t="s">
        <v>453</v>
      </c>
      <c r="AC21" t="s">
        <v>454</v>
      </c>
      <c r="AD21" t="s">
        <v>421</v>
      </c>
      <c r="AE21" t="s">
        <v>455</v>
      </c>
      <c r="AF21" t="s">
        <v>456</v>
      </c>
      <c r="AG21" t="s">
        <v>457</v>
      </c>
      <c r="AH21" t="s">
        <v>458</v>
      </c>
      <c r="AI21" t="s">
        <v>459</v>
      </c>
      <c r="AJ21" t="s">
        <v>460</v>
      </c>
      <c r="AK21" t="s">
        <v>461</v>
      </c>
      <c r="AL21" t="s">
        <v>462</v>
      </c>
      <c r="AM21" t="s">
        <v>453</v>
      </c>
      <c r="AN21" t="s">
        <v>463</v>
      </c>
    </row>
    <row r="22" spans="1:41" x14ac:dyDescent="0.3">
      <c r="A22">
        <v>350600</v>
      </c>
      <c r="B22" t="s">
        <v>47</v>
      </c>
      <c r="C22" t="s">
        <v>48</v>
      </c>
      <c r="D22">
        <v>2001</v>
      </c>
      <c r="E22">
        <v>35060011</v>
      </c>
      <c r="F22" t="s">
        <v>49</v>
      </c>
      <c r="G22" t="s">
        <v>50</v>
      </c>
      <c r="H22" t="s">
        <v>51</v>
      </c>
      <c r="I22" t="s">
        <v>52</v>
      </c>
      <c r="J22" t="s">
        <v>53</v>
      </c>
      <c r="K22">
        <v>322.55399999999997</v>
      </c>
      <c r="L22">
        <v>316.81700000000001</v>
      </c>
      <c r="M22" t="s">
        <v>464</v>
      </c>
      <c r="N22" t="s">
        <v>465</v>
      </c>
      <c r="O22" t="s">
        <v>466</v>
      </c>
      <c r="P22" t="s">
        <v>467</v>
      </c>
      <c r="Q22" t="s">
        <v>468</v>
      </c>
      <c r="R22" t="s">
        <v>469</v>
      </c>
      <c r="S22" t="s">
        <v>58</v>
      </c>
      <c r="T22" t="s">
        <v>470</v>
      </c>
      <c r="U22" t="s">
        <v>471</v>
      </c>
      <c r="V22" t="s">
        <v>472</v>
      </c>
      <c r="W22" t="s">
        <v>449</v>
      </c>
      <c r="X22" t="s">
        <v>473</v>
      </c>
      <c r="Y22" t="s">
        <v>474</v>
      </c>
      <c r="Z22" t="s">
        <v>63</v>
      </c>
      <c r="AA22" t="s">
        <v>475</v>
      </c>
      <c r="AB22" t="s">
        <v>358</v>
      </c>
      <c r="AC22" t="s">
        <v>301</v>
      </c>
      <c r="AD22" t="s">
        <v>395</v>
      </c>
      <c r="AE22" t="s">
        <v>476</v>
      </c>
      <c r="AF22" t="s">
        <v>477</v>
      </c>
      <c r="AG22" t="s">
        <v>478</v>
      </c>
      <c r="AH22" t="s">
        <v>479</v>
      </c>
      <c r="AI22" t="s">
        <v>480</v>
      </c>
      <c r="AJ22" t="s">
        <v>481</v>
      </c>
      <c r="AK22" t="s">
        <v>482</v>
      </c>
      <c r="AL22" t="s">
        <v>483</v>
      </c>
      <c r="AM22" t="s">
        <v>421</v>
      </c>
      <c r="AN22" t="s">
        <v>484</v>
      </c>
    </row>
    <row r="23" spans="1:41" x14ac:dyDescent="0.3">
      <c r="A23">
        <v>350600</v>
      </c>
      <c r="B23" t="s">
        <v>47</v>
      </c>
      <c r="C23" t="s">
        <v>48</v>
      </c>
      <c r="D23">
        <v>2000</v>
      </c>
      <c r="E23">
        <v>35060011</v>
      </c>
      <c r="F23" t="s">
        <v>49</v>
      </c>
      <c r="G23" t="s">
        <v>50</v>
      </c>
      <c r="H23" t="s">
        <v>51</v>
      </c>
      <c r="I23" t="s">
        <v>52</v>
      </c>
      <c r="J23" t="s">
        <v>53</v>
      </c>
      <c r="K23">
        <v>316.06400000000002</v>
      </c>
      <c r="L23">
        <v>310.44200000000001</v>
      </c>
      <c r="M23" t="s">
        <v>485</v>
      </c>
      <c r="N23" t="s">
        <v>486</v>
      </c>
      <c r="O23" t="s">
        <v>487</v>
      </c>
      <c r="P23" t="s">
        <v>488</v>
      </c>
      <c r="Q23" t="s">
        <v>489</v>
      </c>
      <c r="R23" t="s">
        <v>490</v>
      </c>
      <c r="S23" t="s">
        <v>58</v>
      </c>
      <c r="T23" t="s">
        <v>491</v>
      </c>
      <c r="U23" t="s">
        <v>492</v>
      </c>
      <c r="V23" t="s">
        <v>493</v>
      </c>
      <c r="W23" t="s">
        <v>494</v>
      </c>
      <c r="X23" t="s">
        <v>495</v>
      </c>
      <c r="Y23" t="s">
        <v>496</v>
      </c>
      <c r="Z23" t="s">
        <v>63</v>
      </c>
      <c r="AA23" t="s">
        <v>497</v>
      </c>
      <c r="AB23" t="s">
        <v>498</v>
      </c>
      <c r="AC23" t="s">
        <v>499</v>
      </c>
      <c r="AD23" t="s">
        <v>500</v>
      </c>
      <c r="AE23" t="s">
        <v>501</v>
      </c>
      <c r="AF23" t="s">
        <v>477</v>
      </c>
      <c r="AG23" t="s">
        <v>502</v>
      </c>
      <c r="AH23" t="s">
        <v>503</v>
      </c>
      <c r="AI23" t="s">
        <v>504</v>
      </c>
      <c r="AJ23" t="s">
        <v>505</v>
      </c>
      <c r="AK23" t="s">
        <v>506</v>
      </c>
      <c r="AL23" t="s">
        <v>507</v>
      </c>
      <c r="AM23" t="s">
        <v>508</v>
      </c>
    </row>
    <row r="24" spans="1:41" x14ac:dyDescent="0.3">
      <c r="A24">
        <v>350600</v>
      </c>
      <c r="B24" t="s">
        <v>47</v>
      </c>
      <c r="C24" t="s">
        <v>48</v>
      </c>
      <c r="D24">
        <v>1999</v>
      </c>
      <c r="E24">
        <v>35060011</v>
      </c>
      <c r="F24" t="s">
        <v>49</v>
      </c>
      <c r="G24" t="s">
        <v>50</v>
      </c>
      <c r="H24" t="s">
        <v>51</v>
      </c>
      <c r="I24" t="s">
        <v>52</v>
      </c>
      <c r="J24" t="s">
        <v>53</v>
      </c>
      <c r="K24">
        <v>313.67</v>
      </c>
      <c r="L24">
        <v>308.27100000000002</v>
      </c>
      <c r="M24" t="s">
        <v>509</v>
      </c>
      <c r="N24" t="s">
        <v>510</v>
      </c>
      <c r="O24" t="s">
        <v>511</v>
      </c>
      <c r="P24" t="s">
        <v>512</v>
      </c>
      <c r="Q24" t="s">
        <v>513</v>
      </c>
      <c r="R24" t="s">
        <v>514</v>
      </c>
      <c r="S24" t="s">
        <v>58</v>
      </c>
      <c r="T24" t="s">
        <v>515</v>
      </c>
      <c r="U24" t="s">
        <v>516</v>
      </c>
      <c r="V24" t="s">
        <v>517</v>
      </c>
      <c r="W24" t="s">
        <v>449</v>
      </c>
      <c r="X24" t="s">
        <v>518</v>
      </c>
      <c r="Y24" t="s">
        <v>519</v>
      </c>
      <c r="Z24" t="s">
        <v>63</v>
      </c>
      <c r="AA24" t="s">
        <v>520</v>
      </c>
      <c r="AB24" t="s">
        <v>521</v>
      </c>
      <c r="AC24" t="s">
        <v>522</v>
      </c>
      <c r="AD24" t="s">
        <v>523</v>
      </c>
      <c r="AE24" t="s">
        <v>524</v>
      </c>
      <c r="AF24" t="s">
        <v>477</v>
      </c>
      <c r="AG24" t="s">
        <v>525</v>
      </c>
      <c r="AH24" t="s">
        <v>526</v>
      </c>
      <c r="AI24" t="s">
        <v>527</v>
      </c>
      <c r="AJ24" t="s">
        <v>528</v>
      </c>
      <c r="AK24" t="s">
        <v>529</v>
      </c>
      <c r="AL24" t="s">
        <v>530</v>
      </c>
      <c r="AM24" t="s">
        <v>531</v>
      </c>
    </row>
    <row r="25" spans="1:41" x14ac:dyDescent="0.3">
      <c r="A25">
        <v>350600</v>
      </c>
      <c r="B25" t="s">
        <v>47</v>
      </c>
      <c r="C25" t="s">
        <v>48</v>
      </c>
      <c r="D25">
        <v>1998</v>
      </c>
      <c r="E25">
        <v>35060011</v>
      </c>
      <c r="F25" t="s">
        <v>49</v>
      </c>
      <c r="G25" t="s">
        <v>50</v>
      </c>
      <c r="H25" t="s">
        <v>51</v>
      </c>
      <c r="I25" t="s">
        <v>52</v>
      </c>
      <c r="J25" t="s">
        <v>53</v>
      </c>
      <c r="K25">
        <v>307.048</v>
      </c>
      <c r="L25">
        <v>301.76299999999998</v>
      </c>
      <c r="M25" t="s">
        <v>532</v>
      </c>
      <c r="N25" t="s">
        <v>533</v>
      </c>
      <c r="O25" t="s">
        <v>534</v>
      </c>
      <c r="P25" t="s">
        <v>535</v>
      </c>
      <c r="Q25" t="s">
        <v>536</v>
      </c>
      <c r="R25" t="s">
        <v>537</v>
      </c>
      <c r="S25" t="s">
        <v>58</v>
      </c>
      <c r="T25" t="s">
        <v>538</v>
      </c>
      <c r="U25" t="s">
        <v>539</v>
      </c>
      <c r="V25" t="s">
        <v>540</v>
      </c>
      <c r="W25" t="s">
        <v>494</v>
      </c>
      <c r="X25" t="s">
        <v>541</v>
      </c>
      <c r="Y25" t="s">
        <v>542</v>
      </c>
      <c r="Z25" t="s">
        <v>63</v>
      </c>
      <c r="AA25" t="s">
        <v>543</v>
      </c>
      <c r="AB25" t="s">
        <v>544</v>
      </c>
      <c r="AC25" t="s">
        <v>545</v>
      </c>
      <c r="AD25" t="s">
        <v>546</v>
      </c>
      <c r="AE25" t="s">
        <v>547</v>
      </c>
      <c r="AF25" t="s">
        <v>175</v>
      </c>
      <c r="AG25" t="s">
        <v>548</v>
      </c>
      <c r="AH25" t="s">
        <v>549</v>
      </c>
      <c r="AI25" t="s">
        <v>550</v>
      </c>
      <c r="AJ25" t="s">
        <v>551</v>
      </c>
      <c r="AK25" t="s">
        <v>552</v>
      </c>
      <c r="AL25" t="s">
        <v>553</v>
      </c>
      <c r="AM25" t="s">
        <v>531</v>
      </c>
    </row>
    <row r="26" spans="1:41" x14ac:dyDescent="0.3">
      <c r="A26">
        <v>350600</v>
      </c>
      <c r="B26" t="s">
        <v>47</v>
      </c>
      <c r="C26" t="s">
        <v>48</v>
      </c>
      <c r="D26">
        <v>1997</v>
      </c>
      <c r="E26">
        <v>35060011</v>
      </c>
      <c r="F26" t="s">
        <v>49</v>
      </c>
      <c r="G26" t="s">
        <v>50</v>
      </c>
      <c r="H26" t="s">
        <v>51</v>
      </c>
      <c r="I26" t="s">
        <v>52</v>
      </c>
      <c r="J26" t="s">
        <v>53</v>
      </c>
      <c r="K26">
        <v>300.40899999999999</v>
      </c>
      <c r="L26">
        <v>295.238</v>
      </c>
      <c r="M26" t="s">
        <v>554</v>
      </c>
      <c r="N26" t="s">
        <v>555</v>
      </c>
      <c r="O26" t="s">
        <v>556</v>
      </c>
      <c r="P26" t="s">
        <v>557</v>
      </c>
      <c r="Q26" t="s">
        <v>558</v>
      </c>
      <c r="R26" t="s">
        <v>559</v>
      </c>
      <c r="T26" t="s">
        <v>560</v>
      </c>
      <c r="U26" t="s">
        <v>561</v>
      </c>
      <c r="V26" t="s">
        <v>562</v>
      </c>
      <c r="W26" t="s">
        <v>563</v>
      </c>
      <c r="X26" t="s">
        <v>541</v>
      </c>
      <c r="Y26" t="s">
        <v>564</v>
      </c>
      <c r="Z26" t="s">
        <v>63</v>
      </c>
      <c r="AA26" t="s">
        <v>565</v>
      </c>
      <c r="AB26" t="s">
        <v>566</v>
      </c>
      <c r="AC26" t="s">
        <v>567</v>
      </c>
      <c r="AD26" t="s">
        <v>568</v>
      </c>
      <c r="AE26" t="s">
        <v>569</v>
      </c>
      <c r="AF26" t="s">
        <v>456</v>
      </c>
      <c r="AG26" t="s">
        <v>570</v>
      </c>
      <c r="AH26" t="s">
        <v>63</v>
      </c>
    </row>
    <row r="27" spans="1:41" x14ac:dyDescent="0.3">
      <c r="A27">
        <v>350600</v>
      </c>
      <c r="B27" t="s">
        <v>47</v>
      </c>
      <c r="C27" t="s">
        <v>48</v>
      </c>
      <c r="D27">
        <v>1996</v>
      </c>
      <c r="E27">
        <v>35060011</v>
      </c>
      <c r="F27" t="s">
        <v>49</v>
      </c>
      <c r="G27" t="s">
        <v>50</v>
      </c>
      <c r="H27" t="s">
        <v>51</v>
      </c>
      <c r="I27" t="s">
        <v>52</v>
      </c>
      <c r="J27" t="s">
        <v>53</v>
      </c>
      <c r="K27">
        <v>292.56599999999997</v>
      </c>
      <c r="L27">
        <v>287.52999999999997</v>
      </c>
      <c r="M27" t="s">
        <v>571</v>
      </c>
      <c r="N27" t="s">
        <v>572</v>
      </c>
      <c r="O27" t="s">
        <v>573</v>
      </c>
      <c r="P27" t="s">
        <v>574</v>
      </c>
      <c r="Q27" t="s">
        <v>575</v>
      </c>
      <c r="R27" t="s">
        <v>576</v>
      </c>
      <c r="T27" t="s">
        <v>577</v>
      </c>
      <c r="U27" t="s">
        <v>578</v>
      </c>
      <c r="V27" t="s">
        <v>579</v>
      </c>
      <c r="W27" t="s">
        <v>563</v>
      </c>
      <c r="X27" t="s">
        <v>580</v>
      </c>
      <c r="Y27" t="s">
        <v>581</v>
      </c>
      <c r="AA27" t="s">
        <v>582</v>
      </c>
      <c r="AB27" t="s">
        <v>583</v>
      </c>
      <c r="AC27" t="s">
        <v>567</v>
      </c>
      <c r="AD27" t="s">
        <v>584</v>
      </c>
      <c r="AE27" t="s">
        <v>585</v>
      </c>
      <c r="AG27" t="s">
        <v>586</v>
      </c>
      <c r="AH27" t="s">
        <v>587</v>
      </c>
    </row>
    <row r="28" spans="1:41" x14ac:dyDescent="0.3">
      <c r="A28" t="s">
        <v>588</v>
      </c>
      <c r="B28" t="s">
        <v>589</v>
      </c>
      <c r="C28" t="s">
        <v>589</v>
      </c>
      <c r="D28" t="s">
        <v>589</v>
      </c>
      <c r="E28" t="s">
        <v>589</v>
      </c>
      <c r="F28" t="s">
        <v>589</v>
      </c>
      <c r="G28" t="s">
        <v>589</v>
      </c>
      <c r="H28" t="s">
        <v>589</v>
      </c>
      <c r="I28" t="s">
        <v>589</v>
      </c>
      <c r="J28" t="s">
        <v>589</v>
      </c>
      <c r="M28" t="s">
        <v>590</v>
      </c>
      <c r="N28" t="s">
        <v>591</v>
      </c>
      <c r="O28" t="s">
        <v>592</v>
      </c>
      <c r="P28" t="s">
        <v>593</v>
      </c>
      <c r="Q28" t="s">
        <v>594</v>
      </c>
      <c r="R28" t="s">
        <v>595</v>
      </c>
      <c r="S28">
        <v>0</v>
      </c>
      <c r="T28" t="s">
        <v>596</v>
      </c>
      <c r="U28" t="s">
        <v>597</v>
      </c>
      <c r="V28" t="s">
        <v>598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4BEF-6B4A-4984-B5D0-AD12B54C2DAE}">
  <dimension ref="A1:G23"/>
  <sheetViews>
    <sheetView workbookViewId="0">
      <selection activeCell="C2" sqref="C2"/>
    </sheetView>
  </sheetViews>
  <sheetFormatPr defaultRowHeight="14.4" x14ac:dyDescent="0.3"/>
  <cols>
    <col min="2" max="2" width="15.6640625" bestFit="1" customWidth="1"/>
    <col min="3" max="3" width="10.5546875" bestFit="1" customWidth="1"/>
    <col min="4" max="4" width="9.88671875" bestFit="1" customWidth="1"/>
    <col min="5" max="5" width="14.33203125" bestFit="1" customWidth="1"/>
  </cols>
  <sheetData>
    <row r="1" spans="1:7" x14ac:dyDescent="0.3">
      <c r="A1" t="s">
        <v>600</v>
      </c>
      <c r="B1" s="8">
        <f>AVERAGE(data_uban_supply!N2:N4)</f>
        <v>74905466.840000004</v>
      </c>
    </row>
    <row r="2" spans="1:7" x14ac:dyDescent="0.3">
      <c r="A2" t="s">
        <v>605</v>
      </c>
      <c r="B2" s="9">
        <v>1607040</v>
      </c>
    </row>
    <row r="3" spans="1:7" x14ac:dyDescent="0.3">
      <c r="A3" t="s">
        <v>606</v>
      </c>
      <c r="B3">
        <f>B2/86400</f>
        <v>18.600000000000001</v>
      </c>
    </row>
    <row r="4" spans="1:7" x14ac:dyDescent="0.3">
      <c r="A4" t="s">
        <v>607</v>
      </c>
      <c r="B4" s="9">
        <v>5.3949999999999996</v>
      </c>
    </row>
    <row r="6" spans="1:7" x14ac:dyDescent="0.3">
      <c r="A6" s="7" t="s">
        <v>599</v>
      </c>
      <c r="B6" s="7" t="s">
        <v>601</v>
      </c>
      <c r="C6" s="7" t="s">
        <v>602</v>
      </c>
      <c r="D6" s="7" t="s">
        <v>603</v>
      </c>
      <c r="E6" s="10" t="s">
        <v>604</v>
      </c>
      <c r="F6" s="10" t="s">
        <v>605</v>
      </c>
    </row>
    <row r="7" spans="1:7" x14ac:dyDescent="0.3">
      <c r="A7">
        <v>1E-3</v>
      </c>
      <c r="B7" s="6">
        <f>$B$1*A7</f>
        <v>74905.466840000008</v>
      </c>
      <c r="C7" s="6">
        <f>B7/$B$4</f>
        <v>13884.23852455978</v>
      </c>
      <c r="D7" s="6">
        <f t="shared" ref="D7:D20" si="0">$C$21-C7</f>
        <v>13884238.524559779</v>
      </c>
      <c r="E7" s="11">
        <f>C7*-1</f>
        <v>-13884.23852455978</v>
      </c>
      <c r="F7" s="9">
        <f>A7*$B$2</f>
        <v>1607.04</v>
      </c>
      <c r="G7">
        <f>A7*0.6*86400*365</f>
        <v>18921.599999999999</v>
      </c>
    </row>
    <row r="8" spans="1:7" x14ac:dyDescent="0.3">
      <c r="A8">
        <v>0.05</v>
      </c>
      <c r="B8" s="6">
        <f t="shared" ref="B8:B21" si="1">$B$1*A8</f>
        <v>3745273.3420000002</v>
      </c>
      <c r="C8" s="6">
        <f t="shared" ref="C8:C21" si="2">B8/$B$4</f>
        <v>694211.92622798902</v>
      </c>
      <c r="D8" s="6">
        <f t="shared" si="0"/>
        <v>13203910.83685635</v>
      </c>
      <c r="E8" s="11">
        <f t="shared" ref="E8:E21" si="3">C8*-1</f>
        <v>-694211.92622798902</v>
      </c>
      <c r="F8" s="9">
        <f t="shared" ref="F8:F21" si="4">A8*$B$2</f>
        <v>80352</v>
      </c>
      <c r="G8">
        <f t="shared" ref="G8:G21" si="5">A8*0.6*86400*365</f>
        <v>946080</v>
      </c>
    </row>
    <row r="9" spans="1:7" x14ac:dyDescent="0.3">
      <c r="A9">
        <v>0.1</v>
      </c>
      <c r="B9" s="6">
        <f t="shared" si="1"/>
        <v>7490546.6840000004</v>
      </c>
      <c r="C9" s="6">
        <f t="shared" si="2"/>
        <v>1388423.852455978</v>
      </c>
      <c r="D9" s="6">
        <f t="shared" si="0"/>
        <v>12509698.910628362</v>
      </c>
      <c r="E9" s="11">
        <f t="shared" si="3"/>
        <v>-1388423.852455978</v>
      </c>
      <c r="F9" s="9">
        <f t="shared" si="4"/>
        <v>160704</v>
      </c>
      <c r="G9">
        <f t="shared" si="5"/>
        <v>1892160</v>
      </c>
    </row>
    <row r="10" spans="1:7" x14ac:dyDescent="0.3">
      <c r="A10">
        <v>0.2</v>
      </c>
      <c r="B10" s="6">
        <f t="shared" si="1"/>
        <v>14981093.368000001</v>
      </c>
      <c r="C10" s="6">
        <f t="shared" si="2"/>
        <v>2776847.7049119561</v>
      </c>
      <c r="D10" s="6">
        <f t="shared" si="0"/>
        <v>11121275.058172382</v>
      </c>
      <c r="E10" s="11">
        <f t="shared" si="3"/>
        <v>-2776847.7049119561</v>
      </c>
      <c r="F10" s="9">
        <f t="shared" si="4"/>
        <v>321408</v>
      </c>
      <c r="G10">
        <f t="shared" si="5"/>
        <v>3784320</v>
      </c>
    </row>
    <row r="11" spans="1:7" x14ac:dyDescent="0.3">
      <c r="A11">
        <v>0.3</v>
      </c>
      <c r="B11" s="6">
        <f t="shared" si="1"/>
        <v>22471640.052000001</v>
      </c>
      <c r="C11" s="6">
        <f t="shared" si="2"/>
        <v>4165271.5573679339</v>
      </c>
      <c r="D11" s="6">
        <f t="shared" si="0"/>
        <v>9732851.2057164051</v>
      </c>
      <c r="E11" s="11">
        <f t="shared" si="3"/>
        <v>-4165271.5573679339</v>
      </c>
      <c r="F11" s="9">
        <f t="shared" si="4"/>
        <v>482112</v>
      </c>
      <c r="G11">
        <f t="shared" si="5"/>
        <v>5676480</v>
      </c>
    </row>
    <row r="12" spans="1:7" x14ac:dyDescent="0.3">
      <c r="A12">
        <v>0.4</v>
      </c>
      <c r="B12" s="6">
        <f t="shared" si="1"/>
        <v>29962186.736000001</v>
      </c>
      <c r="C12" s="6">
        <f t="shared" si="2"/>
        <v>5553695.4098239122</v>
      </c>
      <c r="D12" s="6">
        <f t="shared" si="0"/>
        <v>8344427.3532604268</v>
      </c>
      <c r="E12" s="11">
        <f t="shared" si="3"/>
        <v>-5553695.4098239122</v>
      </c>
      <c r="F12" s="9">
        <f t="shared" si="4"/>
        <v>642816</v>
      </c>
      <c r="G12">
        <f t="shared" si="5"/>
        <v>7568640</v>
      </c>
    </row>
    <row r="13" spans="1:7" x14ac:dyDescent="0.3">
      <c r="A13">
        <v>0.5</v>
      </c>
      <c r="B13" s="6">
        <f t="shared" si="1"/>
        <v>37452733.420000002</v>
      </c>
      <c r="C13" s="6">
        <f t="shared" si="2"/>
        <v>6942119.2622798895</v>
      </c>
      <c r="D13" s="6">
        <f t="shared" si="0"/>
        <v>6956003.5008044494</v>
      </c>
      <c r="E13" s="11">
        <f t="shared" si="3"/>
        <v>-6942119.2622798895</v>
      </c>
      <c r="F13" s="9">
        <f t="shared" si="4"/>
        <v>803520</v>
      </c>
      <c r="G13">
        <f t="shared" si="5"/>
        <v>9460800</v>
      </c>
    </row>
    <row r="14" spans="1:7" x14ac:dyDescent="0.3">
      <c r="A14">
        <v>0.6</v>
      </c>
      <c r="B14" s="6">
        <f t="shared" si="1"/>
        <v>44943280.104000002</v>
      </c>
      <c r="C14" s="6">
        <f t="shared" si="2"/>
        <v>8330543.1147358678</v>
      </c>
      <c r="D14" s="6">
        <f t="shared" si="0"/>
        <v>5567579.6483484711</v>
      </c>
      <c r="E14" s="11">
        <f t="shared" si="3"/>
        <v>-8330543.1147358678</v>
      </c>
      <c r="F14" s="9">
        <f t="shared" si="4"/>
        <v>964224</v>
      </c>
      <c r="G14">
        <f t="shared" si="5"/>
        <v>11352960</v>
      </c>
    </row>
    <row r="15" spans="1:7" x14ac:dyDescent="0.3">
      <c r="A15">
        <v>0.7</v>
      </c>
      <c r="B15" s="6">
        <f t="shared" si="1"/>
        <v>52433826.788000003</v>
      </c>
      <c r="C15" s="6">
        <f t="shared" si="2"/>
        <v>9718966.9671918452</v>
      </c>
      <c r="D15" s="6">
        <f t="shared" si="0"/>
        <v>4179155.7958924938</v>
      </c>
      <c r="E15" s="11">
        <f t="shared" si="3"/>
        <v>-9718966.9671918452</v>
      </c>
      <c r="F15" s="9">
        <f t="shared" si="4"/>
        <v>1124928</v>
      </c>
      <c r="G15">
        <f t="shared" si="5"/>
        <v>13245120</v>
      </c>
    </row>
    <row r="16" spans="1:7" x14ac:dyDescent="0.3">
      <c r="A16">
        <v>0.8</v>
      </c>
      <c r="B16" s="6">
        <f t="shared" si="1"/>
        <v>59924373.472000003</v>
      </c>
      <c r="C16" s="6">
        <f t="shared" si="2"/>
        <v>11107390.819647824</v>
      </c>
      <c r="D16" s="6">
        <f t="shared" si="0"/>
        <v>2790731.9434365146</v>
      </c>
      <c r="E16" s="11">
        <f t="shared" si="3"/>
        <v>-11107390.819647824</v>
      </c>
      <c r="F16" s="9">
        <f t="shared" si="4"/>
        <v>1285632</v>
      </c>
      <c r="G16">
        <f t="shared" si="5"/>
        <v>15137280</v>
      </c>
    </row>
    <row r="17" spans="1:7" x14ac:dyDescent="0.3">
      <c r="A17">
        <v>0.9</v>
      </c>
      <c r="B17" s="6">
        <f t="shared" si="1"/>
        <v>67414920.156000003</v>
      </c>
      <c r="C17" s="6">
        <f t="shared" si="2"/>
        <v>12495814.672103802</v>
      </c>
      <c r="D17" s="6">
        <f t="shared" si="0"/>
        <v>1402308.0909805372</v>
      </c>
      <c r="E17" s="11">
        <f t="shared" si="3"/>
        <v>-12495814.672103802</v>
      </c>
      <c r="F17" s="9">
        <f t="shared" si="4"/>
        <v>1446336</v>
      </c>
      <c r="G17">
        <f t="shared" si="5"/>
        <v>17029440</v>
      </c>
    </row>
    <row r="18" spans="1:7" x14ac:dyDescent="0.3">
      <c r="A18">
        <v>0.95</v>
      </c>
      <c r="B18" s="6">
        <f t="shared" si="1"/>
        <v>71160193.497999996</v>
      </c>
      <c r="C18" s="6">
        <f t="shared" si="2"/>
        <v>13190026.598331789</v>
      </c>
      <c r="D18" s="6">
        <f t="shared" si="0"/>
        <v>708096.16475255042</v>
      </c>
      <c r="E18" s="11">
        <f t="shared" si="3"/>
        <v>-13190026.598331789</v>
      </c>
      <c r="F18" s="9">
        <f t="shared" si="4"/>
        <v>1526688</v>
      </c>
      <c r="G18">
        <f t="shared" si="5"/>
        <v>17975519.999999996</v>
      </c>
    </row>
    <row r="19" spans="1:7" x14ac:dyDescent="0.3">
      <c r="A19">
        <v>0.98</v>
      </c>
      <c r="B19" s="6">
        <f t="shared" si="1"/>
        <v>73407357.503200009</v>
      </c>
      <c r="C19" s="6">
        <f t="shared" si="2"/>
        <v>13606553.754068585</v>
      </c>
      <c r="D19" s="6">
        <f t="shared" si="0"/>
        <v>291569.00901575387</v>
      </c>
      <c r="E19" s="11">
        <f t="shared" si="3"/>
        <v>-13606553.754068585</v>
      </c>
      <c r="F19" s="9">
        <f t="shared" si="4"/>
        <v>1574899.2</v>
      </c>
      <c r="G19">
        <f t="shared" si="5"/>
        <v>18543168</v>
      </c>
    </row>
    <row r="20" spans="1:7" x14ac:dyDescent="0.3">
      <c r="A20">
        <v>1</v>
      </c>
      <c r="B20" s="6">
        <f t="shared" si="1"/>
        <v>74905466.840000004</v>
      </c>
      <c r="C20" s="6">
        <f t="shared" si="2"/>
        <v>13884238.524559779</v>
      </c>
      <c r="D20" s="6">
        <f t="shared" si="0"/>
        <v>13884.238524559885</v>
      </c>
      <c r="E20" s="11">
        <f t="shared" si="3"/>
        <v>-13884238.524559779</v>
      </c>
      <c r="F20" s="9">
        <f t="shared" si="4"/>
        <v>1607040</v>
      </c>
      <c r="G20">
        <f t="shared" si="5"/>
        <v>18921600</v>
      </c>
    </row>
    <row r="21" spans="1:7" x14ac:dyDescent="0.3">
      <c r="A21">
        <v>1.0009999999999999</v>
      </c>
      <c r="B21" s="6">
        <f t="shared" si="1"/>
        <v>74980372.306840003</v>
      </c>
      <c r="C21" s="6">
        <f t="shared" si="2"/>
        <v>13898122.763084339</v>
      </c>
      <c r="D21" s="6">
        <v>0</v>
      </c>
      <c r="E21" s="11">
        <f t="shared" si="3"/>
        <v>-13898122.763084339</v>
      </c>
      <c r="F21" s="9">
        <f t="shared" si="4"/>
        <v>1608647.0399999998</v>
      </c>
      <c r="G21">
        <f t="shared" si="5"/>
        <v>18940521.599999998</v>
      </c>
    </row>
    <row r="23" spans="1:7" x14ac:dyDescent="0.3">
      <c r="F23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3E3A0-20FF-4801-8FF9-244B9D254F17}">
  <dimension ref="A1:R32"/>
  <sheetViews>
    <sheetView zoomScaleNormal="100" workbookViewId="0">
      <selection activeCell="C19" sqref="C19"/>
    </sheetView>
  </sheetViews>
  <sheetFormatPr defaultRowHeight="14.4" x14ac:dyDescent="0.3"/>
  <cols>
    <col min="2" max="2" width="23.5546875" customWidth="1"/>
    <col min="3" max="3" width="10.6640625" bestFit="1" customWidth="1"/>
    <col min="7" max="7" width="9.6640625" customWidth="1"/>
    <col min="8" max="9" width="11.33203125" customWidth="1"/>
    <col min="17" max="17" width="9.5546875" bestFit="1" customWidth="1"/>
  </cols>
  <sheetData>
    <row r="1" spans="1:18" x14ac:dyDescent="0.3">
      <c r="A1" t="s">
        <v>3</v>
      </c>
      <c r="B1" t="s">
        <v>5</v>
      </c>
      <c r="C1" t="s">
        <v>611</v>
      </c>
      <c r="F1" s="18" t="s">
        <v>620</v>
      </c>
      <c r="G1" s="18"/>
      <c r="H1" s="18"/>
      <c r="I1" s="18"/>
      <c r="J1" s="18"/>
      <c r="K1" s="18"/>
    </row>
    <row r="2" spans="1:18" x14ac:dyDescent="0.3">
      <c r="A2">
        <v>2010</v>
      </c>
      <c r="B2">
        <v>79.040000000000006</v>
      </c>
      <c r="F2" s="12" t="s">
        <v>613</v>
      </c>
      <c r="G2" s="13" t="s">
        <v>614</v>
      </c>
      <c r="H2" s="12" t="s">
        <v>615</v>
      </c>
      <c r="I2" s="12" t="s">
        <v>616</v>
      </c>
      <c r="J2" s="12" t="s">
        <v>617</v>
      </c>
      <c r="K2" s="12" t="s">
        <v>618</v>
      </c>
      <c r="M2" s="12" t="s">
        <v>632</v>
      </c>
      <c r="O2" s="12" t="s">
        <v>633</v>
      </c>
      <c r="P2" s="12" t="s">
        <v>634</v>
      </c>
      <c r="Q2" s="12" t="s">
        <v>613</v>
      </c>
      <c r="R2" s="12" t="s">
        <v>635</v>
      </c>
    </row>
    <row r="3" spans="1:18" x14ac:dyDescent="0.3">
      <c r="A3">
        <v>2011</v>
      </c>
      <c r="B3">
        <v>76.45</v>
      </c>
      <c r="F3">
        <v>0.01</v>
      </c>
      <c r="G3" s="1">
        <f t="shared" ref="G3:G14" si="0">1-F3</f>
        <v>0.99</v>
      </c>
      <c r="H3">
        <f>F3*1.2</f>
        <v>1.2E-2</v>
      </c>
      <c r="I3">
        <v>0.01</v>
      </c>
      <c r="J3">
        <v>3</v>
      </c>
      <c r="K3" s="6">
        <f>J3*I3*$B$24</f>
        <v>0.72289156626506024</v>
      </c>
      <c r="M3">
        <f>-1.2*(1-F3)+1</f>
        <v>-0.18799999999999994</v>
      </c>
      <c r="O3">
        <v>7</v>
      </c>
      <c r="P3">
        <v>1</v>
      </c>
      <c r="Q3" s="14">
        <f>P3/O3</f>
        <v>0.14285714285714285</v>
      </c>
    </row>
    <row r="4" spans="1:18" x14ac:dyDescent="0.3">
      <c r="A4">
        <v>2012</v>
      </c>
      <c r="B4">
        <v>74.3</v>
      </c>
      <c r="F4" s="9">
        <v>0.05</v>
      </c>
      <c r="G4" s="1">
        <f t="shared" si="0"/>
        <v>0.95</v>
      </c>
      <c r="H4">
        <f t="shared" ref="H4:H14" si="1">F4*1.2</f>
        <v>0.06</v>
      </c>
      <c r="I4">
        <v>0.01</v>
      </c>
      <c r="J4">
        <v>3</v>
      </c>
      <c r="K4" s="6">
        <f t="shared" ref="K4:K15" si="2">J4*I4*$B$24</f>
        <v>0.72289156626506024</v>
      </c>
      <c r="M4" s="9">
        <f t="shared" ref="M4:M15" si="3">-1.2*(1-F4)+1</f>
        <v>-0.1399999999999999</v>
      </c>
      <c r="O4">
        <v>7</v>
      </c>
      <c r="P4">
        <v>2</v>
      </c>
      <c r="Q4" s="14">
        <f t="shared" ref="Q4:Q9" si="4">P4/O4</f>
        <v>0.2857142857142857</v>
      </c>
    </row>
    <row r="5" spans="1:18" x14ac:dyDescent="0.3">
      <c r="A5">
        <v>2013</v>
      </c>
      <c r="B5">
        <v>75.34</v>
      </c>
      <c r="F5">
        <v>0.1</v>
      </c>
      <c r="G5" s="1">
        <f t="shared" si="0"/>
        <v>0.9</v>
      </c>
      <c r="H5">
        <f t="shared" si="1"/>
        <v>0.12</v>
      </c>
      <c r="I5">
        <v>0.01</v>
      </c>
      <c r="J5">
        <v>3</v>
      </c>
      <c r="K5" s="6">
        <f t="shared" si="2"/>
        <v>0.72289156626506024</v>
      </c>
      <c r="M5">
        <f t="shared" si="3"/>
        <v>-8.0000000000000071E-2</v>
      </c>
      <c r="O5">
        <v>7</v>
      </c>
      <c r="P5">
        <v>3</v>
      </c>
      <c r="Q5" s="14">
        <f t="shared" si="4"/>
        <v>0.42857142857142855</v>
      </c>
    </row>
    <row r="6" spans="1:18" x14ac:dyDescent="0.3">
      <c r="A6">
        <v>2014</v>
      </c>
      <c r="B6">
        <v>70.650000000000006</v>
      </c>
      <c r="F6">
        <v>0.2</v>
      </c>
      <c r="G6" s="1">
        <f t="shared" si="0"/>
        <v>0.8</v>
      </c>
      <c r="H6">
        <f t="shared" si="1"/>
        <v>0.24</v>
      </c>
      <c r="I6">
        <f>$B$18-(N6*$B$18)</f>
        <v>3</v>
      </c>
      <c r="J6">
        <v>3</v>
      </c>
      <c r="K6" s="6">
        <f t="shared" si="2"/>
        <v>216.86746987951807</v>
      </c>
      <c r="M6">
        <f t="shared" si="3"/>
        <v>4.0000000000000036E-2</v>
      </c>
      <c r="N6">
        <f>1-M6</f>
        <v>0.96</v>
      </c>
      <c r="O6">
        <v>7</v>
      </c>
      <c r="P6">
        <v>4</v>
      </c>
      <c r="Q6" s="14">
        <f t="shared" si="4"/>
        <v>0.5714285714285714</v>
      </c>
    </row>
    <row r="7" spans="1:18" x14ac:dyDescent="0.3">
      <c r="A7">
        <v>2015</v>
      </c>
      <c r="B7">
        <v>74.2</v>
      </c>
      <c r="F7">
        <v>0.3</v>
      </c>
      <c r="G7" s="1">
        <f t="shared" si="0"/>
        <v>0.7</v>
      </c>
      <c r="H7">
        <f t="shared" si="1"/>
        <v>0.36</v>
      </c>
      <c r="I7">
        <f t="shared" ref="I7:I15" si="5">$B$18-(N7*$B$18)</f>
        <v>12</v>
      </c>
      <c r="J7">
        <v>3</v>
      </c>
      <c r="K7" s="6">
        <f t="shared" si="2"/>
        <v>867.46987951807228</v>
      </c>
      <c r="M7">
        <f t="shared" si="3"/>
        <v>0.16000000000000003</v>
      </c>
      <c r="N7">
        <f t="shared" ref="N7:N15" si="6">1-M7</f>
        <v>0.84</v>
      </c>
      <c r="O7">
        <v>7</v>
      </c>
      <c r="P7">
        <v>5</v>
      </c>
      <c r="Q7" s="14">
        <f t="shared" si="4"/>
        <v>0.7142857142857143</v>
      </c>
    </row>
    <row r="8" spans="1:18" x14ac:dyDescent="0.3">
      <c r="A8">
        <v>2016</v>
      </c>
      <c r="B8">
        <v>75.180000000000007</v>
      </c>
      <c r="F8">
        <v>0.4</v>
      </c>
      <c r="G8" s="1">
        <f t="shared" si="0"/>
        <v>0.6</v>
      </c>
      <c r="H8">
        <f t="shared" si="1"/>
        <v>0.48</v>
      </c>
      <c r="I8">
        <f t="shared" si="5"/>
        <v>21</v>
      </c>
      <c r="J8">
        <v>3</v>
      </c>
      <c r="K8" s="6">
        <f t="shared" si="2"/>
        <v>1518.0722891566265</v>
      </c>
      <c r="M8">
        <f t="shared" si="3"/>
        <v>0.28000000000000003</v>
      </c>
      <c r="N8">
        <f t="shared" si="6"/>
        <v>0.72</v>
      </c>
      <c r="O8">
        <v>7</v>
      </c>
      <c r="P8">
        <v>6</v>
      </c>
      <c r="Q8" s="14">
        <f t="shared" si="4"/>
        <v>0.8571428571428571</v>
      </c>
    </row>
    <row r="9" spans="1:18" x14ac:dyDescent="0.3">
      <c r="A9">
        <v>2017</v>
      </c>
      <c r="B9">
        <v>74.459999999999994</v>
      </c>
      <c r="F9">
        <v>0.5</v>
      </c>
      <c r="G9" s="1">
        <f t="shared" si="0"/>
        <v>0.5</v>
      </c>
      <c r="H9">
        <f t="shared" si="1"/>
        <v>0.6</v>
      </c>
      <c r="I9">
        <f t="shared" si="5"/>
        <v>30</v>
      </c>
      <c r="J9">
        <v>3</v>
      </c>
      <c r="K9" s="6">
        <f t="shared" si="2"/>
        <v>2168.674698795181</v>
      </c>
      <c r="M9">
        <f t="shared" si="3"/>
        <v>0.4</v>
      </c>
      <c r="N9">
        <f t="shared" si="6"/>
        <v>0.6</v>
      </c>
      <c r="O9">
        <v>7</v>
      </c>
      <c r="P9">
        <v>7</v>
      </c>
      <c r="Q9" s="14">
        <f t="shared" si="4"/>
        <v>1</v>
      </c>
    </row>
    <row r="10" spans="1:18" x14ac:dyDescent="0.3">
      <c r="A10">
        <v>2018</v>
      </c>
      <c r="B10">
        <v>74.58</v>
      </c>
      <c r="F10">
        <v>0.6</v>
      </c>
      <c r="G10" s="1">
        <f t="shared" si="0"/>
        <v>0.4</v>
      </c>
      <c r="H10">
        <f t="shared" si="1"/>
        <v>0.72</v>
      </c>
      <c r="I10">
        <f t="shared" si="5"/>
        <v>39</v>
      </c>
      <c r="J10">
        <v>3</v>
      </c>
      <c r="K10" s="6">
        <f t="shared" si="2"/>
        <v>2819.2771084337351</v>
      </c>
      <c r="M10">
        <f t="shared" si="3"/>
        <v>0.52</v>
      </c>
      <c r="N10">
        <f t="shared" si="6"/>
        <v>0.48</v>
      </c>
    </row>
    <row r="11" spans="1:18" x14ac:dyDescent="0.3">
      <c r="A11">
        <v>2019</v>
      </c>
      <c r="B11">
        <v>74.66</v>
      </c>
      <c r="F11">
        <v>0.7</v>
      </c>
      <c r="G11" s="1">
        <f t="shared" si="0"/>
        <v>0.30000000000000004</v>
      </c>
      <c r="H11">
        <f t="shared" si="1"/>
        <v>0.84</v>
      </c>
      <c r="I11">
        <f t="shared" si="5"/>
        <v>47.999999999999993</v>
      </c>
      <c r="J11">
        <v>3</v>
      </c>
      <c r="K11" s="6">
        <f t="shared" si="2"/>
        <v>3469.8795180722886</v>
      </c>
      <c r="M11">
        <f t="shared" si="3"/>
        <v>0.6399999999999999</v>
      </c>
      <c r="N11">
        <f t="shared" si="6"/>
        <v>0.3600000000000001</v>
      </c>
    </row>
    <row r="12" spans="1:18" x14ac:dyDescent="0.3">
      <c r="A12">
        <v>2020</v>
      </c>
      <c r="B12">
        <v>75.599999999999994</v>
      </c>
      <c r="F12">
        <v>0.8</v>
      </c>
      <c r="G12" s="1">
        <f t="shared" si="0"/>
        <v>0.19999999999999996</v>
      </c>
      <c r="H12">
        <f t="shared" si="1"/>
        <v>0.96</v>
      </c>
      <c r="I12">
        <f t="shared" si="5"/>
        <v>57</v>
      </c>
      <c r="J12">
        <v>3</v>
      </c>
      <c r="K12" s="6">
        <f t="shared" si="2"/>
        <v>4120.4819277108436</v>
      </c>
      <c r="M12">
        <f t="shared" si="3"/>
        <v>0.76</v>
      </c>
      <c r="N12">
        <f t="shared" si="6"/>
        <v>0.24</v>
      </c>
    </row>
    <row r="13" spans="1:18" x14ac:dyDescent="0.3">
      <c r="A13">
        <v>2021</v>
      </c>
      <c r="B13">
        <v>71.77</v>
      </c>
      <c r="F13">
        <v>0.9</v>
      </c>
      <c r="G13" s="1">
        <f t="shared" si="0"/>
        <v>9.9999999999999978E-2</v>
      </c>
      <c r="H13">
        <f t="shared" si="1"/>
        <v>1.08</v>
      </c>
      <c r="I13">
        <f t="shared" si="5"/>
        <v>66</v>
      </c>
      <c r="J13">
        <v>3</v>
      </c>
      <c r="K13" s="6">
        <f t="shared" si="2"/>
        <v>4771.0843373493981</v>
      </c>
      <c r="M13">
        <f t="shared" si="3"/>
        <v>0.88</v>
      </c>
      <c r="N13">
        <f t="shared" si="6"/>
        <v>0.12</v>
      </c>
    </row>
    <row r="14" spans="1:18" x14ac:dyDescent="0.3">
      <c r="F14">
        <v>0.95</v>
      </c>
      <c r="G14" s="1">
        <f t="shared" si="0"/>
        <v>5.0000000000000044E-2</v>
      </c>
      <c r="H14">
        <f t="shared" si="1"/>
        <v>1.1399999999999999</v>
      </c>
      <c r="I14">
        <f t="shared" si="5"/>
        <v>70.5</v>
      </c>
      <c r="J14">
        <v>3</v>
      </c>
      <c r="K14" s="6">
        <f t="shared" si="2"/>
        <v>5096.3855421686749</v>
      </c>
      <c r="M14">
        <f t="shared" si="3"/>
        <v>0.94</v>
      </c>
      <c r="N14">
        <f t="shared" si="6"/>
        <v>6.0000000000000053E-2</v>
      </c>
    </row>
    <row r="15" spans="1:18" x14ac:dyDescent="0.3">
      <c r="A15" t="s">
        <v>1</v>
      </c>
      <c r="B15">
        <f>MIN(B2:B13)</f>
        <v>70.650000000000006</v>
      </c>
      <c r="C15">
        <v>25</v>
      </c>
      <c r="F15">
        <v>1</v>
      </c>
      <c r="G15" s="1">
        <f>1-F15</f>
        <v>0</v>
      </c>
      <c r="H15">
        <f>F15*1.2</f>
        <v>1.2</v>
      </c>
      <c r="I15">
        <f t="shared" si="5"/>
        <v>75</v>
      </c>
      <c r="J15">
        <v>3</v>
      </c>
      <c r="K15" s="6">
        <f t="shared" si="2"/>
        <v>5421.6867469879517</v>
      </c>
      <c r="M15">
        <f t="shared" si="3"/>
        <v>1</v>
      </c>
      <c r="N15">
        <f t="shared" si="6"/>
        <v>0</v>
      </c>
    </row>
    <row r="16" spans="1:18" x14ac:dyDescent="0.3">
      <c r="A16" t="s">
        <v>2</v>
      </c>
      <c r="B16">
        <f>MAX(B2:B13)</f>
        <v>79.040000000000006</v>
      </c>
      <c r="C16">
        <v>40</v>
      </c>
    </row>
    <row r="17" spans="1:14" x14ac:dyDescent="0.3">
      <c r="A17" s="2" t="s">
        <v>631</v>
      </c>
      <c r="B17" s="3">
        <f>AVERAGE(B2:B13)</f>
        <v>74.685833333333335</v>
      </c>
      <c r="C17" s="3">
        <f>AVERAGE(C15:C16)</f>
        <v>32.5</v>
      </c>
    </row>
    <row r="18" spans="1:14" x14ac:dyDescent="0.3">
      <c r="A18" s="2" t="s">
        <v>612</v>
      </c>
      <c r="B18" s="3">
        <v>75</v>
      </c>
      <c r="C18" s="3">
        <v>32.5</v>
      </c>
      <c r="F18" s="18" t="s">
        <v>0</v>
      </c>
      <c r="G18" s="18"/>
      <c r="H18" s="18"/>
      <c r="I18" s="18"/>
      <c r="J18" s="18"/>
      <c r="K18" s="18"/>
    </row>
    <row r="19" spans="1:14" x14ac:dyDescent="0.3">
      <c r="F19" s="12" t="s">
        <v>613</v>
      </c>
      <c r="G19" s="13" t="s">
        <v>614</v>
      </c>
      <c r="H19" s="12" t="s">
        <v>615</v>
      </c>
      <c r="I19" s="12" t="s">
        <v>616</v>
      </c>
      <c r="J19" s="12" t="s">
        <v>617</v>
      </c>
      <c r="K19" s="12" t="s">
        <v>618</v>
      </c>
      <c r="M19" s="12" t="s">
        <v>632</v>
      </c>
    </row>
    <row r="20" spans="1:14" x14ac:dyDescent="0.3">
      <c r="A20" s="2" t="s">
        <v>610</v>
      </c>
      <c r="B20" s="2">
        <v>1.2</v>
      </c>
      <c r="C20" s="2">
        <v>0.65</v>
      </c>
      <c r="F20">
        <v>0.01</v>
      </c>
      <c r="G20" s="1">
        <f t="shared" ref="G20:G31" si="7">1-F20</f>
        <v>0.99</v>
      </c>
      <c r="H20">
        <f>F20*0.65</f>
        <v>6.5000000000000006E-3</v>
      </c>
      <c r="I20">
        <f>$C$18-(N20*$C$18)</f>
        <v>11.58625</v>
      </c>
      <c r="J20">
        <v>3</v>
      </c>
      <c r="K20" s="6">
        <f>J20*I20*$C$24</f>
        <v>8646.1987951807241</v>
      </c>
      <c r="M20">
        <f>-0.65*(1-F20)+1</f>
        <v>0.35650000000000004</v>
      </c>
      <c r="N20">
        <f t="shared" ref="N20:N22" si="8">1-M20</f>
        <v>0.64349999999999996</v>
      </c>
    </row>
    <row r="21" spans="1:14" x14ac:dyDescent="0.3">
      <c r="F21">
        <v>0.05</v>
      </c>
      <c r="G21" s="1">
        <f t="shared" si="7"/>
        <v>0.95</v>
      </c>
      <c r="H21">
        <f t="shared" ref="H21:H32" si="9">F21*0.65</f>
        <v>3.2500000000000001E-2</v>
      </c>
      <c r="I21">
        <f t="shared" ref="I21:I32" si="10">$C$18-(N21*$C$18)</f>
        <v>12.431250000000002</v>
      </c>
      <c r="J21">
        <v>3</v>
      </c>
      <c r="K21" s="6">
        <f t="shared" ref="K21:K32" si="11">J21*I21*$C$24</f>
        <v>9276.7771084337364</v>
      </c>
      <c r="M21">
        <f t="shared" ref="M21:M32" si="12">-0.65*(1-F21)+1</f>
        <v>0.38250000000000006</v>
      </c>
      <c r="N21">
        <f t="shared" si="8"/>
        <v>0.61749999999999994</v>
      </c>
    </row>
    <row r="22" spans="1:14" x14ac:dyDescent="0.3">
      <c r="A22" s="2" t="s">
        <v>608</v>
      </c>
      <c r="B22" s="2">
        <v>130</v>
      </c>
      <c r="C22" s="2">
        <v>1342</v>
      </c>
      <c r="F22">
        <v>0.1</v>
      </c>
      <c r="G22" s="1">
        <f t="shared" si="7"/>
        <v>0.9</v>
      </c>
      <c r="H22">
        <f t="shared" si="9"/>
        <v>6.5000000000000002E-2</v>
      </c>
      <c r="I22">
        <f t="shared" si="10"/>
        <v>13.487499999999997</v>
      </c>
      <c r="J22">
        <v>3</v>
      </c>
      <c r="K22" s="6">
        <f t="shared" si="11"/>
        <v>10065</v>
      </c>
      <c r="M22">
        <f t="shared" si="12"/>
        <v>0.41499999999999992</v>
      </c>
      <c r="N22">
        <f t="shared" si="8"/>
        <v>0.58500000000000008</v>
      </c>
    </row>
    <row r="23" spans="1:14" x14ac:dyDescent="0.3">
      <c r="F23">
        <v>0.2</v>
      </c>
      <c r="G23" s="1">
        <f t="shared" si="7"/>
        <v>0.8</v>
      </c>
      <c r="H23">
        <f t="shared" si="9"/>
        <v>0.13</v>
      </c>
      <c r="I23">
        <f t="shared" si="10"/>
        <v>15.599999999999998</v>
      </c>
      <c r="J23">
        <v>3</v>
      </c>
      <c r="K23" s="6">
        <f t="shared" si="11"/>
        <v>11641.445783132531</v>
      </c>
      <c r="M23">
        <f t="shared" si="12"/>
        <v>0.48</v>
      </c>
      <c r="N23">
        <f>1-M23</f>
        <v>0.52</v>
      </c>
    </row>
    <row r="24" spans="1:14" x14ac:dyDescent="0.3">
      <c r="A24" s="2" t="s">
        <v>609</v>
      </c>
      <c r="B24" s="3">
        <f>B22/Urban_Supply_Hyc!B4</f>
        <v>24.096385542168676</v>
      </c>
      <c r="C24" s="3">
        <f>C22/Urban_Supply_Hyc!B4</f>
        <v>248.74884151992589</v>
      </c>
      <c r="F24">
        <v>0.3</v>
      </c>
      <c r="G24" s="1">
        <f t="shared" si="7"/>
        <v>0.7</v>
      </c>
      <c r="H24">
        <f t="shared" si="9"/>
        <v>0.19500000000000001</v>
      </c>
      <c r="I24">
        <f t="shared" si="10"/>
        <v>17.712500000000002</v>
      </c>
      <c r="J24">
        <v>3</v>
      </c>
      <c r="K24" s="6">
        <f t="shared" si="11"/>
        <v>13217.891566265063</v>
      </c>
      <c r="M24">
        <f t="shared" si="12"/>
        <v>0.54500000000000004</v>
      </c>
      <c r="N24">
        <f t="shared" ref="N24:N32" si="13">1-M24</f>
        <v>0.45499999999999996</v>
      </c>
    </row>
    <row r="25" spans="1:14" x14ac:dyDescent="0.3">
      <c r="B25" s="14"/>
      <c r="C25" s="14"/>
      <c r="F25">
        <v>0.4</v>
      </c>
      <c r="G25" s="1">
        <f t="shared" si="7"/>
        <v>0.6</v>
      </c>
      <c r="H25">
        <f t="shared" si="9"/>
        <v>0.26</v>
      </c>
      <c r="I25">
        <f t="shared" si="10"/>
        <v>19.824999999999999</v>
      </c>
      <c r="J25">
        <v>3</v>
      </c>
      <c r="K25" s="6">
        <f t="shared" si="11"/>
        <v>14794.337349397591</v>
      </c>
      <c r="M25">
        <f t="shared" si="12"/>
        <v>0.61</v>
      </c>
      <c r="N25">
        <f t="shared" si="13"/>
        <v>0.39</v>
      </c>
    </row>
    <row r="26" spans="1:14" x14ac:dyDescent="0.3">
      <c r="A26" s="2" t="s">
        <v>619</v>
      </c>
      <c r="B26" s="3"/>
      <c r="C26" s="3"/>
      <c r="F26">
        <v>0.5</v>
      </c>
      <c r="G26" s="1">
        <f t="shared" si="7"/>
        <v>0.5</v>
      </c>
      <c r="H26">
        <f t="shared" si="9"/>
        <v>0.32500000000000001</v>
      </c>
      <c r="I26">
        <f t="shared" si="10"/>
        <v>21.9375</v>
      </c>
      <c r="J26">
        <v>3</v>
      </c>
      <c r="K26" s="6">
        <f t="shared" si="11"/>
        <v>16370.783132530123</v>
      </c>
      <c r="M26">
        <f t="shared" si="12"/>
        <v>0.67500000000000004</v>
      </c>
      <c r="N26">
        <f t="shared" si="13"/>
        <v>0.32499999999999996</v>
      </c>
    </row>
    <row r="27" spans="1:14" x14ac:dyDescent="0.3">
      <c r="F27">
        <v>0.6</v>
      </c>
      <c r="G27" s="1">
        <f t="shared" si="7"/>
        <v>0.4</v>
      </c>
      <c r="H27">
        <f t="shared" si="9"/>
        <v>0.39</v>
      </c>
      <c r="I27">
        <f t="shared" si="10"/>
        <v>24.049999999999997</v>
      </c>
      <c r="J27">
        <v>3</v>
      </c>
      <c r="K27" s="6">
        <f t="shared" si="11"/>
        <v>17947.22891566265</v>
      </c>
      <c r="M27">
        <f t="shared" si="12"/>
        <v>0.74</v>
      </c>
      <c r="N27">
        <f t="shared" si="13"/>
        <v>0.26</v>
      </c>
    </row>
    <row r="28" spans="1:14" x14ac:dyDescent="0.3">
      <c r="A28" t="s">
        <v>4</v>
      </c>
      <c r="F28">
        <v>0.7</v>
      </c>
      <c r="G28" s="1">
        <f t="shared" si="7"/>
        <v>0.30000000000000004</v>
      </c>
      <c r="H28">
        <f t="shared" si="9"/>
        <v>0.45499999999999996</v>
      </c>
      <c r="I28">
        <f t="shared" si="10"/>
        <v>26.162499999999998</v>
      </c>
      <c r="J28">
        <v>3</v>
      </c>
      <c r="K28" s="6">
        <f t="shared" si="11"/>
        <v>19523.674698795181</v>
      </c>
      <c r="M28">
        <f t="shared" si="12"/>
        <v>0.80499999999999994</v>
      </c>
      <c r="N28">
        <f t="shared" si="13"/>
        <v>0.19500000000000006</v>
      </c>
    </row>
    <row r="29" spans="1:14" x14ac:dyDescent="0.3">
      <c r="F29">
        <v>0.8</v>
      </c>
      <c r="G29" s="1">
        <f t="shared" si="7"/>
        <v>0.19999999999999996</v>
      </c>
      <c r="H29">
        <f t="shared" si="9"/>
        <v>0.52</v>
      </c>
      <c r="I29">
        <f t="shared" si="10"/>
        <v>28.274999999999999</v>
      </c>
      <c r="J29">
        <v>3</v>
      </c>
      <c r="K29" s="6">
        <f t="shared" si="11"/>
        <v>21100.120481927712</v>
      </c>
      <c r="M29">
        <f t="shared" si="12"/>
        <v>0.87</v>
      </c>
      <c r="N29">
        <f t="shared" si="13"/>
        <v>0.13</v>
      </c>
    </row>
    <row r="30" spans="1:14" x14ac:dyDescent="0.3">
      <c r="F30">
        <v>0.9</v>
      </c>
      <c r="G30" s="1">
        <f t="shared" si="7"/>
        <v>9.9999999999999978E-2</v>
      </c>
      <c r="H30">
        <f t="shared" si="9"/>
        <v>0.58500000000000008</v>
      </c>
      <c r="I30">
        <f t="shared" si="10"/>
        <v>30.387500000000003</v>
      </c>
      <c r="J30">
        <v>3</v>
      </c>
      <c r="K30" s="6">
        <f t="shared" si="11"/>
        <v>22676.566265060246</v>
      </c>
      <c r="M30">
        <f t="shared" si="12"/>
        <v>0.93500000000000005</v>
      </c>
      <c r="N30">
        <f t="shared" si="13"/>
        <v>6.4999999999999947E-2</v>
      </c>
    </row>
    <row r="31" spans="1:14" x14ac:dyDescent="0.3">
      <c r="F31">
        <v>0.95</v>
      </c>
      <c r="G31" s="1">
        <f t="shared" si="7"/>
        <v>5.0000000000000044E-2</v>
      </c>
      <c r="H31">
        <f t="shared" si="9"/>
        <v>0.61749999999999994</v>
      </c>
      <c r="I31">
        <f t="shared" si="10"/>
        <v>31.443750000000001</v>
      </c>
      <c r="J31">
        <v>3</v>
      </c>
      <c r="K31" s="6">
        <f t="shared" si="11"/>
        <v>23464.789156626513</v>
      </c>
      <c r="M31">
        <f t="shared" si="12"/>
        <v>0.96750000000000003</v>
      </c>
      <c r="N31">
        <f t="shared" si="13"/>
        <v>3.2499999999999973E-2</v>
      </c>
    </row>
    <row r="32" spans="1:14" x14ac:dyDescent="0.3">
      <c r="F32">
        <v>1</v>
      </c>
      <c r="G32" s="1">
        <f>1-F32</f>
        <v>0</v>
      </c>
      <c r="H32">
        <f t="shared" si="9"/>
        <v>0.65</v>
      </c>
      <c r="I32">
        <f t="shared" si="10"/>
        <v>32.5</v>
      </c>
      <c r="J32">
        <v>3</v>
      </c>
      <c r="K32" s="6">
        <f t="shared" si="11"/>
        <v>24253.012048192773</v>
      </c>
      <c r="M32">
        <f t="shared" si="12"/>
        <v>1</v>
      </c>
      <c r="N32">
        <f t="shared" si="13"/>
        <v>0</v>
      </c>
    </row>
  </sheetData>
  <mergeCells count="2">
    <mergeCell ref="F1:K1"/>
    <mergeCell ref="F18:K1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3195-91C1-4E83-B940-B14042245B81}">
  <dimension ref="A1:L18"/>
  <sheetViews>
    <sheetView tabSelected="1" topLeftCell="B1" workbookViewId="0">
      <selection activeCell="B22" sqref="B22"/>
    </sheetView>
  </sheetViews>
  <sheetFormatPr defaultRowHeight="14.4" x14ac:dyDescent="0.3"/>
  <cols>
    <col min="2" max="2" width="12" bestFit="1" customWidth="1"/>
    <col min="3" max="3" width="11.109375" bestFit="1" customWidth="1"/>
    <col min="6" max="6" width="10" customWidth="1"/>
    <col min="7" max="7" width="12.5546875" bestFit="1" customWidth="1"/>
    <col min="10" max="10" width="9.5546875" bestFit="1" customWidth="1"/>
    <col min="11" max="11" width="9" bestFit="1" customWidth="1"/>
  </cols>
  <sheetData>
    <row r="1" spans="1:12" x14ac:dyDescent="0.3">
      <c r="A1" s="9" t="s">
        <v>619</v>
      </c>
      <c r="B1" s="9">
        <v>36288</v>
      </c>
      <c r="C1" t="s">
        <v>623</v>
      </c>
      <c r="E1" s="9" t="s">
        <v>619</v>
      </c>
      <c r="F1" s="9">
        <v>72576</v>
      </c>
      <c r="G1" t="s">
        <v>623</v>
      </c>
      <c r="I1" s="9" t="s">
        <v>619</v>
      </c>
      <c r="J1" s="9">
        <v>59616</v>
      </c>
      <c r="K1" t="s">
        <v>623</v>
      </c>
      <c r="L1" s="17"/>
    </row>
    <row r="2" spans="1:12" x14ac:dyDescent="0.3">
      <c r="A2" s="9" t="s">
        <v>622</v>
      </c>
      <c r="B2" s="9">
        <f>297000/10000</f>
        <v>29.7</v>
      </c>
      <c r="C2" t="s">
        <v>624</v>
      </c>
      <c r="E2" s="9" t="s">
        <v>628</v>
      </c>
      <c r="F2" s="9">
        <f>1099800/10000</f>
        <v>109.98</v>
      </c>
      <c r="G2" t="s">
        <v>624</v>
      </c>
      <c r="I2" s="9" t="s">
        <v>629</v>
      </c>
      <c r="J2" s="9">
        <f>637200/10000</f>
        <v>63.72</v>
      </c>
      <c r="K2" t="s">
        <v>624</v>
      </c>
    </row>
    <row r="3" spans="1:12" x14ac:dyDescent="0.3">
      <c r="A3" s="9" t="s">
        <v>625</v>
      </c>
      <c r="B3" s="9" t="s">
        <v>630</v>
      </c>
      <c r="E3" s="9" t="s">
        <v>625</v>
      </c>
      <c r="F3" s="9" t="s">
        <v>630</v>
      </c>
      <c r="I3" s="9" t="s">
        <v>625</v>
      </c>
      <c r="J3" s="9" t="s">
        <v>626</v>
      </c>
    </row>
    <row r="4" spans="1:12" x14ac:dyDescent="0.3">
      <c r="A4" t="s">
        <v>621</v>
      </c>
      <c r="B4" t="s">
        <v>619</v>
      </c>
      <c r="C4" t="s">
        <v>627</v>
      </c>
      <c r="E4" t="s">
        <v>621</v>
      </c>
      <c r="F4" t="s">
        <v>619</v>
      </c>
      <c r="G4" t="s">
        <v>627</v>
      </c>
      <c r="I4" t="s">
        <v>621</v>
      </c>
      <c r="J4" t="s">
        <v>619</v>
      </c>
      <c r="K4" t="s">
        <v>627</v>
      </c>
    </row>
    <row r="5" spans="1:12" x14ac:dyDescent="0.3">
      <c r="A5">
        <f>'Yc-Ky'!F3</f>
        <v>0.01</v>
      </c>
      <c r="B5" s="5">
        <f>A5*$B$1</f>
        <v>362.88</v>
      </c>
      <c r="C5" s="15">
        <f>$B$2*'Yc-Ky'!I3*'Yc-Ky'!$B$24</f>
        <v>7.1566265060240966</v>
      </c>
      <c r="E5">
        <v>0.01</v>
      </c>
      <c r="F5" s="5">
        <f>E5*$F$1</f>
        <v>725.76</v>
      </c>
      <c r="G5" s="15">
        <f>$F$2*'Yc-Ky'!I3*'Yc-Ky'!$B$24</f>
        <v>26.501204819277113</v>
      </c>
      <c r="I5">
        <v>0.01</v>
      </c>
      <c r="J5" s="5">
        <f>I5*$J$1</f>
        <v>596.16</v>
      </c>
      <c r="K5" s="15">
        <f>$J$2*'Yc-Ky'!I20*'Yc-Ky'!$C$24</f>
        <v>183645.26240963858</v>
      </c>
    </row>
    <row r="6" spans="1:12" x14ac:dyDescent="0.3">
      <c r="A6">
        <f>'Yc-Ky'!F4</f>
        <v>0.05</v>
      </c>
      <c r="B6" s="5">
        <f t="shared" ref="B6:B18" si="0">A6*$B$1</f>
        <v>1814.4</v>
      </c>
      <c r="C6" s="15">
        <f>$B$2*'Yc-Ky'!I4*'Yc-Ky'!$B$24</f>
        <v>7.1566265060240966</v>
      </c>
      <c r="E6">
        <v>0.05</v>
      </c>
      <c r="F6" s="5">
        <f t="shared" ref="F6:F18" si="1">E6*$F$1</f>
        <v>3628.8</v>
      </c>
      <c r="G6" s="15">
        <f>$F$2*'Yc-Ky'!I4*'Yc-Ky'!$B$24</f>
        <v>26.501204819277113</v>
      </c>
      <c r="I6">
        <v>0.05</v>
      </c>
      <c r="J6" s="5">
        <f t="shared" ref="J6:J18" si="2">I6*$J$1</f>
        <v>2980.8</v>
      </c>
      <c r="K6" s="15">
        <f>$J$2*'Yc-Ky'!I21*'Yc-Ky'!$C$24</f>
        <v>197038.74578313259</v>
      </c>
    </row>
    <row r="7" spans="1:12" x14ac:dyDescent="0.3">
      <c r="A7">
        <f>'Yc-Ky'!F5</f>
        <v>0.1</v>
      </c>
      <c r="B7" s="5">
        <f t="shared" si="0"/>
        <v>3628.8</v>
      </c>
      <c r="C7" s="15">
        <f>$B$2*'Yc-Ky'!I5*'Yc-Ky'!$B$24</f>
        <v>7.1566265060240966</v>
      </c>
      <c r="E7">
        <v>0.1</v>
      </c>
      <c r="F7" s="5">
        <f t="shared" si="1"/>
        <v>7257.6</v>
      </c>
      <c r="G7" s="15">
        <f>$F$2*'Yc-Ky'!I5*'Yc-Ky'!$B$24</f>
        <v>26.501204819277113</v>
      </c>
      <c r="I7">
        <v>0.1</v>
      </c>
      <c r="J7" s="5">
        <f t="shared" si="2"/>
        <v>5961.6</v>
      </c>
      <c r="K7" s="15">
        <f>$J$2*'Yc-Ky'!I22*'Yc-Ky'!$C$24</f>
        <v>213780.59999999998</v>
      </c>
    </row>
    <row r="8" spans="1:12" x14ac:dyDescent="0.3">
      <c r="A8">
        <f>'Yc-Ky'!F6</f>
        <v>0.2</v>
      </c>
      <c r="B8" s="5">
        <f t="shared" si="0"/>
        <v>7257.6</v>
      </c>
      <c r="C8" s="15">
        <f>$B$2*'Yc-Ky'!I6*'Yc-Ky'!$B$24</f>
        <v>2146.9879518072289</v>
      </c>
      <c r="E8">
        <v>0.2</v>
      </c>
      <c r="F8" s="5">
        <f t="shared" si="1"/>
        <v>14515.2</v>
      </c>
      <c r="G8" s="15">
        <f>$F$2*'Yc-Ky'!I6*'Yc-Ky'!$B$24</f>
        <v>7950.3614457831327</v>
      </c>
      <c r="I8">
        <v>0.2</v>
      </c>
      <c r="J8" s="5">
        <f t="shared" si="2"/>
        <v>11923.2</v>
      </c>
      <c r="K8" s="15">
        <f>$J$2*'Yc-Ky'!I23*'Yc-Ky'!$C$24</f>
        <v>247264.30843373493</v>
      </c>
    </row>
    <row r="9" spans="1:12" x14ac:dyDescent="0.3">
      <c r="A9">
        <f>'Yc-Ky'!F7</f>
        <v>0.3</v>
      </c>
      <c r="B9" s="5">
        <f t="shared" si="0"/>
        <v>10886.4</v>
      </c>
      <c r="C9" s="15">
        <f>$B$2*'Yc-Ky'!I7*'Yc-Ky'!$B$24</f>
        <v>8587.9518072289156</v>
      </c>
      <c r="E9">
        <v>0.3</v>
      </c>
      <c r="F9" s="5">
        <f t="shared" si="1"/>
        <v>21772.799999999999</v>
      </c>
      <c r="G9" s="15">
        <f>$F$2*'Yc-Ky'!I7*'Yc-Ky'!$B$24</f>
        <v>31801.445783132531</v>
      </c>
      <c r="I9">
        <v>0.3</v>
      </c>
      <c r="J9" s="5">
        <f t="shared" si="2"/>
        <v>17884.8</v>
      </c>
      <c r="K9" s="15">
        <f>$J$2*'Yc-Ky'!I24*'Yc-Ky'!$C$24</f>
        <v>280748.01686746994</v>
      </c>
    </row>
    <row r="10" spans="1:12" x14ac:dyDescent="0.3">
      <c r="A10">
        <f>'Yc-Ky'!F8</f>
        <v>0.4</v>
      </c>
      <c r="B10" s="5">
        <f t="shared" si="0"/>
        <v>14515.2</v>
      </c>
      <c r="C10" s="15">
        <f>$B$2*'Yc-Ky'!I8*'Yc-Ky'!$B$24</f>
        <v>15028.915662650601</v>
      </c>
      <c r="E10">
        <v>0.4</v>
      </c>
      <c r="F10" s="5">
        <f t="shared" si="1"/>
        <v>29030.400000000001</v>
      </c>
      <c r="G10" s="15">
        <f>$F$2*'Yc-Ky'!I8*'Yc-Ky'!$B$24</f>
        <v>55652.530120481926</v>
      </c>
      <c r="I10">
        <v>0.4</v>
      </c>
      <c r="J10" s="5">
        <f t="shared" si="2"/>
        <v>23846.400000000001</v>
      </c>
      <c r="K10" s="15">
        <f>$J$2*'Yc-Ky'!I25*'Yc-Ky'!$C$24</f>
        <v>314231.72530120489</v>
      </c>
    </row>
    <row r="11" spans="1:12" x14ac:dyDescent="0.3">
      <c r="A11">
        <f>'Yc-Ky'!F9</f>
        <v>0.5</v>
      </c>
      <c r="B11" s="5">
        <f t="shared" si="0"/>
        <v>18144</v>
      </c>
      <c r="C11" s="15">
        <f>$B$2*'Yc-Ky'!I9*'Yc-Ky'!$B$24</f>
        <v>21469.879518072292</v>
      </c>
      <c r="E11">
        <v>0.5</v>
      </c>
      <c r="F11" s="5">
        <f t="shared" si="1"/>
        <v>36288</v>
      </c>
      <c r="G11" s="15">
        <f>$F$2*'Yc-Ky'!I9*'Yc-Ky'!$B$24</f>
        <v>79503.614457831325</v>
      </c>
      <c r="I11">
        <v>0.5</v>
      </c>
      <c r="J11" s="5">
        <f t="shared" si="2"/>
        <v>29808</v>
      </c>
      <c r="K11" s="15">
        <f>$J$2*'Yc-Ky'!I26*'Yc-Ky'!$C$24</f>
        <v>347715.43373493984</v>
      </c>
    </row>
    <row r="12" spans="1:12" x14ac:dyDescent="0.3">
      <c r="A12">
        <f>'Yc-Ky'!F10</f>
        <v>0.6</v>
      </c>
      <c r="B12" s="5">
        <f t="shared" si="0"/>
        <v>21772.799999999999</v>
      </c>
      <c r="C12" s="15">
        <f>$B$2*'Yc-Ky'!I10*'Yc-Ky'!$B$24</f>
        <v>27910.843373493975</v>
      </c>
      <c r="E12">
        <v>0.6</v>
      </c>
      <c r="F12" s="5">
        <f t="shared" si="1"/>
        <v>43545.599999999999</v>
      </c>
      <c r="G12" s="15">
        <f>$F$2*'Yc-Ky'!I10*'Yc-Ky'!$B$24</f>
        <v>103354.69879518074</v>
      </c>
      <c r="I12">
        <v>0.6</v>
      </c>
      <c r="J12" s="5">
        <f t="shared" si="2"/>
        <v>35769.599999999999</v>
      </c>
      <c r="K12" s="15">
        <f>$J$2*'Yc-Ky'!I27*'Yc-Ky'!$C$24</f>
        <v>381199.14216867473</v>
      </c>
    </row>
    <row r="13" spans="1:12" x14ac:dyDescent="0.3">
      <c r="A13">
        <f>'Yc-Ky'!F11</f>
        <v>0.7</v>
      </c>
      <c r="B13" s="5">
        <f t="shared" si="0"/>
        <v>25401.599999999999</v>
      </c>
      <c r="C13" s="15">
        <f>$B$2*'Yc-Ky'!I11*'Yc-Ky'!$B$24</f>
        <v>34351.807228915655</v>
      </c>
      <c r="E13">
        <v>0.7</v>
      </c>
      <c r="F13" s="5">
        <f t="shared" si="1"/>
        <v>50803.199999999997</v>
      </c>
      <c r="G13" s="15">
        <f>$F$2*'Yc-Ky'!I11*'Yc-Ky'!$B$24</f>
        <v>127205.78313253011</v>
      </c>
      <c r="I13">
        <v>0.7</v>
      </c>
      <c r="J13" s="5">
        <f t="shared" si="2"/>
        <v>41731.199999999997</v>
      </c>
      <c r="K13" s="15">
        <f>$J$2*'Yc-Ky'!I28*'Yc-Ky'!$C$24</f>
        <v>414682.85060240969</v>
      </c>
    </row>
    <row r="14" spans="1:12" x14ac:dyDescent="0.3">
      <c r="A14">
        <f>'Yc-Ky'!F12</f>
        <v>0.8</v>
      </c>
      <c r="B14" s="5">
        <f t="shared" si="0"/>
        <v>29030.400000000001</v>
      </c>
      <c r="C14" s="15">
        <f>$B$2*'Yc-Ky'!I12*'Yc-Ky'!$B$24</f>
        <v>40792.77108433735</v>
      </c>
      <c r="E14">
        <v>0.8</v>
      </c>
      <c r="F14" s="5">
        <f t="shared" si="1"/>
        <v>58060.800000000003</v>
      </c>
      <c r="G14" s="15">
        <f>$F$2*'Yc-Ky'!I12*'Yc-Ky'!$B$24</f>
        <v>151056.86746987954</v>
      </c>
      <c r="I14">
        <v>0.8</v>
      </c>
      <c r="J14" s="5">
        <f t="shared" si="2"/>
        <v>47692.800000000003</v>
      </c>
      <c r="K14" s="15">
        <f>$J$2*'Yc-Ky'!I29*'Yc-Ky'!$C$24</f>
        <v>448166.55903614458</v>
      </c>
    </row>
    <row r="15" spans="1:12" x14ac:dyDescent="0.3">
      <c r="A15">
        <f>'Yc-Ky'!F13</f>
        <v>0.9</v>
      </c>
      <c r="B15" s="5">
        <f t="shared" si="0"/>
        <v>32659.200000000001</v>
      </c>
      <c r="C15" s="15">
        <f>$B$2*'Yc-Ky'!I13*'Yc-Ky'!$B$24</f>
        <v>47233.734939759037</v>
      </c>
      <c r="E15">
        <v>0.9</v>
      </c>
      <c r="F15" s="5">
        <f t="shared" si="1"/>
        <v>65318.400000000001</v>
      </c>
      <c r="G15" s="15">
        <f>$F$2*'Yc-Ky'!I13*'Yc-Ky'!$B$24</f>
        <v>174907.95180722894</v>
      </c>
      <c r="I15">
        <v>0.9</v>
      </c>
      <c r="J15" s="5">
        <f t="shared" si="2"/>
        <v>53654.400000000001</v>
      </c>
      <c r="K15" s="15">
        <f>$J$2*'Yc-Ky'!I30*'Yc-Ky'!$C$24</f>
        <v>481650.26746987959</v>
      </c>
    </row>
    <row r="16" spans="1:12" x14ac:dyDescent="0.3">
      <c r="A16">
        <f>'Yc-Ky'!F14</f>
        <v>0.95</v>
      </c>
      <c r="B16" s="5">
        <f t="shared" si="0"/>
        <v>34473.599999999999</v>
      </c>
      <c r="C16" s="15">
        <f>$B$2*'Yc-Ky'!I14*'Yc-Ky'!$B$24</f>
        <v>50454.216867469877</v>
      </c>
      <c r="E16">
        <v>0.95</v>
      </c>
      <c r="F16" s="5">
        <f t="shared" si="1"/>
        <v>68947.199999999997</v>
      </c>
      <c r="G16" s="15">
        <f>$F$2*'Yc-Ky'!I14*'Yc-Ky'!$B$24</f>
        <v>186833.49397590364</v>
      </c>
      <c r="I16">
        <v>0.95</v>
      </c>
      <c r="J16" s="5">
        <f t="shared" si="2"/>
        <v>56635.199999999997</v>
      </c>
      <c r="K16" s="15">
        <f>$J$2*'Yc-Ky'!I31*'Yc-Ky'!$C$24</f>
        <v>498392.12168674706</v>
      </c>
    </row>
    <row r="17" spans="1:11" x14ac:dyDescent="0.3">
      <c r="A17">
        <f>'Yc-Ky'!F15</f>
        <v>1</v>
      </c>
      <c r="B17" s="5">
        <f t="shared" si="0"/>
        <v>36288</v>
      </c>
      <c r="C17" s="15">
        <f>$B$2*'Yc-Ky'!I15*'Yc-Ky'!$B$24</f>
        <v>53674.698795180724</v>
      </c>
      <c r="E17">
        <v>1</v>
      </c>
      <c r="F17" s="5">
        <f t="shared" si="1"/>
        <v>72576</v>
      </c>
      <c r="G17" s="15">
        <f>$F$2*'Yc-Ky'!I15*'Yc-Ky'!$B$24</f>
        <v>198759.03614457833</v>
      </c>
      <c r="I17">
        <v>1</v>
      </c>
      <c r="J17" s="5">
        <f t="shared" si="2"/>
        <v>59616</v>
      </c>
      <c r="K17" s="15">
        <f>$J$2*'Yc-Ky'!I32*'Yc-Ky'!$C$24</f>
        <v>515133.97590361454</v>
      </c>
    </row>
    <row r="18" spans="1:11" x14ac:dyDescent="0.3">
      <c r="A18">
        <v>1.01</v>
      </c>
      <c r="B18" s="5">
        <f t="shared" si="0"/>
        <v>36650.879999999997</v>
      </c>
      <c r="C18" s="16">
        <f>C17*1.01</f>
        <v>54211.445783132534</v>
      </c>
      <c r="E18">
        <v>1.01</v>
      </c>
      <c r="F18" s="5">
        <f t="shared" si="1"/>
        <v>73301.759999999995</v>
      </c>
      <c r="G18" s="16">
        <f>G17*1.01</f>
        <v>200746.62650602413</v>
      </c>
      <c r="I18">
        <v>1.01</v>
      </c>
      <c r="J18" s="5">
        <f t="shared" si="2"/>
        <v>60212.160000000003</v>
      </c>
      <c r="K18" s="16">
        <f>K17*1.01</f>
        <v>520285.31566265068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data_uban_supply</vt:lpstr>
      <vt:lpstr>Urban_Supply_Hyc</vt:lpstr>
      <vt:lpstr>Yc-Ky</vt:lpstr>
      <vt:lpstr>Hyc_curves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Vichete - DF+</dc:creator>
  <cp:lastModifiedBy>William Vichete - DF+</cp:lastModifiedBy>
  <dcterms:created xsi:type="dcterms:W3CDTF">2024-01-04T09:21:55Z</dcterms:created>
  <dcterms:modified xsi:type="dcterms:W3CDTF">2024-02-12T15:58:32Z</dcterms:modified>
</cp:coreProperties>
</file>